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192" firstSheet="3" activeTab="8"/>
  </bookViews>
  <sheets>
    <sheet name="Data" sheetId="3" r:id="rId1"/>
    <sheet name="Export" sheetId="10" r:id="rId2"/>
    <sheet name="Descriptors count" sheetId="4" r:id="rId3"/>
    <sheet name="Data_old" sheetId="1" r:id="rId4"/>
    <sheet name="Dopants" sheetId="7" r:id="rId5"/>
    <sheet name="Weight fraction conversion" sheetId="8" r:id="rId6"/>
    <sheet name="Indexation" sheetId="9" r:id="rId7"/>
    <sheet name="Hydrogen rate converter" sheetId="11" r:id="rId8"/>
    <sheet name="Photocatalytic dataset" sheetId="13" r:id="rId9"/>
    <sheet name="Converter" sheetId="14" r:id="rId10"/>
  </sheets>
  <calcPr calcId="145621"/>
</workbook>
</file>

<file path=xl/calcChain.xml><?xml version="1.0" encoding="utf-8"?>
<calcChain xmlns="http://schemas.openxmlformats.org/spreadsheetml/2006/main">
  <c r="CA878" i="13" l="1"/>
  <c r="CA879" i="13"/>
  <c r="CA880" i="13"/>
  <c r="CA881" i="13"/>
  <c r="CA882" i="13"/>
  <c r="CA883" i="13"/>
  <c r="CA884" i="13"/>
  <c r="CA885" i="13"/>
  <c r="CA886" i="13"/>
  <c r="CA887" i="13"/>
  <c r="CA888" i="13"/>
  <c r="CA889" i="13"/>
  <c r="CA890" i="13"/>
  <c r="CA891" i="13"/>
  <c r="CA892" i="13"/>
  <c r="CA893" i="13"/>
  <c r="CA894" i="13"/>
  <c r="CA895" i="13"/>
  <c r="CA896" i="13"/>
  <c r="CA897" i="13"/>
  <c r="CA898" i="13"/>
  <c r="CA899" i="13"/>
  <c r="CA900" i="13"/>
  <c r="CA901" i="13"/>
  <c r="CA902" i="13"/>
  <c r="CA903" i="13"/>
  <c r="CA904" i="13"/>
  <c r="CA905" i="13"/>
  <c r="CA906" i="13"/>
  <c r="CA907" i="13"/>
  <c r="CA908" i="13"/>
  <c r="CA909" i="13"/>
  <c r="CA910" i="13"/>
  <c r="CA911" i="13"/>
  <c r="CA912" i="13"/>
  <c r="CA913" i="13"/>
  <c r="CA914" i="13"/>
  <c r="CA915" i="13"/>
  <c r="CA916" i="13"/>
  <c r="CA917" i="13"/>
  <c r="CA918" i="13"/>
  <c r="CA919" i="13"/>
  <c r="CA920" i="13"/>
  <c r="CA921" i="13"/>
  <c r="CA922" i="13"/>
  <c r="CA923" i="13"/>
  <c r="CA924" i="13"/>
  <c r="CA925" i="13"/>
  <c r="CA926" i="13"/>
  <c r="CA927" i="13"/>
  <c r="CA928" i="13"/>
  <c r="CA929" i="13"/>
  <c r="CA930" i="13"/>
  <c r="CA931" i="13"/>
  <c r="CA932" i="13"/>
  <c r="CA933" i="13"/>
  <c r="CA934" i="13"/>
  <c r="CA935" i="13"/>
  <c r="CA936" i="13"/>
  <c r="CA937" i="13"/>
  <c r="CA938" i="13"/>
  <c r="CA939" i="13"/>
  <c r="CA940" i="13"/>
  <c r="CA941" i="13"/>
  <c r="CA942" i="13"/>
  <c r="CA943" i="13"/>
  <c r="CA944" i="13"/>
  <c r="CA945" i="13"/>
  <c r="CA946" i="13"/>
  <c r="CA947" i="13"/>
  <c r="CA948" i="13"/>
  <c r="CA949" i="13"/>
  <c r="BY949" i="13"/>
  <c r="BY948" i="13"/>
  <c r="BY947" i="13"/>
  <c r="BY946" i="13"/>
  <c r="BY945" i="13"/>
  <c r="BY944" i="13"/>
  <c r="BY943" i="13"/>
  <c r="BY941" i="13"/>
  <c r="BY942" i="13"/>
  <c r="BY940" i="13"/>
  <c r="BY939" i="13"/>
  <c r="BY938" i="13"/>
  <c r="BY937" i="13"/>
  <c r="BY936" i="13"/>
  <c r="BY935" i="13"/>
  <c r="BJ936" i="13"/>
  <c r="BJ935" i="13"/>
  <c r="BY934" i="13"/>
  <c r="BY933" i="13"/>
  <c r="BY932" i="13"/>
  <c r="BJ932" i="13"/>
  <c r="BY931" i="13"/>
  <c r="BJ931" i="13"/>
  <c r="BY930" i="13"/>
  <c r="BY929" i="13"/>
  <c r="BY928" i="13"/>
  <c r="BJ928" i="13"/>
  <c r="BY927" i="13"/>
  <c r="BJ927" i="13"/>
  <c r="BY926" i="13"/>
  <c r="BY925" i="13"/>
  <c r="BY923" i="13"/>
  <c r="BY924" i="13"/>
  <c r="BY922" i="13"/>
  <c r="BY921" i="13"/>
  <c r="BY920" i="13"/>
  <c r="BY919" i="13"/>
  <c r="BJ924" i="13"/>
  <c r="BJ923" i="13"/>
  <c r="BJ919" i="13"/>
  <c r="BJ920" i="13"/>
  <c r="AC918" i="13"/>
  <c r="AC917" i="13"/>
  <c r="BY911" i="13"/>
  <c r="AC911" i="13"/>
  <c r="AG911" i="13" s="1"/>
  <c r="AC912" i="13"/>
  <c r="AG912" i="13" s="1"/>
  <c r="BY910" i="13"/>
  <c r="AC910" i="13"/>
  <c r="AG910" i="13" s="1"/>
  <c r="BY909" i="13" l="1"/>
  <c r="BY908" i="13"/>
  <c r="BY907" i="13"/>
  <c r="BY906" i="13"/>
  <c r="BY905" i="13"/>
  <c r="BY904" i="13"/>
  <c r="BY903" i="13"/>
  <c r="BY902" i="13"/>
  <c r="BQ877" i="13"/>
  <c r="BQ876" i="13"/>
  <c r="BQ874" i="13"/>
  <c r="BQ875" i="13" s="1"/>
  <c r="CA877" i="13"/>
  <c r="BY877" i="13"/>
  <c r="AC877" i="13"/>
  <c r="AG877" i="13" s="1"/>
  <c r="CA876" i="13"/>
  <c r="BY876" i="13"/>
  <c r="AC876" i="13"/>
  <c r="AG876" i="13" s="1"/>
  <c r="CA875" i="13"/>
  <c r="BY875" i="13"/>
  <c r="AC875" i="13"/>
  <c r="AG875" i="13" s="1"/>
  <c r="CA874" i="13"/>
  <c r="BY874" i="13"/>
  <c r="AC874" i="13"/>
  <c r="AG874" i="13" s="1"/>
  <c r="CA873" i="13"/>
  <c r="BY873" i="13"/>
  <c r="AC873" i="13"/>
  <c r="AG873" i="13" s="1"/>
  <c r="CA872" i="13"/>
  <c r="BY872" i="13"/>
  <c r="AC872" i="13"/>
  <c r="AG872" i="13" s="1"/>
  <c r="CA871" i="13"/>
  <c r="BY871" i="13"/>
  <c r="AG871" i="13"/>
  <c r="AC871" i="13"/>
  <c r="CA870" i="13"/>
  <c r="BY870" i="13"/>
  <c r="AG870" i="13"/>
  <c r="AC870" i="13"/>
  <c r="AC878" i="13"/>
  <c r="CA869" i="13"/>
  <c r="BY869" i="13"/>
  <c r="AC869" i="13"/>
  <c r="AG869" i="13" s="1"/>
  <c r="CA868" i="13"/>
  <c r="BY868" i="13"/>
  <c r="AC868" i="13"/>
  <c r="AG868" i="13" s="1"/>
  <c r="CA867" i="13"/>
  <c r="BY867" i="13"/>
  <c r="AC867" i="13"/>
  <c r="AG867" i="13" s="1"/>
  <c r="CA866" i="13"/>
  <c r="BY866" i="13"/>
  <c r="AC866" i="13"/>
  <c r="AG866" i="13" s="1"/>
  <c r="CA865" i="13"/>
  <c r="BY865" i="13"/>
  <c r="AC865" i="13"/>
  <c r="AG865" i="13" s="1"/>
  <c r="CA864" i="13"/>
  <c r="BY864" i="13"/>
  <c r="AC864" i="13"/>
  <c r="AG864" i="13" s="1"/>
  <c r="CA863" i="13"/>
  <c r="BY863" i="13"/>
  <c r="AC863" i="13"/>
  <c r="AG863" i="13" s="1"/>
  <c r="CA862" i="13"/>
  <c r="BY862" i="13"/>
  <c r="AC862" i="13"/>
  <c r="AG862" i="13" s="1"/>
  <c r="CA861" i="13"/>
  <c r="BY861" i="13"/>
  <c r="AC861" i="13"/>
  <c r="AG861" i="13" s="1"/>
  <c r="CA860" i="13"/>
  <c r="BY860" i="13"/>
  <c r="AC860" i="13"/>
  <c r="AG860" i="13" s="1"/>
  <c r="CA859" i="13"/>
  <c r="BY859" i="13"/>
  <c r="AC859" i="13"/>
  <c r="AG859" i="13" s="1"/>
  <c r="BY858" i="13"/>
  <c r="BY857" i="13"/>
  <c r="BY849" i="13"/>
  <c r="AC849" i="13"/>
  <c r="AG849" i="13" s="1"/>
  <c r="BY848" i="13"/>
  <c r="AC848" i="13"/>
  <c r="AG848" i="13" s="1"/>
  <c r="BY847" i="13"/>
  <c r="AC847" i="13"/>
  <c r="AG847" i="13" s="1"/>
  <c r="BY846" i="13"/>
  <c r="AC846" i="13"/>
  <c r="AG846" i="13" s="1"/>
  <c r="BY845" i="13"/>
  <c r="AC845" i="13"/>
  <c r="AG845" i="13" s="1"/>
  <c r="BY844" i="13"/>
  <c r="AC844" i="13"/>
  <c r="AG844" i="13" s="1"/>
  <c r="BY843" i="13"/>
  <c r="AC843" i="13"/>
  <c r="AG843" i="13" s="1"/>
  <c r="BY842" i="13"/>
  <c r="AC842" i="13"/>
  <c r="AG842" i="13" s="1"/>
  <c r="BY841" i="13"/>
  <c r="AC841" i="13"/>
  <c r="AG841" i="13" s="1"/>
  <c r="BY840" i="13"/>
  <c r="AC840" i="13"/>
  <c r="AG840" i="13" s="1"/>
  <c r="BY839" i="13"/>
  <c r="AC839" i="13"/>
  <c r="AG839" i="13" s="1"/>
  <c r="BY838" i="13"/>
  <c r="AC838" i="13"/>
  <c r="AG838" i="13" s="1"/>
  <c r="BY837" i="13"/>
  <c r="AC837" i="13"/>
  <c r="AG837" i="13" s="1"/>
  <c r="BY836" i="13"/>
  <c r="AC836" i="13"/>
  <c r="AG836" i="13" s="1"/>
  <c r="BY835" i="13"/>
  <c r="AC835" i="13"/>
  <c r="AG835" i="13" s="1"/>
  <c r="BY834" i="13"/>
  <c r="AC834" i="13"/>
  <c r="AG834" i="13" s="1"/>
  <c r="BY833" i="13"/>
  <c r="AC833" i="13"/>
  <c r="AG833" i="13" s="1"/>
  <c r="BY832" i="13"/>
  <c r="AG832" i="13"/>
  <c r="AC832" i="13"/>
  <c r="BY831" i="13"/>
  <c r="AC831" i="13"/>
  <c r="AG831" i="13" s="1"/>
  <c r="BY830" i="13"/>
  <c r="AC830" i="13"/>
  <c r="AG830" i="13" s="1"/>
  <c r="BY829" i="13"/>
  <c r="AC829" i="13"/>
  <c r="AG829" i="13" s="1"/>
  <c r="BY828" i="13"/>
  <c r="AC828" i="13"/>
  <c r="AG828" i="13" s="1"/>
  <c r="BY827" i="13"/>
  <c r="AC827" i="13"/>
  <c r="AG827" i="13" s="1"/>
  <c r="BY826" i="13"/>
  <c r="AC826" i="13"/>
  <c r="AG826" i="13" s="1"/>
  <c r="BY825" i="13"/>
  <c r="AC825" i="13"/>
  <c r="AG825" i="13" s="1"/>
  <c r="BY824" i="13"/>
  <c r="AC824" i="13"/>
  <c r="AG824" i="13" s="1"/>
  <c r="BY802" i="13"/>
  <c r="BY803" i="13"/>
  <c r="BY804" i="13"/>
  <c r="BY805" i="13"/>
  <c r="BY806" i="13"/>
  <c r="BY807" i="13"/>
  <c r="BY808" i="13"/>
  <c r="BY809" i="13"/>
  <c r="BY810" i="13"/>
  <c r="BY811" i="13"/>
  <c r="BY812" i="13"/>
  <c r="BY813" i="13"/>
  <c r="BY814" i="13"/>
  <c r="BY815" i="13"/>
  <c r="BY816" i="13"/>
  <c r="BY817" i="13"/>
  <c r="BY818" i="13"/>
  <c r="BY819" i="13"/>
  <c r="BY820" i="13"/>
  <c r="BY821" i="13"/>
  <c r="BY822" i="13"/>
  <c r="BY823" i="13"/>
  <c r="BY801" i="13"/>
  <c r="BY800" i="13"/>
  <c r="BY799" i="13"/>
  <c r="BY798" i="13"/>
  <c r="BJ793" i="13"/>
  <c r="BJ792" i="13"/>
  <c r="BJ794" i="13"/>
  <c r="BJ795" i="13"/>
  <c r="BJ796" i="13"/>
  <c r="BJ797" i="13"/>
  <c r="BJ791" i="13"/>
  <c r="BY783" i="13"/>
  <c r="BY784" i="13"/>
  <c r="BY782" i="13"/>
  <c r="BY781" i="13"/>
  <c r="BY779" i="13"/>
  <c r="BY780" i="13"/>
  <c r="CA778" i="13" l="1"/>
  <c r="BY778" i="13"/>
  <c r="BY777" i="13"/>
  <c r="BY776" i="13"/>
  <c r="BY775" i="13"/>
  <c r="BY774" i="13"/>
  <c r="CA773" i="13"/>
  <c r="BY773" i="13"/>
  <c r="AC773" i="13"/>
  <c r="AG773" i="13" s="1"/>
  <c r="CA772" i="13"/>
  <c r="BY772" i="13"/>
  <c r="AC772" i="13"/>
  <c r="AG772" i="13" s="1"/>
  <c r="CA771" i="13"/>
  <c r="BY771" i="13"/>
  <c r="AC771" i="13"/>
  <c r="AG771" i="13" s="1"/>
  <c r="CA770" i="13"/>
  <c r="BY770" i="13"/>
  <c r="AC770" i="13"/>
  <c r="AG770" i="13" s="1"/>
  <c r="CA769" i="13"/>
  <c r="BY769" i="13"/>
  <c r="AC769" i="13"/>
  <c r="AG769" i="13" s="1"/>
  <c r="CA768" i="13"/>
  <c r="BY768" i="13"/>
  <c r="AC768" i="13"/>
  <c r="AG768" i="13" s="1"/>
  <c r="CA767" i="13"/>
  <c r="BY767" i="13"/>
  <c r="AC767" i="13"/>
  <c r="AG767" i="13" s="1"/>
  <c r="CA766" i="13"/>
  <c r="BY766" i="13"/>
  <c r="AC766" i="13"/>
  <c r="AG766" i="13" s="1"/>
  <c r="BY758" i="13"/>
  <c r="BY759" i="13"/>
  <c r="BY760" i="13"/>
  <c r="BY761" i="13"/>
  <c r="BY762" i="13"/>
  <c r="BY763" i="13"/>
  <c r="BY764" i="13"/>
  <c r="BY765" i="13"/>
  <c r="CA757" i="13"/>
  <c r="BY757" i="13"/>
  <c r="AC757" i="13"/>
  <c r="AG757" i="13" s="1"/>
  <c r="CA756" i="13"/>
  <c r="BY756" i="13"/>
  <c r="AC756" i="13"/>
  <c r="CA755" i="13"/>
  <c r="BY755" i="13"/>
  <c r="AC755" i="13"/>
  <c r="AG755" i="13" s="1"/>
  <c r="CA754" i="13"/>
  <c r="BY754" i="13"/>
  <c r="AC754" i="13"/>
  <c r="CA753" i="13"/>
  <c r="BY753" i="13"/>
  <c r="AC753" i="13"/>
  <c r="AG753" i="13" s="1"/>
  <c r="CA752" i="13"/>
  <c r="BY752" i="13"/>
  <c r="AC752" i="13"/>
  <c r="CA751" i="13"/>
  <c r="BY751" i="13"/>
  <c r="AC751" i="13"/>
  <c r="AG751" i="13" s="1"/>
  <c r="CA750" i="13"/>
  <c r="BY750" i="13"/>
  <c r="AC750" i="13"/>
  <c r="CA749" i="13"/>
  <c r="BY749" i="13"/>
  <c r="AC749" i="13"/>
  <c r="AG749" i="13" s="1"/>
  <c r="CA748" i="13"/>
  <c r="BY748" i="13"/>
  <c r="AC748" i="13"/>
  <c r="CA747" i="13"/>
  <c r="BY747" i="13"/>
  <c r="AC747" i="13"/>
  <c r="AG747" i="13" s="1"/>
  <c r="CA746" i="13"/>
  <c r="BY746" i="13"/>
  <c r="AC746" i="13"/>
  <c r="CA745" i="13"/>
  <c r="BY745" i="13"/>
  <c r="AC745" i="13"/>
  <c r="AG745" i="13" s="1"/>
  <c r="CA744" i="13"/>
  <c r="BY744" i="13"/>
  <c r="AC744" i="13"/>
  <c r="BY743" i="13"/>
  <c r="BY742" i="13"/>
  <c r="BJ691" i="13"/>
  <c r="BJ692" i="13"/>
  <c r="BJ693" i="13"/>
  <c r="BJ694" i="13"/>
  <c r="BJ695" i="13"/>
  <c r="BJ696" i="13"/>
  <c r="BJ697" i="13"/>
  <c r="BJ698" i="13"/>
  <c r="BJ699" i="13"/>
  <c r="BJ700" i="13"/>
  <c r="BJ701" i="13"/>
  <c r="BJ702" i="13"/>
  <c r="BJ703" i="13"/>
  <c r="BJ704" i="13"/>
  <c r="BJ705" i="13"/>
  <c r="BJ706" i="13"/>
  <c r="BJ707" i="13"/>
  <c r="BJ708" i="13"/>
  <c r="BJ709" i="13"/>
  <c r="BJ710" i="13"/>
  <c r="BJ711" i="13"/>
  <c r="BJ712" i="13"/>
  <c r="BJ713" i="13"/>
  <c r="BJ714" i="13"/>
  <c r="BJ715" i="13"/>
  <c r="BJ716" i="13"/>
  <c r="BJ717" i="13"/>
  <c r="BJ718" i="13"/>
  <c r="BJ719" i="13"/>
  <c r="BJ720" i="13"/>
  <c r="BJ721" i="13"/>
  <c r="BJ722" i="13"/>
  <c r="BJ723" i="13"/>
  <c r="BJ724" i="13"/>
  <c r="BJ725" i="13"/>
  <c r="BJ726" i="13"/>
  <c r="BJ727" i="13"/>
  <c r="BJ728" i="13"/>
  <c r="BJ729" i="13"/>
  <c r="BJ730" i="13"/>
  <c r="BJ731" i="13"/>
  <c r="BJ732" i="13"/>
  <c r="BJ733" i="13"/>
  <c r="BJ734" i="13"/>
  <c r="BJ735" i="13"/>
  <c r="BJ736" i="13"/>
  <c r="BJ737" i="13"/>
  <c r="BJ738" i="13"/>
  <c r="BJ739" i="13"/>
  <c r="BJ740" i="13"/>
  <c r="BJ741" i="13"/>
  <c r="BJ690" i="13"/>
  <c r="CA3" i="13" l="1"/>
  <c r="CA4" i="13"/>
  <c r="CA5" i="13"/>
  <c r="CA6" i="13"/>
  <c r="CA7" i="13"/>
  <c r="CA8" i="13"/>
  <c r="CA9" i="13"/>
  <c r="CA10" i="13"/>
  <c r="CA11" i="13"/>
  <c r="CA12" i="13"/>
  <c r="CA13" i="13"/>
  <c r="CA14" i="13"/>
  <c r="CA15" i="13"/>
  <c r="CA16" i="13"/>
  <c r="CA17" i="13"/>
  <c r="CA18" i="13"/>
  <c r="CA19" i="13"/>
  <c r="CA20" i="13"/>
  <c r="CA21" i="13"/>
  <c r="CA22" i="13"/>
  <c r="CA23" i="13"/>
  <c r="CA24" i="13"/>
  <c r="CA25" i="13"/>
  <c r="CA26" i="13"/>
  <c r="CA27" i="13"/>
  <c r="CA28" i="13"/>
  <c r="CA29" i="13"/>
  <c r="CA30" i="13"/>
  <c r="CA31" i="13"/>
  <c r="CA32" i="13"/>
  <c r="CA33" i="13"/>
  <c r="CA34" i="13"/>
  <c r="CA35" i="13"/>
  <c r="CA36" i="13"/>
  <c r="CA37" i="13"/>
  <c r="CA38" i="13"/>
  <c r="CA39" i="13"/>
  <c r="CA40" i="13"/>
  <c r="CA41" i="13"/>
  <c r="CA42" i="13"/>
  <c r="CA43" i="13"/>
  <c r="CA44" i="13"/>
  <c r="CA45" i="13"/>
  <c r="CA46" i="13"/>
  <c r="CA47" i="13"/>
  <c r="CA48" i="13"/>
  <c r="CA49" i="13"/>
  <c r="CA50" i="13"/>
  <c r="CA51" i="13"/>
  <c r="CA52" i="13"/>
  <c r="CA53" i="13"/>
  <c r="CA54" i="13"/>
  <c r="CA55" i="13"/>
  <c r="CA56" i="13"/>
  <c r="CA57" i="13"/>
  <c r="CA58" i="13"/>
  <c r="CA59" i="13"/>
  <c r="CA60" i="13"/>
  <c r="CA61" i="13"/>
  <c r="CA62" i="13"/>
  <c r="CA63" i="13"/>
  <c r="CA64" i="13"/>
  <c r="CA65" i="13"/>
  <c r="CA66" i="13"/>
  <c r="CA67" i="13"/>
  <c r="CA68" i="13"/>
  <c r="CA69" i="13"/>
  <c r="CA70" i="13"/>
  <c r="CA71" i="13"/>
  <c r="CA72" i="13"/>
  <c r="CA73" i="13"/>
  <c r="CA77" i="13"/>
  <c r="CA78" i="13"/>
  <c r="CA79" i="13"/>
  <c r="CA80" i="13"/>
  <c r="CA81" i="13"/>
  <c r="CA82" i="13"/>
  <c r="CA83" i="13"/>
  <c r="CA84" i="13"/>
  <c r="CA85" i="13"/>
  <c r="CA86" i="13"/>
  <c r="CA87" i="13"/>
  <c r="CA88" i="13"/>
  <c r="CA89" i="13"/>
  <c r="CA90" i="13"/>
  <c r="CA91" i="13"/>
  <c r="CA96" i="13"/>
  <c r="CA97" i="13"/>
  <c r="CA98" i="13"/>
  <c r="CA99" i="13"/>
  <c r="CA100" i="13"/>
  <c r="CA101" i="13"/>
  <c r="CA102" i="13"/>
  <c r="CA103" i="13"/>
  <c r="CA104" i="13"/>
  <c r="CA105" i="13"/>
  <c r="CA106" i="13"/>
  <c r="CA107" i="13"/>
  <c r="CA108" i="13"/>
  <c r="CA109" i="13"/>
  <c r="CA110" i="13"/>
  <c r="CA111" i="13"/>
  <c r="CA112" i="13"/>
  <c r="CA113" i="13"/>
  <c r="CA114" i="13"/>
  <c r="CA115" i="13"/>
  <c r="CA116" i="13"/>
  <c r="CA117" i="13"/>
  <c r="CA118" i="13"/>
  <c r="CA119" i="13"/>
  <c r="CA120" i="13"/>
  <c r="CA128" i="13"/>
  <c r="CA129" i="13"/>
  <c r="CA130" i="13"/>
  <c r="CA131" i="13"/>
  <c r="CA132" i="13"/>
  <c r="CA133" i="13"/>
  <c r="CA134" i="13"/>
  <c r="CA135" i="13"/>
  <c r="CA136" i="13"/>
  <c r="CA137" i="13"/>
  <c r="CA138" i="13"/>
  <c r="CA139" i="13"/>
  <c r="CA140" i="13"/>
  <c r="CA141" i="13"/>
  <c r="CA142" i="13"/>
  <c r="CA143" i="13"/>
  <c r="CA144" i="13"/>
  <c r="CA145" i="13"/>
  <c r="CA146" i="13"/>
  <c r="CA147" i="13"/>
  <c r="CA148" i="13"/>
  <c r="CA149" i="13"/>
  <c r="CA150" i="13"/>
  <c r="CA151" i="13"/>
  <c r="CA152" i="13"/>
  <c r="CA153" i="13"/>
  <c r="CA154" i="13"/>
  <c r="CA155" i="13"/>
  <c r="CA156" i="13"/>
  <c r="CA157" i="13"/>
  <c r="CA158" i="13"/>
  <c r="CA180" i="13"/>
  <c r="CA181" i="13"/>
  <c r="CA182" i="13"/>
  <c r="CA183" i="13"/>
  <c r="CA184" i="13"/>
  <c r="CA185" i="13"/>
  <c r="CA186" i="13"/>
  <c r="CA187" i="13"/>
  <c r="CA188" i="13"/>
  <c r="CA189" i="13"/>
  <c r="CA190" i="13"/>
  <c r="CA191" i="13"/>
  <c r="CA192" i="13"/>
  <c r="CA193" i="13"/>
  <c r="CA194" i="13"/>
  <c r="CA195" i="13"/>
  <c r="CA196" i="13"/>
  <c r="CA197" i="13"/>
  <c r="CA198" i="13"/>
  <c r="CA199" i="13"/>
  <c r="CA200" i="13"/>
  <c r="CA201" i="13"/>
  <c r="CA202" i="13"/>
  <c r="CA203" i="13"/>
  <c r="CA204" i="13"/>
  <c r="CA205" i="13"/>
  <c r="CA206" i="13"/>
  <c r="CA207" i="13"/>
  <c r="CA208" i="13"/>
  <c r="CA209" i="13"/>
  <c r="CA210" i="13"/>
  <c r="CA211" i="13"/>
  <c r="CA212" i="13"/>
  <c r="CA213" i="13"/>
  <c r="CA214" i="13"/>
  <c r="CA216" i="13"/>
  <c r="CA218" i="13"/>
  <c r="CA219" i="13"/>
  <c r="CA223" i="13"/>
  <c r="CA224" i="13"/>
  <c r="CA226" i="13"/>
  <c r="CA229" i="13"/>
  <c r="CA230" i="13"/>
  <c r="CA231" i="13"/>
  <c r="CA232" i="13"/>
  <c r="CA233" i="13"/>
  <c r="CA234" i="13"/>
  <c r="CA235" i="13"/>
  <c r="CA236" i="13"/>
  <c r="CA237" i="13"/>
  <c r="CA238" i="13"/>
  <c r="CA239" i="13"/>
  <c r="CA240" i="13"/>
  <c r="CA241" i="13"/>
  <c r="CA242" i="13"/>
  <c r="CA243" i="13"/>
  <c r="CA244" i="13"/>
  <c r="CA253" i="13"/>
  <c r="CA254" i="13"/>
  <c r="CA255" i="13"/>
  <c r="CA256" i="13"/>
  <c r="CA257" i="13"/>
  <c r="CA258" i="13"/>
  <c r="CA259" i="13"/>
  <c r="CA260" i="13"/>
  <c r="CA261" i="13"/>
  <c r="CA262" i="13"/>
  <c r="CA263" i="13"/>
  <c r="CA264" i="13"/>
  <c r="CA268" i="13"/>
  <c r="CA269" i="13"/>
  <c r="CA270" i="13"/>
  <c r="CA271" i="13"/>
  <c r="CA272" i="13"/>
  <c r="CA273" i="13"/>
  <c r="CA274" i="13"/>
  <c r="CA275" i="13"/>
  <c r="CA276" i="13"/>
  <c r="CA277" i="13"/>
  <c r="CA278" i="13"/>
  <c r="CA279" i="13"/>
  <c r="CA280" i="13"/>
  <c r="CA281" i="13"/>
  <c r="CA282" i="13"/>
  <c r="CA283" i="13"/>
  <c r="CA284" i="13"/>
  <c r="CA285" i="13"/>
  <c r="CA286" i="13"/>
  <c r="CA287" i="13"/>
  <c r="CA288" i="13"/>
  <c r="CA289" i="13"/>
  <c r="CA290" i="13"/>
  <c r="CA291" i="13"/>
  <c r="CA292" i="13"/>
  <c r="CA293" i="13"/>
  <c r="CA294" i="13"/>
  <c r="CA295" i="13"/>
  <c r="CA296" i="13"/>
  <c r="CA297" i="13"/>
  <c r="CA298" i="13"/>
  <c r="CA299" i="13"/>
  <c r="CA300" i="13"/>
  <c r="CA301" i="13"/>
  <c r="CA302" i="13"/>
  <c r="CA303" i="13"/>
  <c r="CA304" i="13"/>
  <c r="CA305" i="13"/>
  <c r="CA306" i="13"/>
  <c r="CA307" i="13"/>
  <c r="CA308" i="13"/>
  <c r="CA309" i="13"/>
  <c r="CA310" i="13"/>
  <c r="CA311" i="13"/>
  <c r="CA312" i="13"/>
  <c r="CA313" i="13"/>
  <c r="CA314" i="13"/>
  <c r="CA315" i="13"/>
  <c r="CA316" i="13"/>
  <c r="CA317" i="13"/>
  <c r="CA318" i="13"/>
  <c r="CA319" i="13"/>
  <c r="CA320" i="13"/>
  <c r="CA321" i="13"/>
  <c r="CA322" i="13"/>
  <c r="CA323" i="13"/>
  <c r="CA324" i="13"/>
  <c r="CA326" i="13"/>
  <c r="CA327" i="13"/>
  <c r="CA328" i="13"/>
  <c r="CA329" i="13"/>
  <c r="CA330" i="13"/>
  <c r="CA331" i="13"/>
  <c r="CA332" i="13"/>
  <c r="CA333" i="13"/>
  <c r="CA334" i="13"/>
  <c r="CA335" i="13"/>
  <c r="CA336" i="13"/>
  <c r="CA337" i="13"/>
  <c r="CA338" i="13"/>
  <c r="CA339" i="13"/>
  <c r="CA340" i="13"/>
  <c r="CA341" i="13"/>
  <c r="CA342" i="13"/>
  <c r="CA343" i="13"/>
  <c r="CA344" i="13"/>
  <c r="CA345" i="13"/>
  <c r="CA346" i="13"/>
  <c r="CA347" i="13"/>
  <c r="CA348" i="13"/>
  <c r="CA349" i="13"/>
  <c r="CA350" i="13"/>
  <c r="CA351" i="13"/>
  <c r="CA352" i="13"/>
  <c r="CA353" i="13"/>
  <c r="CA354" i="13"/>
  <c r="CA355" i="13"/>
  <c r="CA356" i="13"/>
  <c r="CA357" i="13"/>
  <c r="CA358" i="13"/>
  <c r="CA359" i="13"/>
  <c r="CA360" i="13"/>
  <c r="CA361" i="13"/>
  <c r="CA362" i="13"/>
  <c r="CA363" i="13"/>
  <c r="CA364" i="13"/>
  <c r="CA365" i="13"/>
  <c r="CA366" i="13"/>
  <c r="CA367" i="13"/>
  <c r="CA368" i="13"/>
  <c r="CA369" i="13"/>
  <c r="CA370" i="13"/>
  <c r="CA371" i="13"/>
  <c r="CA372" i="13"/>
  <c r="CA373" i="13"/>
  <c r="CA374" i="13"/>
  <c r="CA375" i="13"/>
  <c r="CA376" i="13"/>
  <c r="CA377" i="13"/>
  <c r="CA378" i="13"/>
  <c r="CA379" i="13"/>
  <c r="CA381" i="13"/>
  <c r="CA382" i="13"/>
  <c r="CA383" i="13"/>
  <c r="CA384" i="13"/>
  <c r="CA385" i="13"/>
  <c r="CA386" i="13"/>
  <c r="CA387" i="13"/>
  <c r="CA388" i="13"/>
  <c r="CA389" i="13"/>
  <c r="CA390" i="13"/>
  <c r="CA391" i="13"/>
  <c r="CA392" i="13"/>
  <c r="CA394" i="13"/>
  <c r="CA395" i="13"/>
  <c r="CA396" i="13"/>
  <c r="CA397" i="13"/>
  <c r="CA398" i="13"/>
  <c r="CA399" i="13"/>
  <c r="CA400" i="13"/>
  <c r="CA401" i="13"/>
  <c r="CA402" i="13"/>
  <c r="CA403" i="13"/>
  <c r="CA404" i="13"/>
  <c r="CA405" i="13"/>
  <c r="CA406" i="13"/>
  <c r="CA407" i="13"/>
  <c r="CA408" i="13"/>
  <c r="CA409" i="13"/>
  <c r="CA410" i="13"/>
  <c r="CA411" i="13"/>
  <c r="CA412" i="13"/>
  <c r="CA413" i="13"/>
  <c r="CA414" i="13"/>
  <c r="CA415" i="13"/>
  <c r="CA416" i="13"/>
  <c r="CA417" i="13"/>
  <c r="CA418" i="13"/>
  <c r="CA419" i="13"/>
  <c r="CA420" i="13"/>
  <c r="CA421" i="13"/>
  <c r="CA422" i="13"/>
  <c r="CA423" i="13"/>
  <c r="CA424" i="13"/>
  <c r="CA425" i="13"/>
  <c r="CA426" i="13"/>
  <c r="CA427" i="13"/>
  <c r="CA428" i="13"/>
  <c r="CA429" i="13"/>
  <c r="CA430" i="13"/>
  <c r="CA431" i="13"/>
  <c r="CA432" i="13"/>
  <c r="CA433" i="13"/>
  <c r="CA434" i="13"/>
  <c r="CA435" i="13"/>
  <c r="CA436" i="13"/>
  <c r="CA437" i="13"/>
  <c r="CA438" i="13"/>
  <c r="CA439" i="13"/>
  <c r="CA440" i="13"/>
  <c r="CA441" i="13"/>
  <c r="CA442" i="13"/>
  <c r="CA443" i="13"/>
  <c r="CA444" i="13"/>
  <c r="CA445" i="13"/>
  <c r="CA446" i="13"/>
  <c r="CA447" i="13"/>
  <c r="CA448" i="13"/>
  <c r="CA449" i="13"/>
  <c r="CA450" i="13"/>
  <c r="CA451" i="13"/>
  <c r="CA452" i="13"/>
  <c r="CA453" i="13"/>
  <c r="CA454" i="13"/>
  <c r="CA455" i="13"/>
  <c r="CA456" i="13"/>
  <c r="CA457" i="13"/>
  <c r="CA458" i="13"/>
  <c r="CA459" i="13"/>
  <c r="CA460" i="13"/>
  <c r="CA461" i="13"/>
  <c r="CA462" i="13"/>
  <c r="CA463" i="13"/>
  <c r="CA464" i="13"/>
  <c r="CA465" i="13"/>
  <c r="CA466" i="13"/>
  <c r="CA467" i="13"/>
  <c r="CA468" i="13"/>
  <c r="CA469" i="13"/>
  <c r="CA470" i="13"/>
  <c r="CA471" i="13"/>
  <c r="CA472" i="13"/>
  <c r="CA473" i="13"/>
  <c r="CA474" i="13"/>
  <c r="CA475" i="13"/>
  <c r="CA476" i="13"/>
  <c r="CA477" i="13"/>
  <c r="CA478" i="13"/>
  <c r="CA479" i="13"/>
  <c r="CA480" i="13"/>
  <c r="CA481" i="13"/>
  <c r="CA482" i="13"/>
  <c r="CA483" i="13"/>
  <c r="CA484" i="13"/>
  <c r="CA485" i="13"/>
  <c r="CA486" i="13"/>
  <c r="CA487" i="13"/>
  <c r="CA488" i="13"/>
  <c r="CA489" i="13"/>
  <c r="CA490" i="13"/>
  <c r="CA491" i="13"/>
  <c r="CA492" i="13"/>
  <c r="CA496" i="13"/>
  <c r="CA497" i="13"/>
  <c r="CA499" i="13"/>
  <c r="CA500" i="13"/>
  <c r="CA501" i="13"/>
  <c r="CA502" i="13"/>
  <c r="CA503" i="13"/>
  <c r="CA504" i="13"/>
  <c r="CA505" i="13"/>
  <c r="CA506" i="13"/>
  <c r="CA507" i="13"/>
  <c r="CA508" i="13"/>
  <c r="CA509" i="13"/>
  <c r="CA510" i="13"/>
  <c r="CA511" i="13"/>
  <c r="CA512" i="13"/>
  <c r="CA513" i="13"/>
  <c r="CA514" i="13"/>
  <c r="CA515" i="13"/>
  <c r="CA516" i="13"/>
  <c r="CA517" i="13"/>
  <c r="CA518" i="13"/>
  <c r="CA519" i="13"/>
  <c r="CA520" i="13"/>
  <c r="CA521" i="13"/>
  <c r="CA522" i="13"/>
  <c r="CA523" i="13"/>
  <c r="CA524" i="13"/>
  <c r="CA525" i="13"/>
  <c r="CA526" i="13"/>
  <c r="CA527" i="13"/>
  <c r="CA528" i="13"/>
  <c r="CA529" i="13"/>
  <c r="CA530" i="13"/>
  <c r="CA531" i="13"/>
  <c r="CA532" i="13"/>
  <c r="CA533" i="13"/>
  <c r="CA537" i="13"/>
  <c r="CA539" i="13"/>
  <c r="CA540" i="13"/>
  <c r="CA542" i="13"/>
  <c r="CA543" i="13"/>
  <c r="CA544" i="13"/>
  <c r="CA545" i="13"/>
  <c r="CA546" i="13"/>
  <c r="CA547" i="13"/>
  <c r="CA548" i="13"/>
  <c r="CA549" i="13"/>
  <c r="CA550" i="13"/>
  <c r="CA551" i="13"/>
  <c r="CA552" i="13"/>
  <c r="CA553" i="13"/>
  <c r="CA554" i="13"/>
  <c r="CA555" i="13"/>
  <c r="CA556" i="13"/>
  <c r="CA557" i="13"/>
  <c r="CA558" i="13"/>
  <c r="CA559" i="13"/>
  <c r="CA560" i="13"/>
  <c r="CA561" i="13"/>
  <c r="CA562" i="13"/>
  <c r="CA563" i="13"/>
  <c r="CA564" i="13"/>
  <c r="CA565" i="13"/>
  <c r="CA566" i="13"/>
  <c r="CA567" i="13"/>
  <c r="CA568" i="13"/>
  <c r="CA569" i="13"/>
  <c r="CA570" i="13"/>
  <c r="CA571" i="13"/>
  <c r="CA572" i="13"/>
  <c r="CA573" i="13"/>
  <c r="CA574" i="13"/>
  <c r="CA575" i="13"/>
  <c r="CA576" i="13"/>
  <c r="CA585" i="13"/>
  <c r="CA586" i="13"/>
  <c r="CA587" i="13"/>
  <c r="CA588" i="13"/>
  <c r="CA589" i="13"/>
  <c r="CA590" i="13"/>
  <c r="CA591" i="13"/>
  <c r="CA592" i="13"/>
  <c r="CA593" i="13"/>
  <c r="CA594" i="13"/>
  <c r="CA595" i="13"/>
  <c r="CA596" i="13"/>
  <c r="CA597" i="13"/>
  <c r="CA598" i="13"/>
  <c r="CA599" i="13"/>
  <c r="CA600" i="13"/>
  <c r="CA603" i="13"/>
  <c r="CA604" i="13"/>
  <c r="CA605" i="13"/>
  <c r="CA606" i="13"/>
  <c r="CA607" i="13"/>
  <c r="CA608" i="13"/>
  <c r="CA609" i="13"/>
  <c r="CA610" i="13"/>
  <c r="CA612" i="13"/>
  <c r="CA613" i="13"/>
  <c r="CA614" i="13"/>
  <c r="CA615" i="13"/>
  <c r="CA616" i="13"/>
  <c r="CA617" i="13"/>
  <c r="CA618" i="13"/>
  <c r="CA619" i="13"/>
  <c r="CA620" i="13"/>
  <c r="CA621" i="13"/>
  <c r="CA622" i="13"/>
  <c r="CA623" i="13"/>
  <c r="CA624" i="13"/>
  <c r="CA625" i="13"/>
  <c r="CA626" i="13"/>
  <c r="CA627" i="13"/>
  <c r="CA628" i="13"/>
  <c r="CA629" i="13"/>
  <c r="CA630" i="13"/>
  <c r="CA631" i="13"/>
  <c r="CA632" i="13"/>
  <c r="CA633" i="13"/>
  <c r="CA634" i="13"/>
  <c r="CA640" i="13"/>
  <c r="CA641" i="13"/>
  <c r="CA642" i="13"/>
  <c r="CA643" i="13"/>
  <c r="CA644" i="13"/>
  <c r="CA645" i="13"/>
  <c r="CA646" i="13"/>
  <c r="CA647" i="13"/>
  <c r="CA648" i="13"/>
  <c r="CA649" i="13"/>
  <c r="CA650" i="13"/>
  <c r="CA651" i="13"/>
  <c r="CA652" i="13"/>
  <c r="CA653" i="13"/>
  <c r="CA654" i="13"/>
  <c r="CA655" i="13"/>
  <c r="CA656" i="13"/>
  <c r="CA657" i="13"/>
  <c r="CA658" i="13"/>
  <c r="CA659" i="13"/>
  <c r="CA660" i="13"/>
  <c r="CA661" i="13"/>
  <c r="CA662" i="13"/>
  <c r="CA663" i="13"/>
  <c r="CA664" i="13"/>
  <c r="CA665" i="13"/>
  <c r="CA666" i="13"/>
  <c r="CA667" i="13"/>
  <c r="CA668" i="13"/>
  <c r="CA669" i="13"/>
  <c r="CA670" i="13"/>
  <c r="CA671" i="13"/>
  <c r="CA672" i="13"/>
  <c r="CA673" i="13"/>
  <c r="CA674" i="13"/>
  <c r="CA675" i="13"/>
  <c r="CA676" i="13"/>
  <c r="CA677" i="13"/>
  <c r="CA678" i="13"/>
  <c r="CA679" i="13"/>
  <c r="CA680" i="13"/>
  <c r="CA681" i="13"/>
  <c r="CA682" i="13"/>
  <c r="CA683" i="13"/>
  <c r="CA684" i="13"/>
  <c r="CA685" i="13"/>
  <c r="CA686" i="13"/>
  <c r="CA687" i="13"/>
  <c r="CA688" i="13"/>
  <c r="CA689" i="13"/>
  <c r="CA690" i="13"/>
  <c r="CA691" i="13"/>
  <c r="CA692" i="13"/>
  <c r="CA693" i="13"/>
  <c r="CA694" i="13"/>
  <c r="CA695" i="13"/>
  <c r="CA696" i="13"/>
  <c r="CA697" i="13"/>
  <c r="CA698" i="13"/>
  <c r="CA699" i="13"/>
  <c r="CA700" i="13"/>
  <c r="CA701" i="13"/>
  <c r="CA702" i="13"/>
  <c r="CA703" i="13"/>
  <c r="CA704" i="13"/>
  <c r="CA705" i="13"/>
  <c r="CA706" i="13"/>
  <c r="CA707" i="13"/>
  <c r="CA708" i="13"/>
  <c r="CA709" i="13"/>
  <c r="CA710" i="13"/>
  <c r="CA711" i="13"/>
  <c r="CA712" i="13"/>
  <c r="CA713" i="13"/>
  <c r="CA714" i="13"/>
  <c r="CA715" i="13"/>
  <c r="CA716" i="13"/>
  <c r="CA717" i="13"/>
  <c r="CA718" i="13"/>
  <c r="CA719" i="13"/>
  <c r="CA720" i="13"/>
  <c r="CA721" i="13"/>
  <c r="CA722" i="13"/>
  <c r="CA723" i="13"/>
  <c r="CA724" i="13"/>
  <c r="CA725" i="13"/>
  <c r="CA726" i="13"/>
  <c r="CA727" i="13"/>
  <c r="CA728" i="13"/>
  <c r="CA729" i="13"/>
  <c r="CA730" i="13"/>
  <c r="CA731" i="13"/>
  <c r="CA732" i="13"/>
  <c r="CA733" i="13"/>
  <c r="CA734" i="13"/>
  <c r="CA735" i="13"/>
  <c r="CA736" i="13"/>
  <c r="CA737" i="13"/>
  <c r="CA738" i="13"/>
  <c r="CA739" i="13"/>
  <c r="CA740" i="13"/>
  <c r="CA741" i="13"/>
  <c r="CA742" i="13"/>
  <c r="CA743" i="13"/>
  <c r="CA758" i="13"/>
  <c r="CA759" i="13"/>
  <c r="CA760" i="13"/>
  <c r="CA761" i="13"/>
  <c r="CA762" i="13"/>
  <c r="CA763" i="13"/>
  <c r="CA764" i="13"/>
  <c r="CA765" i="13"/>
  <c r="CA774" i="13"/>
  <c r="CA775" i="13"/>
  <c r="CA776" i="13"/>
  <c r="CA777" i="13"/>
  <c r="CA779" i="13"/>
  <c r="CA780" i="13"/>
  <c r="CA781" i="13"/>
  <c r="CA782" i="13"/>
  <c r="CA783" i="13"/>
  <c r="CA784" i="13"/>
  <c r="CA785" i="13"/>
  <c r="CA786" i="13"/>
  <c r="CA787" i="13"/>
  <c r="CA788" i="13"/>
  <c r="CA789" i="13"/>
  <c r="CA790" i="13"/>
  <c r="CA791" i="13"/>
  <c r="CA792" i="13"/>
  <c r="CA793" i="13"/>
  <c r="CA794" i="13"/>
  <c r="CA795" i="13"/>
  <c r="CA796" i="13"/>
  <c r="CA797" i="13"/>
  <c r="CA850" i="13"/>
  <c r="CA851" i="13"/>
  <c r="CA852" i="13"/>
  <c r="CA853" i="13"/>
  <c r="CA854" i="13"/>
  <c r="CA855" i="13"/>
  <c r="CA856" i="13"/>
  <c r="CA857" i="13"/>
  <c r="CA858" i="13"/>
  <c r="BY741" i="13"/>
  <c r="AC741" i="13"/>
  <c r="AG741" i="13" s="1"/>
  <c r="BY740" i="13"/>
  <c r="AC740" i="13"/>
  <c r="AG740" i="13" s="1"/>
  <c r="BY739" i="13"/>
  <c r="AC739" i="13"/>
  <c r="AG739" i="13" s="1"/>
  <c r="BY738" i="13"/>
  <c r="AC738" i="13"/>
  <c r="AG738" i="13" s="1"/>
  <c r="BY737" i="13"/>
  <c r="AC737" i="13"/>
  <c r="AG737" i="13" s="1"/>
  <c r="BY736" i="13"/>
  <c r="AC736" i="13"/>
  <c r="AG736" i="13" s="1"/>
  <c r="BY735" i="13"/>
  <c r="AC735" i="13"/>
  <c r="AG735" i="13" s="1"/>
  <c r="BY734" i="13"/>
  <c r="AC734" i="13"/>
  <c r="AG734" i="13" s="1"/>
  <c r="BY733" i="13"/>
  <c r="AC733" i="13"/>
  <c r="AG733" i="13" s="1"/>
  <c r="BY732" i="13"/>
  <c r="AC732" i="13"/>
  <c r="AG732" i="13" s="1"/>
  <c r="BY731" i="13"/>
  <c r="AC731" i="13"/>
  <c r="AG731" i="13" s="1"/>
  <c r="BY730" i="13"/>
  <c r="AC730" i="13"/>
  <c r="AG730" i="13" s="1"/>
  <c r="BY729" i="13"/>
  <c r="AJ729" i="13"/>
  <c r="AC729" i="13"/>
  <c r="AG729" i="13" s="1"/>
  <c r="BY728" i="13"/>
  <c r="AC728" i="13"/>
  <c r="AG728" i="13" s="1"/>
  <c r="BY727" i="13"/>
  <c r="AC727" i="13"/>
  <c r="AG727" i="13" s="1"/>
  <c r="BY726" i="13"/>
  <c r="AC726" i="13"/>
  <c r="AG726" i="13" s="1"/>
  <c r="BY725" i="13"/>
  <c r="AC725" i="13"/>
  <c r="AG725" i="13" s="1"/>
  <c r="BY724" i="13"/>
  <c r="AC724" i="13"/>
  <c r="AG724" i="13" s="1"/>
  <c r="BY723" i="13"/>
  <c r="AC723" i="13"/>
  <c r="AG723" i="13" s="1"/>
  <c r="BY722" i="13"/>
  <c r="AC722" i="13"/>
  <c r="AG722" i="13" s="1"/>
  <c r="BY721" i="13"/>
  <c r="AC721" i="13"/>
  <c r="AG721" i="13" s="1"/>
  <c r="BY720" i="13"/>
  <c r="AC720" i="13"/>
  <c r="AG720" i="13" s="1"/>
  <c r="BY719" i="13"/>
  <c r="AC719" i="13"/>
  <c r="AG719" i="13" s="1"/>
  <c r="BY718" i="13"/>
  <c r="AC718" i="13"/>
  <c r="AG718" i="13" s="1"/>
  <c r="BY717" i="13"/>
  <c r="AC717" i="13"/>
  <c r="AG717" i="13" s="1"/>
  <c r="BY716" i="13"/>
  <c r="AJ716" i="13"/>
  <c r="AC716" i="13"/>
  <c r="AG716" i="13" s="1"/>
  <c r="BY691" i="13"/>
  <c r="BY692" i="13"/>
  <c r="BY693" i="13"/>
  <c r="BY694" i="13"/>
  <c r="BY695" i="13"/>
  <c r="BY696" i="13"/>
  <c r="BY697" i="13"/>
  <c r="BY698" i="13"/>
  <c r="BY699" i="13"/>
  <c r="BY700" i="13"/>
  <c r="BY701" i="13"/>
  <c r="BY702" i="13"/>
  <c r="BY703" i="13"/>
  <c r="BY704" i="13"/>
  <c r="BY705" i="13"/>
  <c r="BY706" i="13"/>
  <c r="BY707" i="13"/>
  <c r="BY708" i="13"/>
  <c r="BY709" i="13"/>
  <c r="BY710" i="13"/>
  <c r="BY711" i="13"/>
  <c r="BY712" i="13"/>
  <c r="BY713" i="13"/>
  <c r="BY714" i="13"/>
  <c r="BY715" i="13"/>
  <c r="BY690" i="13"/>
  <c r="AC687" i="13"/>
  <c r="AC686" i="13"/>
  <c r="AC685" i="13"/>
  <c r="AC684" i="13"/>
  <c r="AC683" i="13"/>
  <c r="AC682" i="13"/>
  <c r="AC681" i="13"/>
  <c r="AC680" i="13"/>
  <c r="AC679" i="13"/>
  <c r="M3" i="14"/>
  <c r="AC651" i="13"/>
  <c r="AC650" i="13"/>
  <c r="AC649" i="13"/>
  <c r="AC648" i="13"/>
  <c r="AC647" i="13"/>
  <c r="AC646" i="13"/>
  <c r="AC645" i="13"/>
  <c r="AC644" i="13"/>
  <c r="AC643" i="13"/>
  <c r="AC642" i="13"/>
  <c r="AC641" i="13"/>
  <c r="BZ639" i="13"/>
  <c r="CA639" i="13" s="1"/>
  <c r="BZ638" i="13"/>
  <c r="CA638" i="13" s="1"/>
  <c r="BJ639" i="13"/>
  <c r="AC639" i="13"/>
  <c r="BJ638" i="13"/>
  <c r="AC638" i="13"/>
  <c r="BZ637" i="13"/>
  <c r="CA637" i="13" s="1"/>
  <c r="BZ636" i="13"/>
  <c r="CA636" i="13" s="1"/>
  <c r="BZ635" i="13"/>
  <c r="CA635" i="13" s="1"/>
  <c r="BJ636" i="13"/>
  <c r="BJ637" i="13"/>
  <c r="BJ635" i="13"/>
  <c r="BY633" i="13"/>
  <c r="BY634" i="13"/>
  <c r="BY632" i="13"/>
  <c r="BY631" i="13"/>
  <c r="BY630" i="13"/>
  <c r="BY629" i="13"/>
  <c r="BJ634" i="13"/>
  <c r="BJ633" i="13"/>
  <c r="BJ632" i="13"/>
  <c r="BJ631" i="13"/>
  <c r="BJ630" i="13"/>
  <c r="BJ629" i="13"/>
  <c r="AC615" i="13"/>
  <c r="AG615" i="13" s="1"/>
  <c r="AC614" i="13"/>
  <c r="AG614" i="13" s="1"/>
  <c r="AC613" i="13"/>
  <c r="AG613" i="13" s="1"/>
  <c r="AC612" i="13"/>
  <c r="AG612" i="13" s="1"/>
  <c r="BZ611" i="13" l="1"/>
  <c r="CA611" i="13" s="1"/>
  <c r="AC611" i="13"/>
  <c r="AC610" i="13"/>
  <c r="AC609" i="13"/>
  <c r="AC608" i="13"/>
  <c r="AC607" i="13"/>
  <c r="AC606" i="13"/>
  <c r="AC605" i="13"/>
  <c r="AC604" i="13"/>
  <c r="BZ602" i="13"/>
  <c r="CA602" i="13" s="1"/>
  <c r="BZ601" i="13"/>
  <c r="CA601" i="13" s="1"/>
  <c r="AC602" i="13"/>
  <c r="AC599" i="13"/>
  <c r="AG599" i="13" s="1"/>
  <c r="AC600" i="13"/>
  <c r="AG600" i="13" s="1"/>
  <c r="AC597" i="13"/>
  <c r="AC596" i="13"/>
  <c r="AC595" i="13"/>
  <c r="AC594" i="13"/>
  <c r="BJ592" i="13"/>
  <c r="AC592" i="13"/>
  <c r="BJ591" i="13"/>
  <c r="BJ590" i="13"/>
  <c r="AC590" i="13"/>
  <c r="BJ589" i="13"/>
  <c r="AC589" i="13"/>
  <c r="BJ588" i="13"/>
  <c r="AC588" i="13"/>
  <c r="BJ586" i="13"/>
  <c r="AC586" i="13"/>
  <c r="BJ587" i="13"/>
  <c r="AC587" i="13"/>
  <c r="BJ585" i="13"/>
  <c r="AC585" i="13"/>
  <c r="J6" i="14"/>
  <c r="J7" i="14" s="1"/>
  <c r="J8" i="14" s="1"/>
  <c r="J9" i="14"/>
  <c r="BZ584" i="13"/>
  <c r="CA584" i="13" s="1"/>
  <c r="BJ584" i="13"/>
  <c r="AC584" i="13"/>
  <c r="BZ583" i="13"/>
  <c r="CA583" i="13" s="1"/>
  <c r="BZ581" i="13"/>
  <c r="CA581" i="13" s="1"/>
  <c r="BZ582" i="13"/>
  <c r="CA582" i="13" s="1"/>
  <c r="BZ580" i="13"/>
  <c r="CA580" i="13" s="1"/>
  <c r="BJ583" i="13"/>
  <c r="AC583" i="13"/>
  <c r="BJ582" i="13"/>
  <c r="AC582" i="13"/>
  <c r="BJ581" i="13"/>
  <c r="AC581" i="13"/>
  <c r="BJ580" i="13"/>
  <c r="AC580" i="13"/>
  <c r="BZ579" i="13"/>
  <c r="CA579" i="13" s="1"/>
  <c r="BZ578" i="13"/>
  <c r="CA578" i="13" s="1"/>
  <c r="BZ577" i="13"/>
  <c r="CA577" i="13" s="1"/>
  <c r="BJ579" i="13"/>
  <c r="AC579" i="13"/>
  <c r="BJ578" i="13"/>
  <c r="AC578" i="13"/>
  <c r="BJ577" i="13"/>
  <c r="AC576" i="13"/>
  <c r="AC575" i="13"/>
  <c r="AC574" i="13"/>
  <c r="AC573" i="13"/>
  <c r="AC572" i="13"/>
  <c r="AC571" i="13"/>
  <c r="AC570" i="13"/>
  <c r="AC569" i="13"/>
  <c r="AC568" i="13"/>
  <c r="AC567" i="13"/>
  <c r="AC566" i="13"/>
  <c r="AC565" i="13"/>
  <c r="AC564" i="13"/>
  <c r="AC563" i="13"/>
  <c r="AC562" i="13"/>
  <c r="AC561" i="13"/>
  <c r="AC559" i="13"/>
  <c r="BJ552" i="13"/>
  <c r="AC552" i="13"/>
  <c r="BJ550" i="13"/>
  <c r="AC550" i="13"/>
  <c r="BJ548" i="13"/>
  <c r="AC548" i="13"/>
  <c r="BJ546" i="13"/>
  <c r="AC546" i="13"/>
  <c r="BJ553" i="13"/>
  <c r="BJ554" i="13"/>
  <c r="BJ547" i="13"/>
  <c r="BJ549" i="13"/>
  <c r="BJ551" i="13"/>
  <c r="BJ545" i="13"/>
  <c r="BJ544" i="13"/>
  <c r="AC545" i="13"/>
  <c r="BJ542" i="13"/>
  <c r="BJ543" i="13"/>
  <c r="AC542" i="13"/>
  <c r="BZ536" i="13"/>
  <c r="CA536" i="13" s="1"/>
  <c r="BZ538" i="13"/>
  <c r="CA538" i="13" s="1"/>
  <c r="AC538" i="13"/>
  <c r="AC539" i="13"/>
  <c r="AC537" i="13"/>
  <c r="AC540" i="13"/>
  <c r="BZ541" i="13"/>
  <c r="CA541" i="13" s="1"/>
  <c r="BZ535" i="13"/>
  <c r="CA535" i="13" s="1"/>
  <c r="BZ534" i="13"/>
  <c r="CA534" i="13" s="1"/>
  <c r="BJ530" i="13"/>
  <c r="AF530" i="13"/>
  <c r="AJ530" i="13" s="1"/>
  <c r="AC530" i="13"/>
  <c r="BJ529" i="13"/>
  <c r="AF529" i="13"/>
  <c r="AJ529" i="13" s="1"/>
  <c r="AC529" i="13"/>
  <c r="BJ528" i="13"/>
  <c r="AF528" i="13"/>
  <c r="AJ528" i="13" s="1"/>
  <c r="AC528" i="13"/>
  <c r="BJ527" i="13"/>
  <c r="BJ526" i="13"/>
  <c r="BJ525" i="13"/>
  <c r="BJ533" i="13"/>
  <c r="BJ532" i="13"/>
  <c r="BJ531" i="13"/>
  <c r="BJ510" i="13"/>
  <c r="AC510" i="13"/>
  <c r="BJ524" i="13"/>
  <c r="BJ523" i="13"/>
  <c r="BJ522" i="13"/>
  <c r="BJ521" i="13"/>
  <c r="BJ520" i="13"/>
  <c r="BJ519" i="13"/>
  <c r="BJ518" i="13"/>
  <c r="BJ517" i="13"/>
  <c r="BJ516" i="13"/>
  <c r="BJ515" i="13"/>
  <c r="BJ514" i="13"/>
  <c r="BJ513" i="13"/>
  <c r="BJ512" i="13"/>
  <c r="BJ511" i="13"/>
  <c r="BJ509" i="13"/>
  <c r="AC524" i="13"/>
  <c r="AC523" i="13"/>
  <c r="AC522" i="13"/>
  <c r="AC521" i="13"/>
  <c r="AC520" i="13"/>
  <c r="AC519" i="13"/>
  <c r="AC518" i="13"/>
  <c r="AC517" i="13"/>
  <c r="AC516" i="13"/>
  <c r="AC515" i="13"/>
  <c r="AC514" i="13"/>
  <c r="AC513" i="13"/>
  <c r="AC512" i="13"/>
  <c r="BY509" i="13"/>
  <c r="BY508" i="13"/>
  <c r="BY507" i="13"/>
  <c r="BJ508" i="13"/>
  <c r="BJ507" i="13"/>
  <c r="BY506" i="13"/>
  <c r="BJ506" i="13"/>
  <c r="BY505" i="13"/>
  <c r="BY504" i="13"/>
  <c r="BY503" i="13"/>
  <c r="BY502" i="13"/>
  <c r="BJ505" i="13"/>
  <c r="BJ504" i="13"/>
  <c r="BJ503" i="13"/>
  <c r="BJ502" i="13"/>
  <c r="AC505" i="13"/>
  <c r="BY501" i="13"/>
  <c r="BJ501" i="13"/>
  <c r="J10" i="14" l="1"/>
  <c r="BZ498" i="13"/>
  <c r="CA498" i="13" s="1"/>
  <c r="AC498" i="13"/>
  <c r="AC497" i="13"/>
  <c r="BZ495" i="13"/>
  <c r="CA495" i="13" s="1"/>
  <c r="BZ494" i="13"/>
  <c r="CA494" i="13" s="1"/>
  <c r="AC495" i="13"/>
  <c r="AC496" i="13"/>
  <c r="AC494" i="13"/>
  <c r="BZ493" i="13"/>
  <c r="CA493" i="13" s="1"/>
  <c r="AC489" i="13"/>
  <c r="AC488" i="13"/>
  <c r="AC490" i="13"/>
  <c r="AC487" i="13"/>
  <c r="AC486" i="13"/>
  <c r="AC485" i="13"/>
  <c r="AC484" i="13"/>
  <c r="AC483" i="13"/>
  <c r="BJ481" i="13"/>
  <c r="BJ480" i="13"/>
  <c r="BJ479" i="13"/>
  <c r="BJ478" i="13"/>
  <c r="BJ477" i="13"/>
  <c r="BJ476" i="13"/>
  <c r="BJ475" i="13"/>
  <c r="BJ474" i="13"/>
  <c r="BJ473" i="13"/>
  <c r="BJ472" i="13"/>
  <c r="BJ471" i="13"/>
  <c r="BJ470" i="13"/>
  <c r="BJ469" i="13"/>
  <c r="BJ468" i="13"/>
  <c r="BJ467" i="13"/>
  <c r="BJ466" i="13"/>
  <c r="AC481" i="13"/>
  <c r="AC480" i="13"/>
  <c r="AC479" i="13"/>
  <c r="AC478" i="13"/>
  <c r="AC477" i="13"/>
  <c r="AC476" i="13"/>
  <c r="AC475" i="13"/>
  <c r="AC474" i="13"/>
  <c r="AC473" i="13"/>
  <c r="AC472" i="13"/>
  <c r="AC471" i="13"/>
  <c r="AC470" i="13"/>
  <c r="AC469" i="13"/>
  <c r="AC467" i="13"/>
  <c r="AC468" i="13"/>
  <c r="AC457" i="13"/>
  <c r="AC456" i="13"/>
  <c r="AC455" i="13"/>
  <c r="AC454" i="13"/>
  <c r="AC452" i="13"/>
  <c r="AC453" i="13"/>
  <c r="AC458" i="13"/>
  <c r="AC449" i="13"/>
  <c r="AC444" i="13"/>
  <c r="AC443" i="13"/>
  <c r="AC440" i="13"/>
  <c r="AG440" i="13" s="1"/>
  <c r="AC439" i="13"/>
  <c r="AG439" i="13" s="1"/>
  <c r="AC438" i="13"/>
  <c r="AG438" i="13" s="1"/>
  <c r="AC437" i="13"/>
  <c r="AG437" i="13" s="1"/>
  <c r="AC436" i="13"/>
  <c r="AG436" i="13" s="1"/>
  <c r="AC435" i="13"/>
  <c r="AG435" i="13" s="1"/>
  <c r="AC434" i="13"/>
  <c r="AG434" i="13" s="1"/>
  <c r="AC430" i="13"/>
  <c r="AG430" i="13" s="1"/>
  <c r="AC431" i="13"/>
  <c r="AG431" i="13" s="1"/>
  <c r="AC432" i="13"/>
  <c r="AG432" i="13" s="1"/>
  <c r="AC428" i="13"/>
  <c r="AC427" i="13"/>
  <c r="AC426" i="13"/>
  <c r="AC425" i="13"/>
  <c r="CA2" i="13" l="1"/>
  <c r="BJ424" i="13"/>
  <c r="AC424" i="13"/>
  <c r="BJ423" i="13"/>
  <c r="AC423" i="13"/>
  <c r="BJ422" i="13"/>
  <c r="AC422" i="13"/>
  <c r="BJ421" i="13"/>
  <c r="AC421" i="13"/>
  <c r="BJ420" i="13"/>
  <c r="AC420" i="13"/>
  <c r="BJ419" i="13"/>
  <c r="AC419" i="13"/>
  <c r="BJ418" i="13"/>
  <c r="AC418" i="13"/>
  <c r="BJ416" i="13"/>
  <c r="AC416" i="13"/>
  <c r="BJ415" i="13"/>
  <c r="AC415" i="13"/>
  <c r="BJ414" i="13"/>
  <c r="AC414" i="13"/>
  <c r="BJ413" i="13"/>
  <c r="AC413" i="13"/>
  <c r="BJ417" i="13"/>
  <c r="BP411" i="13"/>
  <c r="BO411" i="13"/>
  <c r="AC412" i="13"/>
  <c r="AG412" i="13" s="1"/>
  <c r="AC410" i="13"/>
  <c r="AG410" i="13" s="1"/>
  <c r="AC409" i="13"/>
  <c r="AG409" i="13" s="1"/>
  <c r="AC408" i="13"/>
  <c r="AG408" i="13" s="1"/>
  <c r="AC404" i="13"/>
  <c r="AG404" i="13" s="1"/>
  <c r="AC403" i="13"/>
  <c r="AG403" i="13" s="1"/>
  <c r="BY402" i="13"/>
  <c r="BY401" i="13"/>
  <c r="BY400" i="13"/>
  <c r="BY399" i="13"/>
  <c r="BY398" i="13"/>
  <c r="BY397" i="13"/>
  <c r="BZ393" i="13"/>
  <c r="CA393" i="13" s="1"/>
  <c r="AC396" i="13"/>
  <c r="AC387" i="13"/>
  <c r="BZ380" i="13"/>
  <c r="CA380" i="13" s="1"/>
  <c r="BY385" i="13"/>
  <c r="BJ385" i="13"/>
  <c r="AC385" i="13"/>
  <c r="BY384" i="13"/>
  <c r="BJ384" i="13"/>
  <c r="AC384" i="13"/>
  <c r="BY383" i="13"/>
  <c r="BJ383" i="13"/>
  <c r="AC383" i="13"/>
  <c r="BY382" i="13"/>
  <c r="BJ382" i="13"/>
  <c r="AC382" i="13"/>
  <c r="BY381" i="13"/>
  <c r="BJ381" i="13"/>
  <c r="AC381" i="13"/>
  <c r="BY380" i="13"/>
  <c r="BJ380" i="13"/>
  <c r="AC380" i="13"/>
  <c r="BY379" i="13"/>
  <c r="BY378" i="13"/>
  <c r="BY377" i="13"/>
  <c r="BY376" i="13"/>
  <c r="BY375" i="13"/>
  <c r="BY374" i="13"/>
  <c r="BJ379" i="13"/>
  <c r="BJ378" i="13"/>
  <c r="BJ377" i="13"/>
  <c r="BJ376" i="13"/>
  <c r="BJ375" i="13"/>
  <c r="AC379" i="13"/>
  <c r="AC378" i="13"/>
  <c r="AC377" i="13"/>
  <c r="AC376" i="13"/>
  <c r="AC375" i="13"/>
  <c r="BJ374" i="13"/>
  <c r="AC373" i="13"/>
  <c r="AG373" i="13" s="1"/>
  <c r="AC372" i="13"/>
  <c r="AG372" i="13" s="1"/>
  <c r="AC371" i="13"/>
  <c r="AG371" i="13" s="1"/>
  <c r="AC370" i="13"/>
  <c r="AG370" i="13" s="1"/>
  <c r="AC369" i="13"/>
  <c r="AG369" i="13" s="1"/>
  <c r="AC368" i="13"/>
  <c r="AG368" i="13" s="1"/>
  <c r="AC367" i="13"/>
  <c r="AG367" i="13" s="1"/>
  <c r="AC366" i="13"/>
  <c r="AG366" i="13" s="1"/>
  <c r="AC365" i="13"/>
  <c r="AG365" i="13" s="1"/>
  <c r="AC364" i="13"/>
  <c r="AG364" i="13" s="1"/>
  <c r="AC363" i="13"/>
  <c r="AG363" i="13" s="1"/>
  <c r="AC362" i="13"/>
  <c r="AG362" i="13" s="1"/>
  <c r="AC361" i="13"/>
  <c r="AG361" i="13" s="1"/>
  <c r="AC360" i="13"/>
  <c r="AG360" i="13" s="1"/>
  <c r="AC359" i="13"/>
  <c r="AG359" i="13" s="1"/>
  <c r="AC358" i="13"/>
  <c r="AG358" i="13" s="1"/>
  <c r="AC357" i="13"/>
  <c r="AG357" i="13" s="1"/>
  <c r="AC356" i="13"/>
  <c r="AG356" i="13" s="1"/>
  <c r="AC355" i="13"/>
  <c r="AG355" i="13" s="1"/>
  <c r="AC354" i="13"/>
  <c r="AG354" i="13" s="1"/>
  <c r="AC353" i="13"/>
  <c r="AG353" i="13" s="1"/>
  <c r="AC352" i="13"/>
  <c r="AG352" i="13" s="1"/>
  <c r="AC351" i="13"/>
  <c r="AG351" i="13" s="1"/>
  <c r="AC350" i="13"/>
  <c r="AG350" i="13" s="1"/>
  <c r="AC349" i="13"/>
  <c r="AG349" i="13" s="1"/>
  <c r="BZ325" i="13"/>
  <c r="CA325" i="13" s="1"/>
  <c r="AC327" i="13"/>
  <c r="AC326" i="13"/>
  <c r="AC324" i="13"/>
  <c r="AG324" i="13" s="1"/>
  <c r="AC323" i="13"/>
  <c r="AG323" i="13" s="1"/>
  <c r="AC322" i="13"/>
  <c r="AC321" i="13"/>
  <c r="AC320" i="13"/>
  <c r="AC319" i="13"/>
  <c r="AC318" i="13"/>
  <c r="AC317" i="13"/>
  <c r="AC309" i="13"/>
  <c r="AC310" i="13"/>
  <c r="AC308" i="13"/>
  <c r="AC307" i="13"/>
  <c r="BY304" i="13" l="1"/>
  <c r="BY303" i="13"/>
  <c r="BY302" i="13"/>
  <c r="BY301" i="13"/>
  <c r="BY300" i="13"/>
  <c r="BJ301" i="13"/>
  <c r="BJ302" i="13"/>
  <c r="BJ303" i="13"/>
  <c r="BJ304" i="13"/>
  <c r="BJ300" i="13"/>
  <c r="AC299" i="13"/>
  <c r="AC298" i="13"/>
  <c r="AG298" i="13" s="1"/>
  <c r="AC297" i="13"/>
  <c r="AG297" i="13" s="1"/>
  <c r="BJ266" i="13"/>
  <c r="BJ267" i="13"/>
  <c r="BK267" i="13"/>
  <c r="BJ265" i="13"/>
  <c r="BZ267" i="13"/>
  <c r="CA267" i="13" s="1"/>
  <c r="BZ265" i="13"/>
  <c r="CA265" i="13" s="1"/>
  <c r="BZ266" i="13"/>
  <c r="CA266" i="13" s="1"/>
  <c r="E5" i="14"/>
  <c r="E3" i="14"/>
  <c r="E2" i="14"/>
  <c r="O256" i="13"/>
  <c r="O257" i="13"/>
  <c r="O258" i="13"/>
  <c r="O259" i="13"/>
  <c r="O260" i="13"/>
  <c r="O261" i="13"/>
  <c r="O262" i="13"/>
  <c r="O264" i="13"/>
  <c r="O263" i="13"/>
  <c r="O255" i="13"/>
  <c r="O254" i="13"/>
  <c r="O253" i="13"/>
  <c r="BZ252" i="13"/>
  <c r="CA252" i="13" s="1"/>
  <c r="BZ251" i="13"/>
  <c r="CA251" i="13" s="1"/>
  <c r="BZ250" i="13"/>
  <c r="CA250" i="13" s="1"/>
  <c r="BZ249" i="13"/>
  <c r="CA249" i="13" s="1"/>
  <c r="BZ248" i="13"/>
  <c r="CA248" i="13" s="1"/>
  <c r="BZ247" i="13"/>
  <c r="CA247" i="13" s="1"/>
  <c r="BZ246" i="13"/>
  <c r="CA246" i="13" s="1"/>
  <c r="BZ245" i="13"/>
  <c r="CA245" i="13" s="1"/>
  <c r="AC247" i="13"/>
  <c r="AC246" i="13"/>
  <c r="AC245" i="13"/>
  <c r="BZ225" i="13"/>
  <c r="CA225" i="13" s="1"/>
  <c r="BZ228" i="13"/>
  <c r="CA228" i="13" s="1"/>
  <c r="BZ227" i="13"/>
  <c r="CA227" i="13" s="1"/>
  <c r="BZ222" i="13"/>
  <c r="CA222" i="13" s="1"/>
  <c r="BZ221" i="13"/>
  <c r="CA221" i="13" s="1"/>
  <c r="BZ220" i="13"/>
  <c r="CA220" i="13" s="1"/>
  <c r="BZ217" i="13"/>
  <c r="CA217" i="13" s="1"/>
  <c r="BZ215" i="13"/>
  <c r="CA215" i="13" s="1"/>
  <c r="E7" i="14" l="1"/>
  <c r="E9" i="14" s="1"/>
  <c r="AC196" i="13"/>
  <c r="AC195" i="13"/>
  <c r="AC194" i="13"/>
  <c r="AC193" i="13"/>
  <c r="AC192" i="13"/>
  <c r="AC191" i="13"/>
  <c r="AC190" i="13"/>
  <c r="BJ188" i="13"/>
  <c r="AC188" i="13"/>
  <c r="AC187" i="13"/>
  <c r="BJ186" i="13"/>
  <c r="AC186" i="13"/>
  <c r="AC185" i="13"/>
  <c r="BJ184" i="13"/>
  <c r="AC184" i="13"/>
  <c r="AC183" i="13"/>
  <c r="BJ182" i="13"/>
  <c r="AC182" i="13"/>
  <c r="BZ179" i="13"/>
  <c r="CA179" i="13" s="1"/>
  <c r="AC179" i="13"/>
  <c r="BZ178" i="13"/>
  <c r="CA178" i="13" s="1"/>
  <c r="BZ177" i="13"/>
  <c r="CA177" i="13" s="1"/>
  <c r="BK178" i="13"/>
  <c r="BK177" i="13"/>
  <c r="BZ176" i="13"/>
  <c r="CA176" i="13" s="1"/>
  <c r="BZ175" i="13"/>
  <c r="CA175" i="13" s="1"/>
  <c r="BZ174" i="13"/>
  <c r="CA174" i="13" s="1"/>
  <c r="BZ172" i="13"/>
  <c r="CA172" i="13" s="1"/>
  <c r="BZ171" i="13"/>
  <c r="CA171" i="13" s="1"/>
  <c r="BZ170" i="13"/>
  <c r="CA170" i="13" s="1"/>
  <c r="BZ169" i="13"/>
  <c r="CA169" i="13" s="1"/>
  <c r="BZ168" i="13"/>
  <c r="CA168" i="13" s="1"/>
  <c r="BZ167" i="13"/>
  <c r="CA167" i="13" s="1"/>
  <c r="BZ173" i="13"/>
  <c r="CA173" i="13" s="1"/>
  <c r="BK176" i="13"/>
  <c r="BK175" i="13"/>
  <c r="AC175" i="13"/>
  <c r="BK174" i="13"/>
  <c r="AC174" i="13"/>
  <c r="BK173" i="13"/>
  <c r="AC173" i="13"/>
  <c r="I173" i="13"/>
  <c r="BK172" i="13"/>
  <c r="AC172" i="13"/>
  <c r="AG172" i="13" s="1"/>
  <c r="L172" i="13"/>
  <c r="AJ172" i="13" s="1"/>
  <c r="BK171" i="13"/>
  <c r="BK170" i="13"/>
  <c r="BK169" i="13"/>
  <c r="BK168" i="13"/>
  <c r="BK167" i="13"/>
  <c r="BZ166" i="13"/>
  <c r="CA166" i="13" s="1"/>
  <c r="BZ165" i="13"/>
  <c r="CA165" i="13" s="1"/>
  <c r="BZ164" i="13"/>
  <c r="CA164" i="13" s="1"/>
  <c r="AC166" i="13"/>
  <c r="AC165" i="13"/>
  <c r="AG165" i="13" s="1"/>
  <c r="AC164" i="13"/>
  <c r="BZ163" i="13"/>
  <c r="CA163" i="13" s="1"/>
  <c r="BZ162" i="13"/>
  <c r="CA162" i="13" s="1"/>
  <c r="BZ161" i="13"/>
  <c r="CA161" i="13" s="1"/>
  <c r="BZ160" i="13"/>
  <c r="CA160" i="13" s="1"/>
  <c r="BZ159" i="13"/>
  <c r="CA159" i="13" s="1"/>
  <c r="BJ158" i="13"/>
  <c r="AC158" i="13"/>
  <c r="AG158" i="13" s="1"/>
  <c r="BJ157" i="13"/>
  <c r="AC157" i="13"/>
  <c r="AG157" i="13" s="1"/>
  <c r="BJ156" i="13"/>
  <c r="O156" i="13"/>
  <c r="AC156" i="13" s="1"/>
  <c r="AG156" i="13" s="1"/>
  <c r="BJ155" i="13"/>
  <c r="AC155" i="13"/>
  <c r="AG155" i="13" s="1"/>
  <c r="BJ154" i="13"/>
  <c r="AC154" i="13"/>
  <c r="AG154" i="13" s="1"/>
  <c r="BJ153" i="13"/>
  <c r="AC153" i="13"/>
  <c r="AG153" i="13" s="1"/>
  <c r="BJ152" i="13"/>
  <c r="AC152" i="13"/>
  <c r="AG152" i="13" s="1"/>
  <c r="BJ151" i="13"/>
  <c r="AC151" i="13"/>
  <c r="BJ150" i="13"/>
  <c r="BJ149" i="13"/>
  <c r="BJ148" i="13"/>
  <c r="BJ147" i="13"/>
  <c r="BJ146" i="13"/>
  <c r="BJ145" i="13"/>
  <c r="BJ144" i="13"/>
  <c r="BJ143" i="13"/>
  <c r="AC142" i="13"/>
  <c r="AC141" i="13"/>
  <c r="AC140" i="13"/>
  <c r="AC139" i="13"/>
  <c r="AC138" i="13"/>
  <c r="AC137" i="13"/>
  <c r="BZ127" i="13"/>
  <c r="CA127" i="13" s="1"/>
  <c r="BZ126" i="13"/>
  <c r="CA126" i="13" s="1"/>
  <c r="BZ125" i="13"/>
  <c r="CA125" i="13" s="1"/>
  <c r="AC127" i="13"/>
  <c r="AG127" i="13" s="1"/>
  <c r="AC126" i="13"/>
  <c r="AC125" i="13"/>
  <c r="BZ122" i="13"/>
  <c r="CA122" i="13" s="1"/>
  <c r="BZ124" i="13"/>
  <c r="CA124" i="13" s="1"/>
  <c r="BZ123" i="13"/>
  <c r="CA123" i="13" s="1"/>
  <c r="BZ121" i="13"/>
  <c r="CA121" i="13" s="1"/>
  <c r="AG173" i="13" l="1"/>
  <c r="AC105" i="13"/>
  <c r="AC100" i="13"/>
  <c r="AC99" i="13"/>
  <c r="AC98" i="13"/>
  <c r="BZ95" i="13"/>
  <c r="CA95" i="13" s="1"/>
  <c r="BZ94" i="13"/>
  <c r="CA94" i="13" s="1"/>
  <c r="BZ93" i="13"/>
  <c r="CA93" i="13" s="1"/>
  <c r="BZ92" i="13"/>
  <c r="CA92" i="13" s="1"/>
  <c r="AC95" i="13"/>
  <c r="AC94" i="13"/>
  <c r="AC93" i="13"/>
  <c r="AC92" i="13"/>
  <c r="BZ76" i="13"/>
  <c r="CA76" i="13" s="1"/>
  <c r="BZ75" i="13"/>
  <c r="CA75" i="13" s="1"/>
  <c r="BZ74" i="13"/>
  <c r="CA74" i="13" s="1"/>
  <c r="AC55" i="13"/>
  <c r="AC54" i="13"/>
  <c r="AC53" i="13"/>
  <c r="AC52" i="13"/>
  <c r="B3" i="14"/>
  <c r="B2" i="14"/>
  <c r="B5" i="14" s="1"/>
  <c r="B7" i="14" s="1"/>
  <c r="B9" i="14" s="1"/>
  <c r="BJ47" i="13"/>
  <c r="BJ46" i="13"/>
  <c r="BJ45" i="13"/>
  <c r="BJ44" i="13"/>
  <c r="BJ43" i="13"/>
  <c r="BJ42" i="13"/>
  <c r="BJ41" i="13"/>
  <c r="BJ40" i="13"/>
  <c r="BJ39" i="13"/>
  <c r="AC39" i="13"/>
  <c r="AG39" i="13" s="1"/>
  <c r="Q39" i="13"/>
  <c r="BJ38" i="13"/>
  <c r="AD38" i="13"/>
  <c r="AC38" i="13"/>
  <c r="AG38" i="13" s="1"/>
  <c r="BJ37" i="13"/>
  <c r="AC37" i="13"/>
  <c r="BJ36" i="13"/>
  <c r="AC36" i="13"/>
  <c r="BJ35" i="13"/>
  <c r="AC35" i="13"/>
  <c r="BJ34" i="13"/>
  <c r="AC34" i="13"/>
  <c r="BJ33" i="13"/>
  <c r="AC33" i="13"/>
  <c r="BJ32" i="13"/>
  <c r="AC32" i="13"/>
  <c r="BJ31" i="13"/>
  <c r="AC31" i="13"/>
  <c r="AC48" i="13"/>
  <c r="BJ30" i="13"/>
  <c r="AC30" i="13"/>
  <c r="AG30" i="13" s="1"/>
  <c r="Q30" i="13"/>
  <c r="BJ29" i="13"/>
  <c r="AD29" i="13"/>
  <c r="AC29" i="13"/>
  <c r="AG29" i="13" s="1"/>
  <c r="BJ28" i="13"/>
  <c r="AC28" i="13"/>
  <c r="BJ27" i="13"/>
  <c r="AC27" i="13"/>
  <c r="BJ26" i="13"/>
  <c r="AC26" i="13"/>
  <c r="BJ25" i="13"/>
  <c r="AC25" i="13"/>
  <c r="BJ24" i="13"/>
  <c r="AC24" i="13"/>
  <c r="BJ23" i="13"/>
  <c r="AC23" i="13"/>
  <c r="BJ22" i="13"/>
  <c r="AC22" i="13"/>
  <c r="AC21" i="13"/>
  <c r="BJ20" i="13"/>
  <c r="AC20" i="13"/>
  <c r="AG20" i="13" s="1"/>
  <c r="Q20" i="13"/>
  <c r="BJ19" i="13"/>
  <c r="AD19" i="13"/>
  <c r="AC19" i="13"/>
  <c r="AG19" i="13" s="1"/>
  <c r="BJ18" i="13"/>
  <c r="AC18" i="13"/>
  <c r="BJ17" i="13"/>
  <c r="AC17" i="13"/>
  <c r="BJ16" i="13"/>
  <c r="AC16" i="13"/>
  <c r="BJ15" i="13"/>
  <c r="AC15" i="13"/>
  <c r="BJ14" i="13"/>
  <c r="AC14" i="13"/>
  <c r="BJ13" i="13"/>
  <c r="AC13" i="13"/>
  <c r="BJ12" i="13"/>
  <c r="AC12" i="13"/>
  <c r="BJ10" i="13"/>
  <c r="BJ2" i="13"/>
  <c r="AC916" i="13"/>
  <c r="AG916" i="13" s="1"/>
  <c r="AC915" i="13"/>
  <c r="AG915" i="13" s="1"/>
  <c r="AC914" i="13"/>
  <c r="AG914" i="13" s="1"/>
  <c r="AC913" i="13"/>
  <c r="AG913" i="13" s="1"/>
  <c r="AC909" i="13"/>
  <c r="AG909" i="13" s="1"/>
  <c r="AC908" i="13"/>
  <c r="AG908" i="13" s="1"/>
  <c r="AC907" i="13"/>
  <c r="AG907" i="13" s="1"/>
  <c r="AC906" i="13"/>
  <c r="AG906" i="13" s="1"/>
  <c r="AC905" i="13"/>
  <c r="AG905" i="13" s="1"/>
  <c r="AC904" i="13"/>
  <c r="AG904" i="13" s="1"/>
  <c r="AC903" i="13"/>
  <c r="AG903" i="13" s="1"/>
  <c r="AC902" i="13"/>
  <c r="AG902" i="13" s="1"/>
  <c r="AC901" i="13"/>
  <c r="AG901" i="13" s="1"/>
  <c r="AC900" i="13"/>
  <c r="AG900" i="13" s="1"/>
  <c r="AC899" i="13"/>
  <c r="AG899" i="13" s="1"/>
  <c r="AC898" i="13"/>
  <c r="AG898" i="13" s="1"/>
  <c r="AC897" i="13"/>
  <c r="AG897" i="13" s="1"/>
  <c r="AC896" i="13"/>
  <c r="AG896" i="13" s="1"/>
  <c r="AC895" i="13"/>
  <c r="AG895" i="13" s="1"/>
  <c r="AC894" i="13"/>
  <c r="AG894" i="13" s="1"/>
  <c r="AC893" i="13"/>
  <c r="AG893" i="13" s="1"/>
  <c r="AC892" i="13"/>
  <c r="AG892" i="13" s="1"/>
  <c r="AC891" i="13"/>
  <c r="AG891" i="13" s="1"/>
  <c r="AC890" i="13"/>
  <c r="AG890" i="13" s="1"/>
  <c r="AC889" i="13"/>
  <c r="AG889" i="13" s="1"/>
  <c r="AC888" i="13"/>
  <c r="AC887" i="13"/>
  <c r="AC886" i="13"/>
  <c r="AC885" i="13"/>
  <c r="AC884" i="13"/>
  <c r="AJ883" i="13"/>
  <c r="AC883" i="13"/>
  <c r="AJ882" i="13"/>
  <c r="AC882" i="13"/>
  <c r="AC881" i="13"/>
  <c r="AC880" i="13"/>
  <c r="AG880" i="13" s="1"/>
  <c r="O879" i="13"/>
  <c r="AC879" i="13" s="1"/>
  <c r="AG879" i="13" s="1"/>
  <c r="AC858" i="13"/>
  <c r="AG858" i="13" s="1"/>
  <c r="AC857" i="13"/>
  <c r="AG857" i="13" s="1"/>
  <c r="AC856" i="13"/>
  <c r="AG856" i="13" s="1"/>
  <c r="AC855" i="13"/>
  <c r="AG855" i="13" s="1"/>
  <c r="AC854" i="13"/>
  <c r="AG854" i="13" s="1"/>
  <c r="AC853" i="13"/>
  <c r="AG853" i="13" s="1"/>
  <c r="AC852" i="13"/>
  <c r="AG852" i="13" s="1"/>
  <c r="AC851" i="13"/>
  <c r="AG851" i="13" s="1"/>
  <c r="AC850" i="13"/>
  <c r="AG850" i="13" s="1"/>
  <c r="AC823" i="13"/>
  <c r="AG823" i="13" s="1"/>
  <c r="AC822" i="13"/>
  <c r="AG822" i="13" s="1"/>
  <c r="AC821" i="13"/>
  <c r="AG821" i="13" s="1"/>
  <c r="AC820" i="13"/>
  <c r="AG820" i="13" s="1"/>
  <c r="AC819" i="13"/>
  <c r="AG819" i="13" s="1"/>
  <c r="AC818" i="13"/>
  <c r="AG818" i="13" s="1"/>
  <c r="AC817" i="13"/>
  <c r="AG817" i="13" s="1"/>
  <c r="AC816" i="13"/>
  <c r="AG816" i="13" s="1"/>
  <c r="AC815" i="13"/>
  <c r="AG815" i="13" s="1"/>
  <c r="AC814" i="13"/>
  <c r="AG814" i="13" s="1"/>
  <c r="AC813" i="13"/>
  <c r="AG813" i="13" s="1"/>
  <c r="AC812" i="13"/>
  <c r="AG812" i="13" s="1"/>
  <c r="AC811" i="13"/>
  <c r="AG811" i="13" s="1"/>
  <c r="AC810" i="13"/>
  <c r="AG810" i="13" s="1"/>
  <c r="AC809" i="13"/>
  <c r="AG809" i="13" s="1"/>
  <c r="AC808" i="13"/>
  <c r="AG808" i="13" s="1"/>
  <c r="AC807" i="13"/>
  <c r="AG807" i="13" s="1"/>
  <c r="AC806" i="13"/>
  <c r="AG806" i="13" s="1"/>
  <c r="AC805" i="13"/>
  <c r="AG805" i="13" s="1"/>
  <c r="AC804" i="13"/>
  <c r="AG804" i="13" s="1"/>
  <c r="AC803" i="13"/>
  <c r="AG803" i="13" s="1"/>
  <c r="AC802" i="13"/>
  <c r="AG802" i="13" s="1"/>
  <c r="AC801" i="13"/>
  <c r="AG801" i="13" s="1"/>
  <c r="AC800" i="13"/>
  <c r="AG800" i="13" s="1"/>
  <c r="AC799" i="13"/>
  <c r="AG799" i="13" s="1"/>
  <c r="AC798" i="13"/>
  <c r="AG798" i="13" s="1"/>
  <c r="AC797" i="13"/>
  <c r="AG797" i="13" s="1"/>
  <c r="AC796" i="13"/>
  <c r="AG796" i="13" s="1"/>
  <c r="AC795" i="13"/>
  <c r="AG795" i="13" s="1"/>
  <c r="AC794" i="13"/>
  <c r="AG794" i="13" s="1"/>
  <c r="AC793" i="13"/>
  <c r="AG793" i="13" s="1"/>
  <c r="AC792" i="13"/>
  <c r="AG792" i="13" s="1"/>
  <c r="AC791" i="13"/>
  <c r="AG791" i="13" s="1"/>
  <c r="AC790" i="13"/>
  <c r="AG790" i="13" s="1"/>
  <c r="AC789" i="13"/>
  <c r="AG789" i="13" s="1"/>
  <c r="AC788" i="13"/>
  <c r="AG788" i="13" s="1"/>
  <c r="AC787" i="13"/>
  <c r="AC786" i="13"/>
  <c r="AC785" i="13"/>
  <c r="AG785" i="13" s="1"/>
  <c r="AJ784" i="13"/>
  <c r="AC784" i="13"/>
  <c r="AJ783" i="13"/>
  <c r="AC783" i="13"/>
  <c r="AJ782" i="13"/>
  <c r="AC782" i="13"/>
  <c r="AJ781" i="13"/>
  <c r="AC781" i="13"/>
  <c r="AJ780" i="13"/>
  <c r="AC780" i="13"/>
  <c r="AJ779" i="13"/>
  <c r="AC779" i="13"/>
  <c r="AG779" i="13" s="1"/>
  <c r="AC777" i="13"/>
  <c r="AG777" i="13" s="1"/>
  <c r="AC776" i="13"/>
  <c r="AG776" i="13" s="1"/>
  <c r="AC775" i="13"/>
  <c r="AG775" i="13" s="1"/>
  <c r="AC774" i="13"/>
  <c r="AG774" i="13" s="1"/>
  <c r="AC765" i="13"/>
  <c r="AG765" i="13" s="1"/>
  <c r="AC764" i="13"/>
  <c r="AG764" i="13" s="1"/>
  <c r="AC763" i="13"/>
  <c r="AG763" i="13" s="1"/>
  <c r="AC762" i="13"/>
  <c r="AG762" i="13" s="1"/>
  <c r="AC761" i="13"/>
  <c r="AG761" i="13" s="1"/>
  <c r="AC760" i="13"/>
  <c r="AG760" i="13" s="1"/>
  <c r="AC759" i="13"/>
  <c r="AG759" i="13" s="1"/>
  <c r="AC758" i="13"/>
  <c r="AG758" i="13" s="1"/>
  <c r="AC743" i="13"/>
  <c r="AG743" i="13" s="1"/>
  <c r="AC742" i="13"/>
  <c r="AC715" i="13"/>
  <c r="AG715" i="13" s="1"/>
  <c r="AC714" i="13"/>
  <c r="AG714" i="13" s="1"/>
  <c r="AC713" i="13"/>
  <c r="AG713" i="13" s="1"/>
  <c r="AC712" i="13"/>
  <c r="AG712" i="13" s="1"/>
  <c r="AC711" i="13"/>
  <c r="AG711" i="13" s="1"/>
  <c r="AC710" i="13"/>
  <c r="AG710" i="13" s="1"/>
  <c r="AC709" i="13"/>
  <c r="AG709" i="13" s="1"/>
  <c r="AC708" i="13"/>
  <c r="AG708" i="13" s="1"/>
  <c r="AC707" i="13"/>
  <c r="AG707" i="13" s="1"/>
  <c r="AC706" i="13"/>
  <c r="AG706" i="13" s="1"/>
  <c r="AC705" i="13"/>
  <c r="AG705" i="13" s="1"/>
  <c r="AC704" i="13"/>
  <c r="AG704" i="13" s="1"/>
  <c r="AJ703" i="13"/>
  <c r="AC703" i="13"/>
  <c r="AG703" i="13" s="1"/>
  <c r="AC702" i="13"/>
  <c r="AG702" i="13" s="1"/>
  <c r="AC701" i="13"/>
  <c r="AG701" i="13" s="1"/>
  <c r="AC700" i="13"/>
  <c r="AG700" i="13" s="1"/>
  <c r="AC699" i="13"/>
  <c r="AG699" i="13" s="1"/>
  <c r="AC698" i="13"/>
  <c r="AG698" i="13" s="1"/>
  <c r="AC697" i="13"/>
  <c r="AG697" i="13" s="1"/>
  <c r="AC696" i="13"/>
  <c r="AG696" i="13" s="1"/>
  <c r="AC695" i="13"/>
  <c r="AG695" i="13" s="1"/>
  <c r="AC694" i="13"/>
  <c r="AG694" i="13" s="1"/>
  <c r="AC693" i="13"/>
  <c r="AG693" i="13" s="1"/>
  <c r="AC692" i="13"/>
  <c r="AG692" i="13" s="1"/>
  <c r="AC691" i="13"/>
  <c r="AG691" i="13" s="1"/>
  <c r="AJ690" i="13"/>
  <c r="AC690" i="13"/>
  <c r="AG690" i="13" s="1"/>
  <c r="AC689" i="13"/>
  <c r="AG689" i="13" s="1"/>
  <c r="AC688" i="13"/>
  <c r="AC678" i="13"/>
  <c r="AC677" i="13"/>
  <c r="AC676" i="13"/>
  <c r="AG676" i="13" s="1"/>
  <c r="AC675" i="13"/>
  <c r="AG675" i="13" s="1"/>
  <c r="AC674" i="13"/>
  <c r="AG674" i="13" s="1"/>
  <c r="AC673" i="13"/>
  <c r="AC672" i="13"/>
  <c r="AC671" i="13"/>
  <c r="AC670" i="13"/>
  <c r="AG670" i="13" s="1"/>
  <c r="AC669" i="13"/>
  <c r="AG669" i="13" s="1"/>
  <c r="AC668" i="13"/>
  <c r="AG668" i="13" s="1"/>
  <c r="AJ667" i="13"/>
  <c r="AC667" i="13"/>
  <c r="AC666" i="13"/>
  <c r="AC665" i="13"/>
  <c r="AC664" i="13"/>
  <c r="AC663" i="13"/>
  <c r="AG663" i="13" s="1"/>
  <c r="AC662" i="13"/>
  <c r="AG662" i="13" s="1"/>
  <c r="AC661" i="13"/>
  <c r="AG661" i="13" s="1"/>
  <c r="AC660" i="13"/>
  <c r="AG660" i="13" s="1"/>
  <c r="AC659" i="13"/>
  <c r="AG659" i="13" s="1"/>
  <c r="AC658" i="13"/>
  <c r="AG658" i="13" s="1"/>
  <c r="AC657" i="13"/>
  <c r="AG657" i="13" s="1"/>
  <c r="T657" i="13"/>
  <c r="AJ656" i="13"/>
  <c r="AC656" i="13"/>
  <c r="AG656" i="13" s="1"/>
  <c r="AG655" i="13"/>
  <c r="AG654" i="13"/>
  <c r="AG653" i="13"/>
  <c r="AH652" i="13"/>
  <c r="AG652" i="13"/>
  <c r="AC640" i="13"/>
  <c r="AC637" i="13"/>
  <c r="AC636" i="13"/>
  <c r="AC635" i="13"/>
  <c r="AC634" i="13"/>
  <c r="AC633" i="13"/>
  <c r="AC632" i="13"/>
  <c r="AC631" i="13"/>
  <c r="AC630" i="13"/>
  <c r="AC629" i="13"/>
  <c r="AC628" i="13"/>
  <c r="AG628" i="13" s="1"/>
  <c r="AC627" i="13"/>
  <c r="AG627" i="13" s="1"/>
  <c r="AC626" i="13"/>
  <c r="AG626" i="13" s="1"/>
  <c r="AC625" i="13"/>
  <c r="AG625" i="13" s="1"/>
  <c r="AC624" i="13"/>
  <c r="AG624" i="13" s="1"/>
  <c r="AC623" i="13"/>
  <c r="AG623" i="13" s="1"/>
  <c r="AC622" i="13"/>
  <c r="AG622" i="13" s="1"/>
  <c r="AC621" i="13"/>
  <c r="AG621" i="13" s="1"/>
  <c r="AC620" i="13"/>
  <c r="AG620" i="13" s="1"/>
  <c r="AC619" i="13"/>
  <c r="AG619" i="13" s="1"/>
  <c r="AC618" i="13"/>
  <c r="AG618" i="13" s="1"/>
  <c r="AC617" i="13"/>
  <c r="AG617" i="13" s="1"/>
  <c r="AC616" i="13"/>
  <c r="AG616" i="13" s="1"/>
  <c r="AC603" i="13"/>
  <c r="AC601" i="13"/>
  <c r="AC598" i="13"/>
  <c r="AG598" i="13" s="1"/>
  <c r="AC593" i="13"/>
  <c r="AC591" i="13"/>
  <c r="AC577" i="13"/>
  <c r="AC560" i="13"/>
  <c r="AC558" i="13"/>
  <c r="AC557" i="13"/>
  <c r="AC555" i="13"/>
  <c r="AC554" i="13"/>
  <c r="AC553" i="13"/>
  <c r="AC551" i="13"/>
  <c r="AC549" i="13"/>
  <c r="AC547" i="13"/>
  <c r="AJ544" i="13"/>
  <c r="AH544" i="13"/>
  <c r="AC544" i="13"/>
  <c r="AC543" i="13"/>
  <c r="AC541" i="13"/>
  <c r="AC536" i="13"/>
  <c r="AC535" i="13"/>
  <c r="AC534" i="13"/>
  <c r="AF533" i="13"/>
  <c r="AJ533" i="13" s="1"/>
  <c r="AC533" i="13"/>
  <c r="AF532" i="13"/>
  <c r="AJ532" i="13" s="1"/>
  <c r="AC532" i="13"/>
  <c r="AF531" i="13"/>
  <c r="AJ531" i="13" s="1"/>
  <c r="AC531" i="13"/>
  <c r="AF527" i="13"/>
  <c r="AJ527" i="13" s="1"/>
  <c r="AC527" i="13"/>
  <c r="AF526" i="13"/>
  <c r="AJ526" i="13" s="1"/>
  <c r="AC526" i="13"/>
  <c r="AF525" i="13"/>
  <c r="AJ525" i="13" s="1"/>
  <c r="AC525" i="13"/>
  <c r="AC511" i="13"/>
  <c r="AC509" i="13"/>
  <c r="AG509" i="13" s="1"/>
  <c r="AC508" i="13"/>
  <c r="AG508" i="13" s="1"/>
  <c r="AC507" i="13"/>
  <c r="AG507" i="13" s="1"/>
  <c r="AC506" i="13"/>
  <c r="AG506" i="13" s="1"/>
  <c r="AC504" i="13"/>
  <c r="AC503" i="13"/>
  <c r="AC502" i="13"/>
  <c r="AC501" i="13"/>
  <c r="AC500" i="13"/>
  <c r="AC499" i="13"/>
  <c r="AC491" i="13"/>
  <c r="AC482" i="13"/>
  <c r="AC466" i="13"/>
  <c r="AC464" i="13"/>
  <c r="AC459" i="13"/>
  <c r="AC446" i="13"/>
  <c r="AC445" i="13"/>
  <c r="AC442" i="13"/>
  <c r="AC441" i="13"/>
  <c r="AC433" i="13"/>
  <c r="AG433" i="13" s="1"/>
  <c r="AC429" i="13"/>
  <c r="AG429" i="13" s="1"/>
  <c r="AC417" i="13"/>
  <c r="AC407" i="13"/>
  <c r="AG407" i="13" s="1"/>
  <c r="AC405" i="13"/>
  <c r="AG405" i="13" s="1"/>
  <c r="AC402" i="13"/>
  <c r="AC401" i="13"/>
  <c r="AC400" i="13"/>
  <c r="AC399" i="13"/>
  <c r="AC398" i="13"/>
  <c r="AC397" i="13"/>
  <c r="AC395" i="13"/>
  <c r="AC394" i="13"/>
  <c r="AC393" i="13"/>
  <c r="AC392" i="13"/>
  <c r="AC391" i="13"/>
  <c r="AC390" i="13"/>
  <c r="AC388" i="13"/>
  <c r="AC386" i="13"/>
  <c r="AC374" i="13"/>
  <c r="AC348" i="13"/>
  <c r="AG348" i="13" s="1"/>
  <c r="AC347" i="13"/>
  <c r="AG347" i="13" s="1"/>
  <c r="AC346" i="13"/>
  <c r="AG346" i="13" s="1"/>
  <c r="AC345" i="13"/>
  <c r="AG345" i="13" s="1"/>
  <c r="AC344" i="13"/>
  <c r="AG344" i="13" s="1"/>
  <c r="AC343" i="13"/>
  <c r="AC342" i="13"/>
  <c r="AG342" i="13" s="1"/>
  <c r="AC341" i="13"/>
  <c r="AG341" i="13" s="1"/>
  <c r="AC340" i="13"/>
  <c r="AG340" i="13" s="1"/>
  <c r="AC339" i="13"/>
  <c r="AG339" i="13" s="1"/>
  <c r="AC338" i="13"/>
  <c r="AG338" i="13" s="1"/>
  <c r="AC337" i="13"/>
  <c r="AG337" i="13" s="1"/>
  <c r="AC336" i="13"/>
  <c r="AG336" i="13" s="1"/>
  <c r="AC335" i="13"/>
  <c r="AG335" i="13" s="1"/>
  <c r="AC334" i="13"/>
  <c r="AC333" i="13"/>
  <c r="AC332" i="13"/>
  <c r="AC331" i="13"/>
  <c r="AC330" i="13"/>
  <c r="AC329" i="13"/>
  <c r="AC328" i="13"/>
  <c r="AC325" i="13"/>
  <c r="AC316" i="13"/>
  <c r="AG316" i="13" s="1"/>
  <c r="AC315" i="13"/>
  <c r="AG315" i="13" s="1"/>
  <c r="AC314" i="13"/>
  <c r="AC313" i="13"/>
  <c r="AC312" i="13"/>
  <c r="AC311" i="13"/>
  <c r="AC306" i="13"/>
  <c r="AC305" i="13"/>
  <c r="AC304" i="13"/>
  <c r="AG304" i="13" s="1"/>
  <c r="AC303" i="13"/>
  <c r="AG303" i="13" s="1"/>
  <c r="AC302" i="13"/>
  <c r="AG302" i="13" s="1"/>
  <c r="AC301" i="13"/>
  <c r="AG301" i="13" s="1"/>
  <c r="AC300" i="13"/>
  <c r="AG300" i="13" s="1"/>
  <c r="AC296" i="13"/>
  <c r="AC295" i="13"/>
  <c r="AG295" i="13" s="1"/>
  <c r="AC294" i="13"/>
  <c r="AG294" i="13" s="1"/>
  <c r="N282" i="13"/>
  <c r="M282" i="13"/>
  <c r="N281" i="13"/>
  <c r="M281" i="13"/>
  <c r="N280" i="13"/>
  <c r="M280" i="13"/>
  <c r="N279" i="13"/>
  <c r="M279" i="13"/>
  <c r="N278" i="13"/>
  <c r="M278" i="13"/>
  <c r="N277" i="13"/>
  <c r="M277" i="13"/>
  <c r="N276" i="13"/>
  <c r="M276" i="13"/>
  <c r="N275" i="13"/>
  <c r="M275" i="13"/>
  <c r="N274" i="13"/>
  <c r="M274" i="13"/>
  <c r="N273" i="13"/>
  <c r="M273" i="13"/>
  <c r="AC272" i="13"/>
  <c r="AG272" i="13" s="1"/>
  <c r="AC271" i="13"/>
  <c r="AG271" i="13" s="1"/>
  <c r="AC270" i="13"/>
  <c r="AG270" i="13" s="1"/>
  <c r="AC269" i="13"/>
  <c r="AG269" i="13" s="1"/>
  <c r="AC268" i="13"/>
  <c r="AG268" i="13" s="1"/>
  <c r="AC267" i="13"/>
  <c r="AC266" i="13"/>
  <c r="AG266" i="13" s="1"/>
  <c r="AC265" i="13"/>
  <c r="AC248" i="13"/>
  <c r="AC244" i="13"/>
  <c r="AG244" i="13" s="1"/>
  <c r="AC243" i="13"/>
  <c r="AG243" i="13" s="1"/>
  <c r="AC242" i="13"/>
  <c r="AG242" i="13" s="1"/>
  <c r="AC241" i="13"/>
  <c r="AG241" i="13" s="1"/>
  <c r="AC240" i="13"/>
  <c r="AG240" i="13" s="1"/>
  <c r="AC239" i="13"/>
  <c r="AG239" i="13" s="1"/>
  <c r="AC238" i="13"/>
  <c r="AG238" i="13" s="1"/>
  <c r="AC237" i="13"/>
  <c r="AG237" i="13" s="1"/>
  <c r="AC236" i="13"/>
  <c r="AG236" i="13" s="1"/>
  <c r="AC235" i="13"/>
  <c r="AG235" i="13" s="1"/>
  <c r="AC234" i="13"/>
  <c r="AG234" i="13" s="1"/>
  <c r="AC233" i="13"/>
  <c r="AG233" i="13" s="1"/>
  <c r="AC232" i="13"/>
  <c r="AC231" i="13"/>
  <c r="AC230" i="13"/>
  <c r="AC229" i="13"/>
  <c r="AC228" i="13"/>
  <c r="AC227" i="13"/>
  <c r="AC226" i="13"/>
  <c r="AC225" i="13"/>
  <c r="AC224" i="13"/>
  <c r="Q224" i="13"/>
  <c r="AC223" i="13"/>
  <c r="AC222" i="13"/>
  <c r="AC221" i="13"/>
  <c r="AC220" i="13"/>
  <c r="AC219" i="13"/>
  <c r="AC218" i="13"/>
  <c r="AG218" i="13" s="1"/>
  <c r="AC217" i="13"/>
  <c r="AG217" i="13" s="1"/>
  <c r="AC216" i="13"/>
  <c r="AG216" i="13" s="1"/>
  <c r="AJ215" i="13"/>
  <c r="AC215" i="13"/>
  <c r="AG215" i="13" s="1"/>
  <c r="AC214" i="13"/>
  <c r="AC213" i="13"/>
  <c r="AC212" i="13"/>
  <c r="AC211" i="13"/>
  <c r="AC210" i="13"/>
  <c r="AC209" i="13"/>
  <c r="AC208" i="13"/>
  <c r="AJ207" i="13"/>
  <c r="AC207" i="13"/>
  <c r="AC206" i="13"/>
  <c r="AC205" i="13"/>
  <c r="AC202" i="13"/>
  <c r="AG202" i="13" s="1"/>
  <c r="AC201" i="13"/>
  <c r="AG201" i="13" s="1"/>
  <c r="AJ200" i="13"/>
  <c r="AC200" i="13"/>
  <c r="AG200" i="13" s="1"/>
  <c r="AC199" i="13"/>
  <c r="AG199" i="13" s="1"/>
  <c r="AC198" i="13"/>
  <c r="AG198" i="13" s="1"/>
  <c r="AC197" i="13"/>
  <c r="AC189" i="13"/>
  <c r="AC181" i="13"/>
  <c r="AC180" i="13"/>
  <c r="AC170" i="13"/>
  <c r="AC169" i="13"/>
  <c r="AC168" i="13"/>
  <c r="I168" i="13"/>
  <c r="AC167" i="13"/>
  <c r="AG167" i="13" s="1"/>
  <c r="L167" i="13"/>
  <c r="AJ167" i="13" s="1"/>
  <c r="AC163" i="13"/>
  <c r="AC162" i="13"/>
  <c r="AG162" i="13" s="1"/>
  <c r="AC161" i="13"/>
  <c r="AG161" i="13" s="1"/>
  <c r="AC160" i="13"/>
  <c r="AC159" i="13"/>
  <c r="AC150" i="13"/>
  <c r="AG150" i="13" s="1"/>
  <c r="AC149" i="13"/>
  <c r="AG149" i="13" s="1"/>
  <c r="O148" i="13"/>
  <c r="AC148" i="13" s="1"/>
  <c r="AG148" i="13" s="1"/>
  <c r="AC147" i="13"/>
  <c r="AG147" i="13" s="1"/>
  <c r="AC146" i="13"/>
  <c r="AG146" i="13" s="1"/>
  <c r="AC145" i="13"/>
  <c r="AG145" i="13" s="1"/>
  <c r="AC144" i="13"/>
  <c r="AG144" i="13" s="1"/>
  <c r="AC143" i="13"/>
  <c r="AC136" i="13"/>
  <c r="AC135" i="13"/>
  <c r="AC134" i="13"/>
  <c r="AC133" i="13"/>
  <c r="AC132" i="13"/>
  <c r="AC131" i="13"/>
  <c r="AC130" i="13"/>
  <c r="AG130" i="13" s="1"/>
  <c r="AC129" i="13"/>
  <c r="AG129" i="13" s="1"/>
  <c r="AC128" i="13"/>
  <c r="AC124" i="13"/>
  <c r="AG124" i="13" s="1"/>
  <c r="AC123" i="13"/>
  <c r="AG123" i="13" s="1"/>
  <c r="AC122" i="13"/>
  <c r="AC121" i="13"/>
  <c r="AC120" i="13"/>
  <c r="AC119" i="13"/>
  <c r="AC118" i="13"/>
  <c r="AC117" i="13"/>
  <c r="AC116" i="13"/>
  <c r="AC115" i="13"/>
  <c r="AC97" i="13"/>
  <c r="AC96" i="13"/>
  <c r="AC91" i="13"/>
  <c r="AC90" i="13"/>
  <c r="AC89" i="13"/>
  <c r="AC88" i="13"/>
  <c r="AC87" i="13"/>
  <c r="AC86" i="13"/>
  <c r="AC85" i="13"/>
  <c r="AC84" i="13"/>
  <c r="AC83" i="13"/>
  <c r="AC82" i="13"/>
  <c r="AC81" i="13"/>
  <c r="AJ80" i="13"/>
  <c r="AC80" i="13"/>
  <c r="AC79" i="13"/>
  <c r="AC78" i="13"/>
  <c r="AC77" i="13"/>
  <c r="AC74" i="13"/>
  <c r="AC73" i="13"/>
  <c r="AC72" i="13"/>
  <c r="AC71" i="13"/>
  <c r="AC70" i="13"/>
  <c r="AC69" i="13"/>
  <c r="AC68" i="13"/>
  <c r="AC67" i="13"/>
  <c r="AC66" i="13"/>
  <c r="AC65" i="13"/>
  <c r="AC64" i="13"/>
  <c r="AC63" i="13"/>
  <c r="AC62" i="13"/>
  <c r="AC61" i="13"/>
  <c r="AC60" i="13"/>
  <c r="AC59" i="13"/>
  <c r="AC58" i="13"/>
  <c r="AC57" i="13"/>
  <c r="AC51" i="13"/>
  <c r="AC50" i="13"/>
  <c r="AC49" i="13"/>
  <c r="AC11" i="13"/>
  <c r="AC10" i="13"/>
  <c r="AG10" i="13" s="1"/>
  <c r="Q10" i="13"/>
  <c r="BJ9" i="13"/>
  <c r="AD9" i="13"/>
  <c r="AC9" i="13"/>
  <c r="AG9" i="13" s="1"/>
  <c r="BJ8" i="13"/>
  <c r="AC8" i="13"/>
  <c r="BJ7" i="13"/>
  <c r="AC7" i="13"/>
  <c r="BJ6" i="13"/>
  <c r="AC6" i="13"/>
  <c r="BJ5" i="13"/>
  <c r="AC5" i="13"/>
  <c r="BJ4" i="13"/>
  <c r="AC4" i="13"/>
  <c r="BJ3" i="13"/>
  <c r="AC3" i="13"/>
  <c r="AC2" i="13"/>
  <c r="BL9" i="3"/>
  <c r="BL8" i="3"/>
  <c r="BL6" i="3"/>
  <c r="BL7" i="3"/>
  <c r="BL5" i="3"/>
  <c r="BL4" i="3"/>
  <c r="BL3" i="3"/>
  <c r="AC279" i="13" l="1"/>
  <c r="AG279" i="13" s="1"/>
  <c r="AC274" i="13"/>
  <c r="AG274" i="13" s="1"/>
  <c r="AC278" i="13"/>
  <c r="AG278" i="13" s="1"/>
  <c r="AC280" i="13"/>
  <c r="AG280" i="13" s="1"/>
  <c r="AC282" i="13"/>
  <c r="AG282" i="13" s="1"/>
  <c r="AG168" i="13"/>
  <c r="AC273" i="13"/>
  <c r="AG273" i="13" s="1"/>
  <c r="AC275" i="13"/>
  <c r="AG275" i="13" s="1"/>
  <c r="AC281" i="13"/>
  <c r="AG281" i="13" s="1"/>
  <c r="AC277" i="13"/>
  <c r="AG277" i="13" s="1"/>
  <c r="AC276" i="13"/>
  <c r="AG276" i="13" s="1"/>
  <c r="AI524" i="10"/>
  <c r="AE524" i="10"/>
  <c r="AI523" i="10"/>
  <c r="AE523" i="10"/>
  <c r="AI522" i="10"/>
  <c r="AE522" i="10"/>
  <c r="AI521" i="10"/>
  <c r="AE521" i="10"/>
  <c r="AI520" i="10"/>
  <c r="AE520" i="10"/>
  <c r="AI519" i="10"/>
  <c r="AE519" i="10"/>
  <c r="AI518" i="10"/>
  <c r="AE518" i="10"/>
  <c r="AI517" i="10"/>
  <c r="AE517" i="10"/>
  <c r="AI516" i="10"/>
  <c r="AE516" i="10"/>
  <c r="AI515" i="10"/>
  <c r="AE515" i="10"/>
  <c r="AI514" i="10"/>
  <c r="AE514" i="10"/>
  <c r="AI513" i="10"/>
  <c r="AE513" i="10"/>
  <c r="AI512" i="10"/>
  <c r="AE512" i="10"/>
  <c r="AI511" i="10"/>
  <c r="AE511" i="10"/>
  <c r="AI510" i="10"/>
  <c r="AE510" i="10"/>
  <c r="AI509" i="10"/>
  <c r="AE509" i="10"/>
  <c r="AI508" i="10"/>
  <c r="AE508" i="10"/>
  <c r="AI507" i="10"/>
  <c r="AE507" i="10"/>
  <c r="AI506" i="10"/>
  <c r="AE506" i="10"/>
  <c r="AI505" i="10"/>
  <c r="AE505" i="10"/>
  <c r="AI504" i="10"/>
  <c r="AE504" i="10"/>
  <c r="AI503" i="10"/>
  <c r="AE503" i="10"/>
  <c r="AI502" i="10"/>
  <c r="AE502" i="10"/>
  <c r="AI501" i="10"/>
  <c r="AE501" i="10"/>
  <c r="AI500" i="10"/>
  <c r="AE500" i="10"/>
  <c r="AI499" i="10"/>
  <c r="AE499" i="10"/>
  <c r="AI498" i="10"/>
  <c r="AE498" i="10"/>
  <c r="AI497" i="10"/>
  <c r="AE497" i="10"/>
  <c r="AI496" i="10"/>
  <c r="AE496" i="10"/>
  <c r="AE495" i="10"/>
  <c r="AE494" i="10"/>
  <c r="AE493" i="10"/>
  <c r="AE492" i="10"/>
  <c r="AE491" i="10"/>
  <c r="AL490" i="10"/>
  <c r="AE490" i="10"/>
  <c r="AL489" i="10"/>
  <c r="AE489" i="10"/>
  <c r="AE488" i="10"/>
  <c r="AI487" i="10"/>
  <c r="AE487" i="10"/>
  <c r="Q486" i="10"/>
  <c r="AE486" i="10" s="1"/>
  <c r="AI486" i="10" s="1"/>
  <c r="AE485" i="10"/>
  <c r="AI484" i="10"/>
  <c r="AE484" i="10"/>
  <c r="AI483" i="10"/>
  <c r="AE483" i="10"/>
  <c r="AI482" i="10"/>
  <c r="AE482" i="10"/>
  <c r="AI481" i="10"/>
  <c r="AE481" i="10"/>
  <c r="AI480" i="10"/>
  <c r="AE480" i="10"/>
  <c r="AI479" i="10"/>
  <c r="AE479" i="10"/>
  <c r="AI478" i="10"/>
  <c r="AE478" i="10"/>
  <c r="AI477" i="10"/>
  <c r="AE477" i="10"/>
  <c r="AI476" i="10"/>
  <c r="AE476" i="10"/>
  <c r="AI475" i="10"/>
  <c r="AE475" i="10"/>
  <c r="AI474" i="10"/>
  <c r="AE474" i="10"/>
  <c r="AI473" i="10"/>
  <c r="AE473" i="10"/>
  <c r="AI472" i="10"/>
  <c r="AE472" i="10"/>
  <c r="AI471" i="10"/>
  <c r="AE471" i="10"/>
  <c r="AI470" i="10"/>
  <c r="AE470" i="10"/>
  <c r="AI469" i="10"/>
  <c r="AE469" i="10"/>
  <c r="AI468" i="10"/>
  <c r="AE468" i="10"/>
  <c r="AI467" i="10"/>
  <c r="AE467" i="10"/>
  <c r="AI466" i="10"/>
  <c r="AE466" i="10"/>
  <c r="AI465" i="10"/>
  <c r="AE465" i="10"/>
  <c r="AI464" i="10"/>
  <c r="AE464" i="10"/>
  <c r="AI463" i="10"/>
  <c r="AE463" i="10"/>
  <c r="AI462" i="10"/>
  <c r="AE462" i="10"/>
  <c r="AI461" i="10"/>
  <c r="AE461" i="10"/>
  <c r="AI460" i="10"/>
  <c r="AE460" i="10"/>
  <c r="AI459" i="10"/>
  <c r="AE459" i="10"/>
  <c r="AI458" i="10"/>
  <c r="AE458" i="10"/>
  <c r="AI457" i="10"/>
  <c r="AE457" i="10"/>
  <c r="AI456" i="10"/>
  <c r="AE456" i="10"/>
  <c r="AI455" i="10"/>
  <c r="AE455" i="10"/>
  <c r="AI454" i="10"/>
  <c r="AE454" i="10"/>
  <c r="AI453" i="10"/>
  <c r="AE453" i="10"/>
  <c r="AI452" i="10"/>
  <c r="AE452" i="10"/>
  <c r="AI451" i="10"/>
  <c r="AE451" i="10"/>
  <c r="AI450" i="10"/>
  <c r="AE450" i="10"/>
  <c r="AI449" i="10"/>
  <c r="AE449" i="10"/>
  <c r="AI448" i="10"/>
  <c r="AE448" i="10"/>
  <c r="AI447" i="10"/>
  <c r="AE447" i="10"/>
  <c r="AI446" i="10"/>
  <c r="AE446" i="10"/>
  <c r="AI445" i="10"/>
  <c r="AE445" i="10"/>
  <c r="AI444" i="10"/>
  <c r="AE444" i="10"/>
  <c r="AI443" i="10"/>
  <c r="AE443" i="10"/>
  <c r="AI442" i="10"/>
  <c r="AE442" i="10"/>
  <c r="AI441" i="10"/>
  <c r="AE441" i="10"/>
  <c r="AI440" i="10"/>
  <c r="AE440" i="10"/>
  <c r="AE439" i="10"/>
  <c r="AE438" i="10"/>
  <c r="AI437" i="10"/>
  <c r="AE437" i="10"/>
  <c r="AL436" i="10"/>
  <c r="AE436" i="10"/>
  <c r="AL435" i="10"/>
  <c r="AE435" i="10"/>
  <c r="AL434" i="10"/>
  <c r="AE434" i="10"/>
  <c r="AL433" i="10"/>
  <c r="AE433" i="10"/>
  <c r="AL432" i="10"/>
  <c r="AE432" i="10"/>
  <c r="AL431" i="10"/>
  <c r="AE431" i="10"/>
  <c r="AI431" i="10" s="1"/>
  <c r="AE430" i="10"/>
  <c r="AI430" i="10" s="1"/>
  <c r="AE429" i="10"/>
  <c r="AI429" i="10" s="1"/>
  <c r="AE428" i="10"/>
  <c r="AI428" i="10" s="1"/>
  <c r="AE427" i="10"/>
  <c r="AI427" i="10" s="1"/>
  <c r="AE426" i="10"/>
  <c r="AI426" i="10" s="1"/>
  <c r="AE425" i="10"/>
  <c r="AI425" i="10" s="1"/>
  <c r="AE424" i="10"/>
  <c r="AI424" i="10" s="1"/>
  <c r="AE423" i="10"/>
  <c r="AI423" i="10" s="1"/>
  <c r="AE422" i="10"/>
  <c r="AI422" i="10" s="1"/>
  <c r="AE421" i="10"/>
  <c r="AI421" i="10" s="1"/>
  <c r="AE420" i="10"/>
  <c r="AI420" i="10" s="1"/>
  <c r="AE419" i="10"/>
  <c r="AI419" i="10" s="1"/>
  <c r="AE418" i="10"/>
  <c r="AI418" i="10" s="1"/>
  <c r="AE417" i="10"/>
  <c r="AI416" i="10"/>
  <c r="AE416" i="10"/>
  <c r="AI415" i="10"/>
  <c r="AE415" i="10"/>
  <c r="AI414" i="10"/>
  <c r="AE414" i="10"/>
  <c r="AI413" i="10"/>
  <c r="AE413" i="10"/>
  <c r="AI412" i="10"/>
  <c r="AE412" i="10"/>
  <c r="AI411" i="10"/>
  <c r="AE411" i="10"/>
  <c r="AI410" i="10"/>
  <c r="AE410" i="10"/>
  <c r="AI409" i="10"/>
  <c r="AE409" i="10"/>
  <c r="AI408" i="10"/>
  <c r="AE408" i="10"/>
  <c r="AI407" i="10"/>
  <c r="AE407" i="10"/>
  <c r="AI406" i="10"/>
  <c r="AE406" i="10"/>
  <c r="AI405" i="10"/>
  <c r="AE405" i="10"/>
  <c r="AL404" i="10"/>
  <c r="AE404" i="10"/>
  <c r="AI404" i="10" s="1"/>
  <c r="AE403" i="10"/>
  <c r="AI403" i="10" s="1"/>
  <c r="AE402" i="10"/>
  <c r="AI402" i="10" s="1"/>
  <c r="AE401" i="10"/>
  <c r="AI401" i="10" s="1"/>
  <c r="AE400" i="10"/>
  <c r="AI400" i="10" s="1"/>
  <c r="AE399" i="10"/>
  <c r="AI399" i="10" s="1"/>
  <c r="AE398" i="10"/>
  <c r="AI398" i="10" s="1"/>
  <c r="AE397" i="10"/>
  <c r="AI397" i="10" s="1"/>
  <c r="AE396" i="10"/>
  <c r="AI396" i="10" s="1"/>
  <c r="AE395" i="10"/>
  <c r="AI395" i="10" s="1"/>
  <c r="AE394" i="10"/>
  <c r="AI394" i="10" s="1"/>
  <c r="AE393" i="10"/>
  <c r="AI393" i="10" s="1"/>
  <c r="AE392" i="10"/>
  <c r="AI392" i="10" s="1"/>
  <c r="AL391" i="10"/>
  <c r="AI391" i="10"/>
  <c r="AE391" i="10"/>
  <c r="AI390" i="10"/>
  <c r="AE390" i="10"/>
  <c r="AE389" i="10"/>
  <c r="AE388" i="10"/>
  <c r="AE387" i="10"/>
  <c r="AE386" i="10"/>
  <c r="AI386" i="10" s="1"/>
  <c r="AE385" i="10"/>
  <c r="AI385" i="10" s="1"/>
  <c r="AE384" i="10"/>
  <c r="AI384" i="10" s="1"/>
  <c r="AE383" i="10"/>
  <c r="AE382" i="10"/>
  <c r="AE381" i="10"/>
  <c r="AI380" i="10"/>
  <c r="AE380" i="10"/>
  <c r="AI379" i="10"/>
  <c r="AE379" i="10"/>
  <c r="AI378" i="10"/>
  <c r="AE378" i="10"/>
  <c r="AL377" i="10"/>
  <c r="AE377" i="10"/>
  <c r="AE376" i="10"/>
  <c r="AE375" i="10"/>
  <c r="AE374" i="10"/>
  <c r="AE373" i="10"/>
  <c r="AI373" i="10" s="1"/>
  <c r="AE372" i="10"/>
  <c r="AI372" i="10" s="1"/>
  <c r="AE371" i="10"/>
  <c r="AI371" i="10" s="1"/>
  <c r="AE370" i="10"/>
  <c r="AI370" i="10" s="1"/>
  <c r="AE369" i="10"/>
  <c r="AI369" i="10" s="1"/>
  <c r="AE368" i="10"/>
  <c r="AI368" i="10" s="1"/>
  <c r="AE367" i="10"/>
  <c r="AI367" i="10" s="1"/>
  <c r="V367" i="10"/>
  <c r="AL366" i="10"/>
  <c r="AE366" i="10"/>
  <c r="AI366" i="10" s="1"/>
  <c r="AI365" i="10"/>
  <c r="AI364" i="10"/>
  <c r="AI363" i="10"/>
  <c r="AJ362" i="10"/>
  <c r="AI362" i="10"/>
  <c r="AE361" i="10"/>
  <c r="AE360" i="10"/>
  <c r="AE359" i="10"/>
  <c r="AE358" i="10"/>
  <c r="AE357" i="10"/>
  <c r="AE356" i="10"/>
  <c r="AE355" i="10"/>
  <c r="AE354" i="10"/>
  <c r="AE353" i="10"/>
  <c r="AE352" i="10"/>
  <c r="AE351" i="10"/>
  <c r="AE350" i="10"/>
  <c r="AI350" i="10" s="1"/>
  <c r="AE349" i="10"/>
  <c r="AI349" i="10" s="1"/>
  <c r="AE348" i="10"/>
  <c r="AI348" i="10" s="1"/>
  <c r="AE347" i="10"/>
  <c r="AI347" i="10" s="1"/>
  <c r="AE346" i="10"/>
  <c r="AI346" i="10" s="1"/>
  <c r="AE345" i="10"/>
  <c r="AI345" i="10" s="1"/>
  <c r="AE344" i="10"/>
  <c r="AI344" i="10" s="1"/>
  <c r="AE343" i="10"/>
  <c r="AI343" i="10" s="1"/>
  <c r="AE342" i="10"/>
  <c r="AI342" i="10" s="1"/>
  <c r="AE341" i="10"/>
  <c r="AI341" i="10" s="1"/>
  <c r="AE340" i="10"/>
  <c r="AI340" i="10" s="1"/>
  <c r="AE339" i="10"/>
  <c r="AI339" i="10" s="1"/>
  <c r="AE338" i="10"/>
  <c r="AI338" i="10" s="1"/>
  <c r="AE337" i="10"/>
  <c r="AI337" i="10" s="1"/>
  <c r="AE336" i="10"/>
  <c r="AE335" i="10"/>
  <c r="AE334" i="10"/>
  <c r="AL333" i="10"/>
  <c r="AE333" i="10"/>
  <c r="AI332" i="10"/>
  <c r="AE332" i="10"/>
  <c r="AI331" i="10"/>
  <c r="AE331" i="10"/>
  <c r="AE330" i="10"/>
  <c r="AE329" i="10"/>
  <c r="AE328" i="10"/>
  <c r="AE327" i="10"/>
  <c r="AE326" i="10"/>
  <c r="AE325" i="10"/>
  <c r="AE324" i="10"/>
  <c r="AE323" i="10"/>
  <c r="AE322" i="10"/>
  <c r="AE321" i="10"/>
  <c r="AE320" i="10"/>
  <c r="AE319" i="10"/>
  <c r="AE318" i="10"/>
  <c r="AE317" i="10"/>
  <c r="AE316" i="10"/>
  <c r="AL315" i="10"/>
  <c r="AJ315" i="10"/>
  <c r="AE315" i="10"/>
  <c r="AE314" i="10"/>
  <c r="AE313" i="10"/>
  <c r="AE312" i="10"/>
  <c r="AE311" i="10"/>
  <c r="AE310" i="10"/>
  <c r="AE309" i="10"/>
  <c r="AE308" i="10"/>
  <c r="AE307" i="10"/>
  <c r="AE306" i="10"/>
  <c r="AE305" i="10"/>
  <c r="AE304" i="10"/>
  <c r="AH303" i="10"/>
  <c r="AL303" i="10" s="1"/>
  <c r="AE303" i="10"/>
  <c r="AL302" i="10"/>
  <c r="AH302" i="10"/>
  <c r="AE302" i="10"/>
  <c r="AH301" i="10"/>
  <c r="AL301" i="10" s="1"/>
  <c r="AE301" i="10"/>
  <c r="AL300" i="10"/>
  <c r="AH300" i="10"/>
  <c r="AE300" i="10"/>
  <c r="AH299" i="10"/>
  <c r="AL299" i="10" s="1"/>
  <c r="AE299" i="10"/>
  <c r="AL298" i="10"/>
  <c r="AH298" i="10"/>
  <c r="AE298" i="10"/>
  <c r="AE297" i="10"/>
  <c r="AI296" i="10"/>
  <c r="AE296" i="10"/>
  <c r="AI295" i="10"/>
  <c r="AE295" i="10"/>
  <c r="AI294" i="10"/>
  <c r="AE294" i="10"/>
  <c r="AI293" i="10"/>
  <c r="AE293" i="10"/>
  <c r="AE292" i="10"/>
  <c r="AE291" i="10"/>
  <c r="AE290" i="10"/>
  <c r="AE289" i="10"/>
  <c r="AE288" i="10"/>
  <c r="AE287" i="10"/>
  <c r="AE286" i="10"/>
  <c r="AE285" i="10"/>
  <c r="AE284" i="10"/>
  <c r="AE283" i="10"/>
  <c r="AE282" i="10"/>
  <c r="AE281" i="10"/>
  <c r="AE280" i="10"/>
  <c r="AE279" i="10"/>
  <c r="AE278" i="10"/>
  <c r="AE277" i="10"/>
  <c r="AE276" i="10"/>
  <c r="AE275" i="10"/>
  <c r="AE274" i="10"/>
  <c r="AE273" i="10"/>
  <c r="AI273" i="10" s="1"/>
  <c r="AE272" i="10"/>
  <c r="AI272" i="10" s="1"/>
  <c r="AE271" i="10"/>
  <c r="AE270" i="10"/>
  <c r="AE269" i="10"/>
  <c r="AE268" i="10"/>
  <c r="AE267" i="10"/>
  <c r="AE266" i="10"/>
  <c r="AE265" i="10"/>
  <c r="AE264" i="10"/>
  <c r="AE263" i="10"/>
  <c r="AI263" i="10" s="1"/>
  <c r="AE262" i="10"/>
  <c r="AI262" i="10" s="1"/>
  <c r="AE261" i="10"/>
  <c r="AI261" i="10" s="1"/>
  <c r="AE260" i="10"/>
  <c r="AI260" i="10" s="1"/>
  <c r="AE259" i="10"/>
  <c r="AI259" i="10" s="1"/>
  <c r="AE258" i="10"/>
  <c r="AI258" i="10" s="1"/>
  <c r="AE257" i="10"/>
  <c r="AI257" i="10" s="1"/>
  <c r="AE256" i="10"/>
  <c r="AI256" i="10" s="1"/>
  <c r="AE255" i="10"/>
  <c r="AE254" i="10"/>
  <c r="E254" i="10"/>
  <c r="AE253" i="10"/>
  <c r="E253" i="10"/>
  <c r="AE252" i="10"/>
  <c r="E252" i="10"/>
  <c r="AE251" i="10"/>
  <c r="E251" i="10"/>
  <c r="AE250" i="10"/>
  <c r="AE249" i="10"/>
  <c r="AE248" i="10"/>
  <c r="AE247" i="10"/>
  <c r="AE246" i="10"/>
  <c r="AE245" i="10"/>
  <c r="AE244" i="10"/>
  <c r="AE243" i="10"/>
  <c r="AE242" i="10"/>
  <c r="AE241" i="10"/>
  <c r="AE240" i="10"/>
  <c r="AE239" i="10"/>
  <c r="AE238" i="10"/>
  <c r="AE237" i="10"/>
  <c r="AI236" i="10"/>
  <c r="AE236" i="10"/>
  <c r="AI235" i="10"/>
  <c r="AE235" i="10"/>
  <c r="AI234" i="10"/>
  <c r="AE234" i="10"/>
  <c r="AI233" i="10"/>
  <c r="AE233" i="10"/>
  <c r="AI232" i="10"/>
  <c r="AE232" i="10"/>
  <c r="AE231" i="10"/>
  <c r="AE230" i="10"/>
  <c r="AI230" i="10" s="1"/>
  <c r="AE229" i="10"/>
  <c r="AI229" i="10" s="1"/>
  <c r="AE228" i="10"/>
  <c r="AI228" i="10" s="1"/>
  <c r="AE227" i="10"/>
  <c r="AI227" i="10" s="1"/>
  <c r="AE226" i="10"/>
  <c r="AI226" i="10" s="1"/>
  <c r="AE225" i="10"/>
  <c r="AI225" i="10" s="1"/>
  <c r="AE224" i="10"/>
  <c r="AI224" i="10" s="1"/>
  <c r="AE223" i="10"/>
  <c r="AI223" i="10" s="1"/>
  <c r="AE222" i="10"/>
  <c r="AE221" i="10"/>
  <c r="AE220" i="10"/>
  <c r="AE219" i="10"/>
  <c r="AE218" i="10"/>
  <c r="AE217" i="10"/>
  <c r="AE216" i="10"/>
  <c r="AE215" i="10"/>
  <c r="AE214" i="10"/>
  <c r="AE213" i="10"/>
  <c r="AE212" i="10"/>
  <c r="AI212" i="10" s="1"/>
  <c r="AE211" i="10"/>
  <c r="AI210" i="10"/>
  <c r="AE210" i="10"/>
  <c r="AI209" i="10"/>
  <c r="AE209" i="10"/>
  <c r="AE208" i="10"/>
  <c r="AE207" i="10"/>
  <c r="AE206" i="10"/>
  <c r="AE205" i="10"/>
  <c r="AE204" i="10"/>
  <c r="AE203" i="10"/>
  <c r="AE202" i="10"/>
  <c r="AE201" i="10"/>
  <c r="AI200" i="10"/>
  <c r="AE200" i="10"/>
  <c r="AI199" i="10"/>
  <c r="AE199" i="10"/>
  <c r="AI198" i="10"/>
  <c r="AE198" i="10"/>
  <c r="AI197" i="10"/>
  <c r="AE197" i="10"/>
  <c r="AI196" i="10"/>
  <c r="AE196" i="10"/>
  <c r="AE195" i="10"/>
  <c r="AE194" i="10"/>
  <c r="AI194" i="10" s="1"/>
  <c r="AE193" i="10"/>
  <c r="AI193" i="10" s="1"/>
  <c r="AE192" i="10"/>
  <c r="P191" i="10"/>
  <c r="O191" i="10"/>
  <c r="AE191" i="10" s="1"/>
  <c r="AI191" i="10" s="1"/>
  <c r="P190" i="10"/>
  <c r="O190" i="10"/>
  <c r="AE190" i="10" s="1"/>
  <c r="AI190" i="10" s="1"/>
  <c r="P189" i="10"/>
  <c r="O189" i="10"/>
  <c r="AE189" i="10" s="1"/>
  <c r="AI189" i="10" s="1"/>
  <c r="P188" i="10"/>
  <c r="O188" i="10"/>
  <c r="AE188" i="10" s="1"/>
  <c r="AI188" i="10" s="1"/>
  <c r="P187" i="10"/>
  <c r="O187" i="10"/>
  <c r="AE187" i="10" s="1"/>
  <c r="AI187" i="10" s="1"/>
  <c r="P186" i="10"/>
  <c r="O186" i="10"/>
  <c r="AE186" i="10" s="1"/>
  <c r="AI186" i="10" s="1"/>
  <c r="P185" i="10"/>
  <c r="O185" i="10"/>
  <c r="AE185" i="10" s="1"/>
  <c r="AI185" i="10" s="1"/>
  <c r="P184" i="10"/>
  <c r="O184" i="10"/>
  <c r="AE184" i="10" s="1"/>
  <c r="AI184" i="10" s="1"/>
  <c r="P183" i="10"/>
  <c r="O183" i="10"/>
  <c r="AE183" i="10" s="1"/>
  <c r="AI183" i="10" s="1"/>
  <c r="P182" i="10"/>
  <c r="O182" i="10"/>
  <c r="AE182" i="10" s="1"/>
  <c r="AI182" i="10" s="1"/>
  <c r="AI181" i="10"/>
  <c r="AE181" i="10"/>
  <c r="AI180" i="10"/>
  <c r="AE180" i="10"/>
  <c r="AI179" i="10"/>
  <c r="AE179" i="10"/>
  <c r="AI178" i="10"/>
  <c r="AE178" i="10"/>
  <c r="AI177" i="10"/>
  <c r="AE177" i="10"/>
  <c r="AE176" i="10"/>
  <c r="AE175" i="10"/>
  <c r="AI175" i="10" s="1"/>
  <c r="AE174" i="10"/>
  <c r="AE173" i="10"/>
  <c r="AE172" i="10"/>
  <c r="AI171" i="10"/>
  <c r="AE171" i="10"/>
  <c r="AI170" i="10"/>
  <c r="AE170" i="10"/>
  <c r="AI169" i="10"/>
  <c r="AE169" i="10"/>
  <c r="AI168" i="10"/>
  <c r="AE168" i="10"/>
  <c r="AI167" i="10"/>
  <c r="AE167" i="10"/>
  <c r="AI166" i="10"/>
  <c r="AE166" i="10"/>
  <c r="AI165" i="10"/>
  <c r="AE165" i="10"/>
  <c r="AI164" i="10"/>
  <c r="AE164" i="10"/>
  <c r="AI163" i="10"/>
  <c r="AE163" i="10"/>
  <c r="AI162" i="10"/>
  <c r="AE162" i="10"/>
  <c r="AI161" i="10"/>
  <c r="AE161" i="10"/>
  <c r="AI160" i="10"/>
  <c r="AE160" i="10"/>
  <c r="AE159" i="10"/>
  <c r="AE158" i="10"/>
  <c r="AE157" i="10"/>
  <c r="AE156" i="10"/>
  <c r="AE155" i="10"/>
  <c r="AE154" i="10"/>
  <c r="AE153" i="10"/>
  <c r="AE152" i="10"/>
  <c r="AE151" i="10"/>
  <c r="AE150" i="10"/>
  <c r="S150" i="10"/>
  <c r="AE149" i="10"/>
  <c r="AE148" i="10"/>
  <c r="AE147" i="10"/>
  <c r="AE146" i="10"/>
  <c r="AE145" i="10"/>
  <c r="AI144" i="10"/>
  <c r="AE144" i="10"/>
  <c r="AI143" i="10"/>
  <c r="AE143" i="10"/>
  <c r="AI142" i="10"/>
  <c r="AE142" i="10"/>
  <c r="AL141" i="10"/>
  <c r="AE141" i="10"/>
  <c r="AI141" i="10" s="1"/>
  <c r="AE140" i="10"/>
  <c r="AE139" i="10"/>
  <c r="AE138" i="10"/>
  <c r="AE137" i="10"/>
  <c r="AE136" i="10"/>
  <c r="AE135" i="10"/>
  <c r="AE134" i="10"/>
  <c r="AE133" i="10"/>
  <c r="AE132" i="10"/>
  <c r="AE131" i="10"/>
  <c r="AE130" i="10"/>
  <c r="AE129" i="10"/>
  <c r="AE128" i="10"/>
  <c r="AE127" i="10"/>
  <c r="AL126" i="10"/>
  <c r="AE126" i="10"/>
  <c r="AE125" i="10"/>
  <c r="AE124" i="10"/>
  <c r="AE123" i="10"/>
  <c r="AI123" i="10" s="1"/>
  <c r="AE122" i="10"/>
  <c r="AI122" i="10" s="1"/>
  <c r="AL121" i="10"/>
  <c r="AI121" i="10"/>
  <c r="AE121" i="10"/>
  <c r="AI120" i="10"/>
  <c r="AE120" i="10"/>
  <c r="AI119" i="10"/>
  <c r="AE119" i="10"/>
  <c r="AE118" i="10"/>
  <c r="AE117" i="10"/>
  <c r="AE116" i="10"/>
  <c r="AE115" i="10"/>
  <c r="AE114" i="10"/>
  <c r="AE113" i="10"/>
  <c r="AE112" i="10"/>
  <c r="K112" i="10"/>
  <c r="AI112" i="10" s="1"/>
  <c r="AI111" i="10"/>
  <c r="AE111" i="10"/>
  <c r="N111" i="10"/>
  <c r="AL111" i="10" s="1"/>
  <c r="AE110" i="10"/>
  <c r="AI109" i="10"/>
  <c r="AE109" i="10"/>
  <c r="AI108" i="10"/>
  <c r="AE108" i="10"/>
  <c r="AE107" i="10"/>
  <c r="AE106" i="10"/>
  <c r="AI105" i="10"/>
  <c r="AE105" i="10"/>
  <c r="AI104" i="10"/>
  <c r="AE104" i="10"/>
  <c r="Q103" i="10"/>
  <c r="AE103" i="10" s="1"/>
  <c r="AI103" i="10" s="1"/>
  <c r="AE102" i="10"/>
  <c r="AI102" i="10" s="1"/>
  <c r="AE101" i="10"/>
  <c r="AI101" i="10" s="1"/>
  <c r="AE100" i="10"/>
  <c r="AI100" i="10" s="1"/>
  <c r="AE99" i="10"/>
  <c r="AI99" i="10" s="1"/>
  <c r="AE98" i="10"/>
  <c r="AE97" i="10"/>
  <c r="AE96" i="10"/>
  <c r="AE95" i="10"/>
  <c r="AE94" i="10"/>
  <c r="AE93" i="10"/>
  <c r="AE92" i="10"/>
  <c r="AE91" i="10"/>
  <c r="AE90" i="10"/>
  <c r="AE89" i="10"/>
  <c r="AE88" i="10"/>
  <c r="AI88" i="10" s="1"/>
  <c r="AE87" i="10"/>
  <c r="AI87" i="10" s="1"/>
  <c r="AE86" i="10"/>
  <c r="AI85" i="10"/>
  <c r="AE85" i="10"/>
  <c r="AI84" i="10"/>
  <c r="AE84" i="10"/>
  <c r="AE83" i="10"/>
  <c r="AE82" i="10"/>
  <c r="AE81" i="10"/>
  <c r="AE80" i="10"/>
  <c r="AE79" i="10"/>
  <c r="AE78" i="10"/>
  <c r="AE77" i="10"/>
  <c r="AE76" i="10"/>
  <c r="AE75" i="10"/>
  <c r="AE74" i="10"/>
  <c r="AI74" i="10" s="1"/>
  <c r="AE73" i="10"/>
  <c r="AE72" i="10"/>
  <c r="AE71" i="10"/>
  <c r="AE70" i="10"/>
  <c r="AE69" i="10"/>
  <c r="AE68" i="10"/>
  <c r="P68" i="10"/>
  <c r="O68" i="10"/>
  <c r="AE67" i="10"/>
  <c r="AI67" i="10" s="1"/>
  <c r="AE66" i="10"/>
  <c r="AE65" i="10"/>
  <c r="AE64" i="10"/>
  <c r="AE63" i="10"/>
  <c r="AE62" i="10"/>
  <c r="AE61" i="10"/>
  <c r="AE60" i="10"/>
  <c r="AE59" i="10"/>
  <c r="AE58" i="10"/>
  <c r="AE57" i="10"/>
  <c r="AE56" i="10"/>
  <c r="AE55" i="10"/>
  <c r="AE54" i="10"/>
  <c r="AE53" i="10"/>
  <c r="AE52" i="10"/>
  <c r="AE51" i="10"/>
  <c r="AE50" i="10"/>
  <c r="AE49" i="10"/>
  <c r="AE48" i="10"/>
  <c r="AE47" i="10"/>
  <c r="AE46" i="10"/>
  <c r="AE45" i="10"/>
  <c r="AE44" i="10"/>
  <c r="AE43" i="10"/>
  <c r="AE42" i="10"/>
  <c r="AE41" i="10"/>
  <c r="AE40" i="10"/>
  <c r="AL39" i="10"/>
  <c r="AE39" i="10"/>
  <c r="AE38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1" i="10"/>
  <c r="AE20" i="10"/>
  <c r="AE19" i="10"/>
  <c r="AE18" i="10"/>
  <c r="AE17" i="10"/>
  <c r="AE16" i="10"/>
  <c r="AE15" i="10"/>
  <c r="AE14" i="10"/>
  <c r="AE13" i="10"/>
  <c r="AE12" i="10"/>
  <c r="AE11" i="10"/>
  <c r="AE10" i="10"/>
  <c r="AI10" i="10" s="1"/>
  <c r="S10" i="10"/>
  <c r="AF9" i="10"/>
  <c r="AE9" i="10"/>
  <c r="AI9" i="10" s="1"/>
  <c r="AE8" i="10"/>
  <c r="AE7" i="10"/>
  <c r="AE6" i="10"/>
  <c r="AE5" i="10"/>
  <c r="AE4" i="10"/>
  <c r="AE3" i="10"/>
  <c r="AE2" i="10"/>
  <c r="AL489" i="3" l="1"/>
  <c r="AL490" i="3"/>
  <c r="AL436" i="3"/>
  <c r="AL435" i="3"/>
  <c r="AL433" i="3"/>
  <c r="AL434" i="3"/>
  <c r="AL432" i="3"/>
  <c r="AL431" i="3"/>
  <c r="AL404" i="3"/>
  <c r="AL391" i="3"/>
  <c r="AE377" i="3"/>
  <c r="AL377" i="3"/>
  <c r="AL366" i="3"/>
  <c r="F7" i="9"/>
  <c r="G7" i="9" s="1"/>
  <c r="H7" i="9" s="1"/>
  <c r="F8" i="9"/>
  <c r="G8" i="9" s="1"/>
  <c r="H8" i="9" s="1"/>
  <c r="F9" i="9"/>
  <c r="G9" i="9" s="1"/>
  <c r="H9" i="9" s="1"/>
  <c r="F10" i="9"/>
  <c r="G10" i="9" s="1"/>
  <c r="H10" i="9" s="1"/>
  <c r="F11" i="9"/>
  <c r="G11" i="9" s="1"/>
  <c r="H11" i="9" s="1"/>
  <c r="F12" i="9"/>
  <c r="G12" i="9" s="1"/>
  <c r="H12" i="9" s="1"/>
  <c r="F13" i="9"/>
  <c r="G13" i="9" s="1"/>
  <c r="H13" i="9" s="1"/>
  <c r="F14" i="9"/>
  <c r="G14" i="9" s="1"/>
  <c r="H14" i="9" s="1"/>
  <c r="AI365" i="3"/>
  <c r="AI364" i="3"/>
  <c r="AI363" i="3"/>
  <c r="AI362" i="3"/>
  <c r="AJ362" i="3"/>
  <c r="AL333" i="3"/>
  <c r="AL315" i="3"/>
  <c r="AJ315" i="3"/>
  <c r="AL301" i="3"/>
  <c r="AH303" i="3"/>
  <c r="AL303" i="3" s="1"/>
  <c r="AH302" i="3"/>
  <c r="AL302" i="3" s="1"/>
  <c r="AH301" i="3"/>
  <c r="AH300" i="3"/>
  <c r="AL300" i="3" s="1"/>
  <c r="AH299" i="3"/>
  <c r="AL299" i="3" s="1"/>
  <c r="AH298" i="3"/>
  <c r="AL298" i="3" s="1"/>
  <c r="AL141" i="3"/>
  <c r="AL126" i="3"/>
  <c r="AE121" i="3"/>
  <c r="AI121" i="3" s="1"/>
  <c r="AL121" i="3"/>
  <c r="K112" i="3"/>
  <c r="N111" i="3"/>
  <c r="AL111" i="3" s="1"/>
  <c r="AL39" i="3"/>
  <c r="AE3" i="3" l="1"/>
  <c r="AE4" i="3"/>
  <c r="AE5" i="3"/>
  <c r="AE6" i="3"/>
  <c r="AE7" i="3"/>
  <c r="AE8" i="3"/>
  <c r="AE9" i="3"/>
  <c r="AI9" i="3" s="1"/>
  <c r="AE10" i="3"/>
  <c r="AI10" i="3" s="1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I67" i="3" s="1"/>
  <c r="AE69" i="3"/>
  <c r="AE70" i="3"/>
  <c r="AE71" i="3"/>
  <c r="AE72" i="3"/>
  <c r="AE73" i="3"/>
  <c r="AE74" i="3"/>
  <c r="AI74" i="3" s="1"/>
  <c r="AE75" i="3"/>
  <c r="AE76" i="3"/>
  <c r="AE77" i="3"/>
  <c r="AE78" i="3"/>
  <c r="AE79" i="3"/>
  <c r="AE80" i="3"/>
  <c r="AE81" i="3"/>
  <c r="AE82" i="3"/>
  <c r="AE83" i="3"/>
  <c r="AE84" i="3"/>
  <c r="AI84" i="3" s="1"/>
  <c r="AE85" i="3"/>
  <c r="AI85" i="3" s="1"/>
  <c r="AE86" i="3"/>
  <c r="AE87" i="3"/>
  <c r="AI87" i="3" s="1"/>
  <c r="AE88" i="3"/>
  <c r="AI88" i="3" s="1"/>
  <c r="AE89" i="3"/>
  <c r="AE90" i="3"/>
  <c r="AE91" i="3"/>
  <c r="AE92" i="3"/>
  <c r="AE93" i="3"/>
  <c r="AE94" i="3"/>
  <c r="AE95" i="3"/>
  <c r="AE96" i="3"/>
  <c r="AE97" i="3"/>
  <c r="AE98" i="3"/>
  <c r="AE99" i="3"/>
  <c r="AI99" i="3" s="1"/>
  <c r="AE100" i="3"/>
  <c r="AI100" i="3" s="1"/>
  <c r="AE101" i="3"/>
  <c r="AI101" i="3" s="1"/>
  <c r="AE102" i="3"/>
  <c r="AI102" i="3" s="1"/>
  <c r="AE104" i="3"/>
  <c r="AI104" i="3" s="1"/>
  <c r="AE105" i="3"/>
  <c r="AI105" i="3" s="1"/>
  <c r="AE106" i="3"/>
  <c r="AE107" i="3"/>
  <c r="AE108" i="3"/>
  <c r="AI108" i="3" s="1"/>
  <c r="AE109" i="3"/>
  <c r="AI109" i="3" s="1"/>
  <c r="AE110" i="3"/>
  <c r="AE111" i="3"/>
  <c r="AI111" i="3" s="1"/>
  <c r="AE112" i="3"/>
  <c r="AI112" i="3" s="1"/>
  <c r="AE113" i="3"/>
  <c r="AE114" i="3"/>
  <c r="AE115" i="3"/>
  <c r="AE116" i="3"/>
  <c r="AE117" i="3"/>
  <c r="AE118" i="3"/>
  <c r="AE119" i="3"/>
  <c r="AI119" i="3" s="1"/>
  <c r="AE120" i="3"/>
  <c r="AI120" i="3" s="1"/>
  <c r="AE122" i="3"/>
  <c r="AI122" i="3" s="1"/>
  <c r="AE123" i="3"/>
  <c r="AI123" i="3" s="1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I141" i="3" s="1"/>
  <c r="AE142" i="3"/>
  <c r="AI142" i="3" s="1"/>
  <c r="AE143" i="3"/>
  <c r="AI143" i="3" s="1"/>
  <c r="AE144" i="3"/>
  <c r="AI144" i="3" s="1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I160" i="3" s="1"/>
  <c r="AE161" i="3"/>
  <c r="AI161" i="3" s="1"/>
  <c r="AE162" i="3"/>
  <c r="AI162" i="3" s="1"/>
  <c r="AE163" i="3"/>
  <c r="AI163" i="3" s="1"/>
  <c r="AE164" i="3"/>
  <c r="AI164" i="3" s="1"/>
  <c r="AE165" i="3"/>
  <c r="AI165" i="3" s="1"/>
  <c r="AE166" i="3"/>
  <c r="AI166" i="3" s="1"/>
  <c r="AE167" i="3"/>
  <c r="AI167" i="3" s="1"/>
  <c r="AE168" i="3"/>
  <c r="AI168" i="3" s="1"/>
  <c r="AE169" i="3"/>
  <c r="AI169" i="3" s="1"/>
  <c r="AE170" i="3"/>
  <c r="AI170" i="3" s="1"/>
  <c r="AE171" i="3"/>
  <c r="AI171" i="3" s="1"/>
  <c r="AE172" i="3"/>
  <c r="AE173" i="3"/>
  <c r="AE174" i="3"/>
  <c r="AE175" i="3"/>
  <c r="AI175" i="3" s="1"/>
  <c r="AE176" i="3"/>
  <c r="AE177" i="3"/>
  <c r="AI177" i="3" s="1"/>
  <c r="AE178" i="3"/>
  <c r="AI178" i="3" s="1"/>
  <c r="AE179" i="3"/>
  <c r="AI179" i="3" s="1"/>
  <c r="AE180" i="3"/>
  <c r="AI180" i="3" s="1"/>
  <c r="AE181" i="3"/>
  <c r="AI181" i="3" s="1"/>
  <c r="AE192" i="3"/>
  <c r="AE193" i="3"/>
  <c r="AI193" i="3" s="1"/>
  <c r="AE194" i="3"/>
  <c r="AI194" i="3" s="1"/>
  <c r="AE195" i="3"/>
  <c r="AE196" i="3"/>
  <c r="AI196" i="3" s="1"/>
  <c r="AE197" i="3"/>
  <c r="AI197" i="3" s="1"/>
  <c r="AE198" i="3"/>
  <c r="AI198" i="3" s="1"/>
  <c r="AE199" i="3"/>
  <c r="AI199" i="3" s="1"/>
  <c r="AE200" i="3"/>
  <c r="AI200" i="3" s="1"/>
  <c r="AE201" i="3"/>
  <c r="AE202" i="3"/>
  <c r="AE203" i="3"/>
  <c r="AE204" i="3"/>
  <c r="AE205" i="3"/>
  <c r="AE206" i="3"/>
  <c r="AE207" i="3"/>
  <c r="AE208" i="3"/>
  <c r="AE209" i="3"/>
  <c r="AI209" i="3" s="1"/>
  <c r="AE210" i="3"/>
  <c r="AI210" i="3" s="1"/>
  <c r="AE211" i="3"/>
  <c r="AE212" i="3"/>
  <c r="AI212" i="3" s="1"/>
  <c r="AE213" i="3"/>
  <c r="AE214" i="3"/>
  <c r="AE215" i="3"/>
  <c r="AE216" i="3"/>
  <c r="AE217" i="3"/>
  <c r="AE218" i="3"/>
  <c r="AE219" i="3"/>
  <c r="AE220" i="3"/>
  <c r="AE221" i="3"/>
  <c r="AE222" i="3"/>
  <c r="AE223" i="3"/>
  <c r="AI223" i="3" s="1"/>
  <c r="AE224" i="3"/>
  <c r="AI224" i="3" s="1"/>
  <c r="AE225" i="3"/>
  <c r="AI225" i="3" s="1"/>
  <c r="AE226" i="3"/>
  <c r="AI226" i="3" s="1"/>
  <c r="AE227" i="3"/>
  <c r="AI227" i="3" s="1"/>
  <c r="AE228" i="3"/>
  <c r="AI228" i="3" s="1"/>
  <c r="AE229" i="3"/>
  <c r="AI229" i="3" s="1"/>
  <c r="AE230" i="3"/>
  <c r="AI230" i="3" s="1"/>
  <c r="AE231" i="3"/>
  <c r="AE232" i="3"/>
  <c r="AI232" i="3" s="1"/>
  <c r="AE233" i="3"/>
  <c r="AI233" i="3" s="1"/>
  <c r="AE234" i="3"/>
  <c r="AI234" i="3" s="1"/>
  <c r="AE235" i="3"/>
  <c r="AI235" i="3" s="1"/>
  <c r="AE236" i="3"/>
  <c r="AI236" i="3" s="1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I256" i="3" s="1"/>
  <c r="AE257" i="3"/>
  <c r="AI257" i="3" s="1"/>
  <c r="AE258" i="3"/>
  <c r="AI258" i="3" s="1"/>
  <c r="AE259" i="3"/>
  <c r="AI259" i="3" s="1"/>
  <c r="AE260" i="3"/>
  <c r="AI260" i="3" s="1"/>
  <c r="AE261" i="3"/>
  <c r="AI261" i="3" s="1"/>
  <c r="AE262" i="3"/>
  <c r="AI262" i="3" s="1"/>
  <c r="AE263" i="3"/>
  <c r="AI263" i="3" s="1"/>
  <c r="AE264" i="3"/>
  <c r="AE265" i="3"/>
  <c r="AE266" i="3"/>
  <c r="AE267" i="3"/>
  <c r="AE268" i="3"/>
  <c r="AE269" i="3"/>
  <c r="AE270" i="3"/>
  <c r="AE271" i="3"/>
  <c r="AE272" i="3"/>
  <c r="AI272" i="3" s="1"/>
  <c r="AE273" i="3"/>
  <c r="AI273" i="3" s="1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I293" i="3" s="1"/>
  <c r="AE294" i="3"/>
  <c r="AI294" i="3" s="1"/>
  <c r="AE295" i="3"/>
  <c r="AI295" i="3" s="1"/>
  <c r="AE296" i="3"/>
  <c r="AI296" i="3" s="1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I331" i="3" s="1"/>
  <c r="AE332" i="3"/>
  <c r="AI332" i="3" s="1"/>
  <c r="AE333" i="3"/>
  <c r="AE334" i="3"/>
  <c r="AE335" i="3"/>
  <c r="AE336" i="3"/>
  <c r="AE337" i="3"/>
  <c r="AI337" i="3" s="1"/>
  <c r="AE338" i="3"/>
  <c r="AI338" i="3" s="1"/>
  <c r="AE339" i="3"/>
  <c r="AI339" i="3" s="1"/>
  <c r="AE340" i="3"/>
  <c r="AI340" i="3" s="1"/>
  <c r="AE341" i="3"/>
  <c r="AI341" i="3" s="1"/>
  <c r="AE342" i="3"/>
  <c r="AI342" i="3" s="1"/>
  <c r="AE343" i="3"/>
  <c r="AI343" i="3" s="1"/>
  <c r="AE344" i="3"/>
  <c r="AI344" i="3" s="1"/>
  <c r="AE345" i="3"/>
  <c r="AI345" i="3" s="1"/>
  <c r="AE346" i="3"/>
  <c r="AI346" i="3" s="1"/>
  <c r="AE347" i="3"/>
  <c r="AI347" i="3" s="1"/>
  <c r="AE348" i="3"/>
  <c r="AI348" i="3" s="1"/>
  <c r="AE349" i="3"/>
  <c r="AI349" i="3" s="1"/>
  <c r="AE350" i="3"/>
  <c r="AI350" i="3" s="1"/>
  <c r="AE351" i="3"/>
  <c r="AE352" i="3"/>
  <c r="AE353" i="3"/>
  <c r="AE354" i="3"/>
  <c r="AE355" i="3"/>
  <c r="AE356" i="3"/>
  <c r="AE357" i="3"/>
  <c r="AE358" i="3"/>
  <c r="AE359" i="3"/>
  <c r="AE360" i="3"/>
  <c r="AE361" i="3"/>
  <c r="AE366" i="3"/>
  <c r="AI366" i="3" s="1"/>
  <c r="AE367" i="3"/>
  <c r="AI367" i="3" s="1"/>
  <c r="AE368" i="3"/>
  <c r="AI368" i="3" s="1"/>
  <c r="AE369" i="3"/>
  <c r="AI369" i="3" s="1"/>
  <c r="AE370" i="3"/>
  <c r="AI370" i="3" s="1"/>
  <c r="AE371" i="3"/>
  <c r="AI371" i="3" s="1"/>
  <c r="AE372" i="3"/>
  <c r="AI372" i="3" s="1"/>
  <c r="AE373" i="3"/>
  <c r="AI373" i="3" s="1"/>
  <c r="AE374" i="3"/>
  <c r="AE375" i="3"/>
  <c r="AE376" i="3"/>
  <c r="AE378" i="3"/>
  <c r="AI378" i="3" s="1"/>
  <c r="AE379" i="3"/>
  <c r="AI379" i="3" s="1"/>
  <c r="AE380" i="3"/>
  <c r="AI380" i="3" s="1"/>
  <c r="AE381" i="3"/>
  <c r="AE382" i="3"/>
  <c r="AE383" i="3"/>
  <c r="AE384" i="3"/>
  <c r="AI384" i="3" s="1"/>
  <c r="AE385" i="3"/>
  <c r="AI385" i="3" s="1"/>
  <c r="AE386" i="3"/>
  <c r="AI386" i="3" s="1"/>
  <c r="AE387" i="3"/>
  <c r="AE388" i="3"/>
  <c r="AE389" i="3"/>
  <c r="AE390" i="3"/>
  <c r="AI390" i="3" s="1"/>
  <c r="AE391" i="3"/>
  <c r="AI391" i="3" s="1"/>
  <c r="AE392" i="3"/>
  <c r="AI392" i="3" s="1"/>
  <c r="AE393" i="3"/>
  <c r="AI393" i="3" s="1"/>
  <c r="AE394" i="3"/>
  <c r="AI394" i="3" s="1"/>
  <c r="AE395" i="3"/>
  <c r="AI395" i="3" s="1"/>
  <c r="AE396" i="3"/>
  <c r="AI396" i="3" s="1"/>
  <c r="AE397" i="3"/>
  <c r="AI397" i="3" s="1"/>
  <c r="AE398" i="3"/>
  <c r="AI398" i="3" s="1"/>
  <c r="AE399" i="3"/>
  <c r="AI399" i="3" s="1"/>
  <c r="AE400" i="3"/>
  <c r="AI400" i="3" s="1"/>
  <c r="AE401" i="3"/>
  <c r="AI401" i="3" s="1"/>
  <c r="AE402" i="3"/>
  <c r="AI402" i="3" s="1"/>
  <c r="AE403" i="3"/>
  <c r="AI403" i="3" s="1"/>
  <c r="AE404" i="3"/>
  <c r="AI404" i="3" s="1"/>
  <c r="AE405" i="3"/>
  <c r="AI405" i="3" s="1"/>
  <c r="AE406" i="3"/>
  <c r="AI406" i="3" s="1"/>
  <c r="AE407" i="3"/>
  <c r="AI407" i="3" s="1"/>
  <c r="AE408" i="3"/>
  <c r="AI408" i="3" s="1"/>
  <c r="AE409" i="3"/>
  <c r="AI409" i="3" s="1"/>
  <c r="AE410" i="3"/>
  <c r="AI410" i="3" s="1"/>
  <c r="AE411" i="3"/>
  <c r="AI411" i="3" s="1"/>
  <c r="AE412" i="3"/>
  <c r="AI412" i="3" s="1"/>
  <c r="AE413" i="3"/>
  <c r="AI413" i="3" s="1"/>
  <c r="AE414" i="3"/>
  <c r="AI414" i="3" s="1"/>
  <c r="AE415" i="3"/>
  <c r="AI415" i="3" s="1"/>
  <c r="AE416" i="3"/>
  <c r="AI416" i="3" s="1"/>
  <c r="AE417" i="3"/>
  <c r="AE418" i="3"/>
  <c r="AI418" i="3" s="1"/>
  <c r="AE419" i="3"/>
  <c r="AI419" i="3" s="1"/>
  <c r="AE420" i="3"/>
  <c r="AI420" i="3" s="1"/>
  <c r="AE421" i="3"/>
  <c r="AI421" i="3" s="1"/>
  <c r="AE422" i="3"/>
  <c r="AI422" i="3" s="1"/>
  <c r="AE423" i="3"/>
  <c r="AI423" i="3" s="1"/>
  <c r="AE424" i="3"/>
  <c r="AI424" i="3" s="1"/>
  <c r="AE425" i="3"/>
  <c r="AI425" i="3" s="1"/>
  <c r="AE426" i="3"/>
  <c r="AI426" i="3" s="1"/>
  <c r="AE427" i="3"/>
  <c r="AI427" i="3" s="1"/>
  <c r="AE428" i="3"/>
  <c r="AI428" i="3" s="1"/>
  <c r="AE429" i="3"/>
  <c r="AI429" i="3" s="1"/>
  <c r="AE430" i="3"/>
  <c r="AI430" i="3" s="1"/>
  <c r="AE431" i="3"/>
  <c r="AI431" i="3" s="1"/>
  <c r="AE432" i="3"/>
  <c r="AE433" i="3"/>
  <c r="AE434" i="3"/>
  <c r="AE435" i="3"/>
  <c r="AE436" i="3"/>
  <c r="AE437" i="3"/>
  <c r="AI437" i="3" s="1"/>
  <c r="AE438" i="3"/>
  <c r="AE439" i="3"/>
  <c r="AE440" i="3"/>
  <c r="AI440" i="3" s="1"/>
  <c r="AE441" i="3"/>
  <c r="AI441" i="3" s="1"/>
  <c r="AE442" i="3"/>
  <c r="AI442" i="3" s="1"/>
  <c r="AE443" i="3"/>
  <c r="AI443" i="3" s="1"/>
  <c r="AE444" i="3"/>
  <c r="AI444" i="3" s="1"/>
  <c r="AE445" i="3"/>
  <c r="AI445" i="3" s="1"/>
  <c r="AE446" i="3"/>
  <c r="AI446" i="3" s="1"/>
  <c r="AE447" i="3"/>
  <c r="AI447" i="3" s="1"/>
  <c r="AE448" i="3"/>
  <c r="AI448" i="3" s="1"/>
  <c r="AE449" i="3"/>
  <c r="AI449" i="3" s="1"/>
  <c r="AE450" i="3"/>
  <c r="AI450" i="3" s="1"/>
  <c r="AE451" i="3"/>
  <c r="AI451" i="3" s="1"/>
  <c r="AE452" i="3"/>
  <c r="AI452" i="3" s="1"/>
  <c r="AE453" i="3"/>
  <c r="AI453" i="3" s="1"/>
  <c r="AE454" i="3"/>
  <c r="AI454" i="3" s="1"/>
  <c r="AE455" i="3"/>
  <c r="AI455" i="3" s="1"/>
  <c r="AE456" i="3"/>
  <c r="AI456" i="3" s="1"/>
  <c r="AE457" i="3"/>
  <c r="AI457" i="3" s="1"/>
  <c r="AE458" i="3"/>
  <c r="AI458" i="3" s="1"/>
  <c r="AE459" i="3"/>
  <c r="AI459" i="3" s="1"/>
  <c r="AE460" i="3"/>
  <c r="AI460" i="3" s="1"/>
  <c r="AE461" i="3"/>
  <c r="AI461" i="3" s="1"/>
  <c r="AE462" i="3"/>
  <c r="AI462" i="3" s="1"/>
  <c r="AE463" i="3"/>
  <c r="AI463" i="3" s="1"/>
  <c r="AE464" i="3"/>
  <c r="AI464" i="3" s="1"/>
  <c r="AE465" i="3"/>
  <c r="AI465" i="3" s="1"/>
  <c r="AE466" i="3"/>
  <c r="AI466" i="3" s="1"/>
  <c r="AE467" i="3"/>
  <c r="AI467" i="3" s="1"/>
  <c r="AE468" i="3"/>
  <c r="AI468" i="3" s="1"/>
  <c r="AE469" i="3"/>
  <c r="AI469" i="3" s="1"/>
  <c r="AE470" i="3"/>
  <c r="AI470" i="3" s="1"/>
  <c r="AE471" i="3"/>
  <c r="AI471" i="3" s="1"/>
  <c r="AE472" i="3"/>
  <c r="AI472" i="3" s="1"/>
  <c r="AE473" i="3"/>
  <c r="AI473" i="3" s="1"/>
  <c r="AE474" i="3"/>
  <c r="AI474" i="3" s="1"/>
  <c r="AE475" i="3"/>
  <c r="AI475" i="3" s="1"/>
  <c r="AE476" i="3"/>
  <c r="AI476" i="3" s="1"/>
  <c r="AE477" i="3"/>
  <c r="AI477" i="3" s="1"/>
  <c r="AE478" i="3"/>
  <c r="AI478" i="3" s="1"/>
  <c r="AE479" i="3"/>
  <c r="AI479" i="3" s="1"/>
  <c r="AE480" i="3"/>
  <c r="AI480" i="3" s="1"/>
  <c r="AE481" i="3"/>
  <c r="AI481" i="3" s="1"/>
  <c r="AE482" i="3"/>
  <c r="AI482" i="3" s="1"/>
  <c r="AE483" i="3"/>
  <c r="AI483" i="3" s="1"/>
  <c r="AE484" i="3"/>
  <c r="AI484" i="3" s="1"/>
  <c r="AE485" i="3"/>
  <c r="AE487" i="3"/>
  <c r="AI487" i="3" s="1"/>
  <c r="AE488" i="3"/>
  <c r="AE489" i="3"/>
  <c r="AE490" i="3"/>
  <c r="AE491" i="3"/>
  <c r="AE492" i="3"/>
  <c r="AE493" i="3"/>
  <c r="AE494" i="3"/>
  <c r="AE495" i="3"/>
  <c r="AE496" i="3"/>
  <c r="AI496" i="3" s="1"/>
  <c r="AE497" i="3"/>
  <c r="AI497" i="3" s="1"/>
  <c r="AE498" i="3"/>
  <c r="AI498" i="3" s="1"/>
  <c r="AE499" i="3"/>
  <c r="AI499" i="3" s="1"/>
  <c r="AE500" i="3"/>
  <c r="AI500" i="3" s="1"/>
  <c r="AE501" i="3"/>
  <c r="AI501" i="3" s="1"/>
  <c r="AE502" i="3"/>
  <c r="AI502" i="3" s="1"/>
  <c r="AE503" i="3"/>
  <c r="AI503" i="3" s="1"/>
  <c r="AE504" i="3"/>
  <c r="AI504" i="3" s="1"/>
  <c r="AE505" i="3"/>
  <c r="AI505" i="3" s="1"/>
  <c r="AE506" i="3"/>
  <c r="AI506" i="3" s="1"/>
  <c r="AE507" i="3"/>
  <c r="AI507" i="3" s="1"/>
  <c r="AE508" i="3"/>
  <c r="AI508" i="3" s="1"/>
  <c r="AE509" i="3"/>
  <c r="AI509" i="3" s="1"/>
  <c r="AE510" i="3"/>
  <c r="AI510" i="3" s="1"/>
  <c r="AE511" i="3"/>
  <c r="AI511" i="3" s="1"/>
  <c r="AE512" i="3"/>
  <c r="AI512" i="3" s="1"/>
  <c r="AE513" i="3"/>
  <c r="AI513" i="3" s="1"/>
  <c r="AE514" i="3"/>
  <c r="AI514" i="3" s="1"/>
  <c r="AE515" i="3"/>
  <c r="AI515" i="3" s="1"/>
  <c r="AE516" i="3"/>
  <c r="AI516" i="3" s="1"/>
  <c r="AE517" i="3"/>
  <c r="AI517" i="3" s="1"/>
  <c r="AE518" i="3"/>
  <c r="AI518" i="3" s="1"/>
  <c r="AE519" i="3"/>
  <c r="AI519" i="3" s="1"/>
  <c r="AE520" i="3"/>
  <c r="AI520" i="3" s="1"/>
  <c r="AE521" i="3"/>
  <c r="AI521" i="3" s="1"/>
  <c r="AE522" i="3"/>
  <c r="AI522" i="3" s="1"/>
  <c r="AE523" i="3"/>
  <c r="AI523" i="3" s="1"/>
  <c r="AE524" i="3"/>
  <c r="AI524" i="3" s="1"/>
  <c r="AE2" i="3"/>
  <c r="Q486" i="3" l="1"/>
  <c r="AE486" i="3" s="1"/>
  <c r="AI486" i="3" s="1"/>
  <c r="V367" i="3"/>
  <c r="E254" i="3"/>
  <c r="E253" i="3"/>
  <c r="E252" i="3"/>
  <c r="E251" i="3"/>
  <c r="P191" i="3"/>
  <c r="O191" i="3"/>
  <c r="P190" i="3"/>
  <c r="O190" i="3"/>
  <c r="P189" i="3"/>
  <c r="O189" i="3"/>
  <c r="P188" i="3"/>
  <c r="O188" i="3"/>
  <c r="P187" i="3"/>
  <c r="O187" i="3"/>
  <c r="P186" i="3"/>
  <c r="O186" i="3"/>
  <c r="P185" i="3"/>
  <c r="O185" i="3"/>
  <c r="P184" i="3"/>
  <c r="O184" i="3"/>
  <c r="P183" i="3"/>
  <c r="O183" i="3"/>
  <c r="P182" i="3"/>
  <c r="O182" i="3"/>
  <c r="S150" i="3"/>
  <c r="Q103" i="3"/>
  <c r="AE103" i="3" s="1"/>
  <c r="AI103" i="3" s="1"/>
  <c r="P68" i="3"/>
  <c r="O68" i="3"/>
  <c r="S10" i="3"/>
  <c r="AF9" i="3"/>
  <c r="AE183" i="3" l="1"/>
  <c r="AI183" i="3" s="1"/>
  <c r="AE185" i="3"/>
  <c r="AI185" i="3" s="1"/>
  <c r="AE187" i="3"/>
  <c r="AI187" i="3" s="1"/>
  <c r="AE189" i="3"/>
  <c r="AI189" i="3" s="1"/>
  <c r="AE191" i="3"/>
  <c r="AI191" i="3" s="1"/>
  <c r="AE68" i="3"/>
  <c r="AE182" i="3"/>
  <c r="AI182" i="3" s="1"/>
  <c r="AE184" i="3"/>
  <c r="AI184" i="3" s="1"/>
  <c r="AE186" i="3"/>
  <c r="AI186" i="3" s="1"/>
  <c r="AE188" i="3"/>
  <c r="AI188" i="3" s="1"/>
  <c r="AE190" i="3"/>
  <c r="AI190" i="3" s="1"/>
  <c r="Q103" i="1"/>
  <c r="Q487" i="1" l="1"/>
  <c r="V368" i="1"/>
  <c r="O188" i="1" l="1"/>
  <c r="P188" i="1"/>
  <c r="O189" i="1"/>
  <c r="P189" i="1"/>
  <c r="O190" i="1"/>
  <c r="P190" i="1"/>
  <c r="O191" i="1"/>
  <c r="P191" i="1"/>
  <c r="P187" i="1"/>
  <c r="O187" i="1"/>
  <c r="O183" i="1"/>
  <c r="P183" i="1"/>
  <c r="O184" i="1"/>
  <c r="P184" i="1"/>
  <c r="O185" i="1"/>
  <c r="P185" i="1"/>
  <c r="O186" i="1"/>
  <c r="P186" i="1"/>
  <c r="P182" i="1"/>
  <c r="O182" i="1"/>
  <c r="F5" i="9"/>
  <c r="G5" i="9" s="1"/>
  <c r="H5" i="9" s="1"/>
  <c r="S150" i="1"/>
  <c r="AP9" i="1" l="1"/>
  <c r="S10" i="1"/>
  <c r="F4" i="9" l="1"/>
  <c r="B1" i="9"/>
  <c r="G4" i="9" l="1"/>
  <c r="H4" i="9" s="1"/>
  <c r="L13" i="8" l="1"/>
  <c r="L14" i="8"/>
  <c r="H15" i="8"/>
  <c r="H14" i="8"/>
  <c r="H13" i="8"/>
  <c r="E13" i="8"/>
  <c r="E12" i="8"/>
  <c r="B13" i="8"/>
  <c r="B12" i="8"/>
  <c r="B11" i="8"/>
  <c r="T2" i="8"/>
  <c r="T3" i="8"/>
  <c r="T4" i="8" s="1"/>
  <c r="Q4" i="8"/>
  <c r="Q3" i="8"/>
  <c r="Q2" i="8"/>
  <c r="N5" i="8"/>
  <c r="N4" i="8"/>
  <c r="N3" i="8"/>
  <c r="N2" i="8"/>
  <c r="N1" i="8"/>
  <c r="K4" i="8"/>
  <c r="K3" i="8"/>
  <c r="H5" i="8"/>
  <c r="H4" i="8"/>
  <c r="H3" i="8"/>
  <c r="E5" i="8"/>
  <c r="E4" i="8"/>
  <c r="E3" i="8"/>
  <c r="E254" i="1"/>
  <c r="E253" i="1"/>
  <c r="E252" i="1"/>
  <c r="E251" i="1"/>
  <c r="B4" i="8"/>
  <c r="B5" i="8" s="1"/>
  <c r="B6" i="8" s="1"/>
  <c r="L15" i="8" l="1"/>
  <c r="K5" i="8"/>
  <c r="C14" i="7"/>
  <c r="C11" i="7"/>
  <c r="C10" i="7"/>
  <c r="AA114" i="1" l="1"/>
  <c r="AA113" i="1"/>
  <c r="AA112" i="1"/>
  <c r="AA111" i="1"/>
  <c r="AA110" i="1"/>
  <c r="AA108" i="1"/>
  <c r="AA106" i="1"/>
  <c r="P68" i="1"/>
  <c r="O68" i="1"/>
</calcChain>
</file>

<file path=xl/sharedStrings.xml><?xml version="1.0" encoding="utf-8"?>
<sst xmlns="http://schemas.openxmlformats.org/spreadsheetml/2006/main" count="17977" uniqueCount="1476">
  <si>
    <t>K4Nb6O17</t>
  </si>
  <si>
    <t>KLaNb2O7</t>
  </si>
  <si>
    <t>RbLaNb2O7</t>
  </si>
  <si>
    <t>CsLaNb2O7</t>
  </si>
  <si>
    <t>KCa2Nb3O10</t>
  </si>
  <si>
    <t>RbCa2Nb3O10</t>
  </si>
  <si>
    <t>CsCa2Nb3O10</t>
  </si>
  <si>
    <t>KSr2Nb3O10</t>
  </si>
  <si>
    <t>TiO2</t>
  </si>
  <si>
    <t>10.1070/rcr4547 </t>
  </si>
  <si>
    <t>RbLaTa2O7</t>
  </si>
  <si>
    <t>RbPrTa2O7</t>
  </si>
  <si>
    <t>RbNdTa2O7</t>
  </si>
  <si>
    <t>RbSmTa2O7</t>
  </si>
  <si>
    <t>CaTa2O6</t>
  </si>
  <si>
    <t>SrTa2O6</t>
  </si>
  <si>
    <t>BaTa2O6</t>
  </si>
  <si>
    <t>CaBi2Ta2O9</t>
  </si>
  <si>
    <t>BaBi2Ta2O9</t>
  </si>
  <si>
    <t>CaBi2Nb2O9</t>
  </si>
  <si>
    <t>SrBi2Nb2O9</t>
  </si>
  <si>
    <t>BaBi2Nb2O9</t>
  </si>
  <si>
    <t>PbBi2Nb1.8W0.2O9</t>
  </si>
  <si>
    <t>PbBi2Nb1.85W0.15O9</t>
  </si>
  <si>
    <t>PbBi2Nb1.9W0.1O9</t>
  </si>
  <si>
    <t>PbBi2Nb2O9</t>
  </si>
  <si>
    <t>PbBi2Nb1.9Ti0.1O9</t>
  </si>
  <si>
    <t>KTaO3</t>
  </si>
  <si>
    <t>NaTaO3</t>
  </si>
  <si>
    <t>10.1016/j.jssc.2006.01.024</t>
  </si>
  <si>
    <t>CaBi4Ti4O15</t>
  </si>
  <si>
    <t>PbBi4Ti4O15</t>
  </si>
  <si>
    <t>K0.5La0.5Ca1.5Nb3O10</t>
  </si>
  <si>
    <t>K0.5La0.25Bi0.25Ca0.75Pb0.75Nb3O10</t>
  </si>
  <si>
    <t>Sr3Ti2O7</t>
  </si>
  <si>
    <t>PbTiO3</t>
  </si>
  <si>
    <t>10.1039/B818922F</t>
  </si>
  <si>
    <t>Sr5Nb4O15</t>
  </si>
  <si>
    <t>Ba5Nb4O15</t>
  </si>
  <si>
    <t>CaLa4Ti4O15</t>
  </si>
  <si>
    <t>BaLa4Ti4O15</t>
  </si>
  <si>
    <t>La4Ti3O12</t>
  </si>
  <si>
    <t>SrLa4Ti4O15</t>
  </si>
  <si>
    <t>Ba3LaNb3O12</t>
  </si>
  <si>
    <t>K2La2Ti3O10</t>
  </si>
  <si>
    <t>Sr4Ti3O10</t>
  </si>
  <si>
    <t>La2Ti2O7</t>
  </si>
  <si>
    <t>La4CaTi5O17</t>
  </si>
  <si>
    <t>Ca2Nb2O7</t>
  </si>
  <si>
    <t>Sr2Nb2O7</t>
  </si>
  <si>
    <t>DOI</t>
  </si>
  <si>
    <t>SrBi2Ta2O9</t>
  </si>
  <si>
    <t>10.1063/1.118003</t>
  </si>
  <si>
    <t>Sr2SnFeO6</t>
  </si>
  <si>
    <t>10.1016/j.jmmm.2017.05.058</t>
  </si>
  <si>
    <t>10.1016/j.jhazmat.2011.02.064</t>
  </si>
  <si>
    <t>NiO</t>
  </si>
  <si>
    <t>10.1021/jp9919056</t>
  </si>
  <si>
    <t>Rb4Ta6O17</t>
  </si>
  <si>
    <t>Rb4Nb6O17</t>
  </si>
  <si>
    <t>Sr2TiO4</t>
  </si>
  <si>
    <t>Sr1.9La0.1TiO4</t>
  </si>
  <si>
    <t>10.1021/acscatal.8b00369</t>
  </si>
  <si>
    <t>HCa2Nb3O10</t>
  </si>
  <si>
    <t>10.1021/jp044833d</t>
  </si>
  <si>
    <t>Bi5Ti3FeO15</t>
  </si>
  <si>
    <t>10.1021/am505767c</t>
  </si>
  <si>
    <t>Bi4LaTi3FeO15</t>
  </si>
  <si>
    <t>Bi3La2Ti3FeO15</t>
  </si>
  <si>
    <t>Bi2WO6</t>
  </si>
  <si>
    <t>10.1039/C6TC02069K</t>
  </si>
  <si>
    <t>KLaTiO4</t>
  </si>
  <si>
    <t>KLaZr0.1Ti0.9O4</t>
  </si>
  <si>
    <t>KLaZrO4</t>
  </si>
  <si>
    <t>KLaZr0.7Ti0.3O4</t>
  </si>
  <si>
    <t>KLaZr0.5Ti0.5O4</t>
  </si>
  <si>
    <t>KLaZr0.3Ti0.7O4</t>
  </si>
  <si>
    <t>10.1023/a:1025812125852</t>
  </si>
  <si>
    <t>10.1016/j.solmat.2009.12.020</t>
  </si>
  <si>
    <t>K2La2Ti2.9Fe0.1O10</t>
  </si>
  <si>
    <t>10.1016/j.ijhydene.2010.01.022</t>
  </si>
  <si>
    <t>K2La2Ti2.8Fe0.2O10</t>
  </si>
  <si>
    <t>K2La2Ti2.7Fe0.3O10</t>
  </si>
  <si>
    <t>K2La2Ti2.6Fe0.4O10</t>
  </si>
  <si>
    <t>K2La2Ti2.5Fe0.5O10</t>
  </si>
  <si>
    <t>K2La2Ti2.8W0.2O10</t>
  </si>
  <si>
    <t>K2La2Ti2.8Ni0.2O10</t>
  </si>
  <si>
    <t>H2SrTa2O7</t>
  </si>
  <si>
    <t>Li2SrTa2O7</t>
  </si>
  <si>
    <t>10.1039/b312620j</t>
  </si>
  <si>
    <t>La1/3TaO3</t>
  </si>
  <si>
    <t>10.1021/cm050982c</t>
  </si>
  <si>
    <t>K2Sr1.5Ta3O10</t>
  </si>
  <si>
    <t>10.1016/j.cplett.2006.12.047</t>
  </si>
  <si>
    <t>10.1016/j.ijhydene.2005.10.005</t>
  </si>
  <si>
    <t>Na2Ca2Nb4O13</t>
  </si>
  <si>
    <t>10.1111/jace.12122</t>
  </si>
  <si>
    <t>Sr2FeTaO6</t>
  </si>
  <si>
    <t>Sr3FeTaO8</t>
  </si>
  <si>
    <t>Sr4FeTaO9</t>
  </si>
  <si>
    <t>10.1016/j.apcatb.2017.01.011</t>
  </si>
  <si>
    <t>10.1016/j.apcatb.2017.01.012</t>
  </si>
  <si>
    <t>10.1016/j.apcatb.2017.01.013</t>
  </si>
  <si>
    <t>10.1016/j.ijhydene.2009.07.047</t>
  </si>
  <si>
    <t>Bi2W2O9</t>
  </si>
  <si>
    <t>Bi14W2O27</t>
  </si>
  <si>
    <t>Bi2Ti2O7</t>
  </si>
  <si>
    <t>Bi4Ti3O12</t>
  </si>
  <si>
    <t>Bi3TiNbO9</t>
  </si>
  <si>
    <t>Bi2MoO6</t>
  </si>
  <si>
    <t>BaBi4Ti4O15</t>
  </si>
  <si>
    <t>10.1246/cl.1999.1103</t>
  </si>
  <si>
    <t>Perovskite</t>
  </si>
  <si>
    <t>Bandgap, eV</t>
  </si>
  <si>
    <t>10.1246/cl.2005.1528</t>
  </si>
  <si>
    <t>10.1021/ja049676a</t>
  </si>
  <si>
    <t>10.1016/j.ijhydene.2009.04.021</t>
  </si>
  <si>
    <t>10.1016/j.jssc.2008.05.020</t>
  </si>
  <si>
    <t>K0.5La0.5Bi2Ta2O9</t>
  </si>
  <si>
    <t>K0.5La0.5Bi2Nb2O9</t>
  </si>
  <si>
    <t>H1.9K0.3La0.5Bi0.1Ta2O7</t>
  </si>
  <si>
    <t>H1.6K0.2La0.3Bi0.1Nb2O6.5</t>
  </si>
  <si>
    <t>10.1016/j.ijhydene.2012.05.090</t>
  </si>
  <si>
    <t>H1.8Ca0.8Bi0.2Ta2O7</t>
  </si>
  <si>
    <t>H1.8Sr0.8Bi0.2Ta2O7</t>
  </si>
  <si>
    <t>H1.9Ba0.8Bi0.1Ta2O7</t>
  </si>
  <si>
    <t>10.1021/jacs.5b11191</t>
  </si>
  <si>
    <t>Bi4Nb8OCl</t>
  </si>
  <si>
    <t>BiOCl</t>
  </si>
  <si>
    <t>Bi4NbO8Cl</t>
  </si>
  <si>
    <t>Bi4NbO8Br</t>
  </si>
  <si>
    <t>Bi4TaO8Cl</t>
  </si>
  <si>
    <t>Bi4TaO8Br</t>
  </si>
  <si>
    <t>10.1039/c8cy00959g</t>
  </si>
  <si>
    <t>10.1021/cm990577j</t>
  </si>
  <si>
    <t>10.1039/B301938C</t>
  </si>
  <si>
    <t>HLaTa2O7</t>
  </si>
  <si>
    <t>NaLaTa2O7</t>
  </si>
  <si>
    <t>CsLaTa2O7</t>
  </si>
  <si>
    <t>HPrTa2O7</t>
  </si>
  <si>
    <t>NaPrTa2O7</t>
  </si>
  <si>
    <t>CsPrTa2O7</t>
  </si>
  <si>
    <t>HNdTa2O7</t>
  </si>
  <si>
    <t>NaNdTa2O7</t>
  </si>
  <si>
    <t>CsNdTa2O7</t>
  </si>
  <si>
    <t>HSmTa2O7</t>
  </si>
  <si>
    <t>NaSmTa2O7</t>
  </si>
  <si>
    <t>CsSmTa2O7</t>
  </si>
  <si>
    <t>LiCa2Ta3O10</t>
  </si>
  <si>
    <t>10.1246/bcsj.81.401</t>
  </si>
  <si>
    <t>10.1021/cm9007766</t>
  </si>
  <si>
    <t>HSr2Nb3O10</t>
  </si>
  <si>
    <t>10.1039/B903692J</t>
  </si>
  <si>
    <t>HLaNb2O7</t>
  </si>
  <si>
    <t>10.1016/j.solmat.2010.12.017</t>
  </si>
  <si>
    <t>KSr2TaNb2O10</t>
  </si>
  <si>
    <t>KSr2Ta1.5Nb1.5O10</t>
  </si>
  <si>
    <t>KSr2Ta2NbO10</t>
  </si>
  <si>
    <t>KSr2Ta3O10</t>
  </si>
  <si>
    <t>HSr2TaNb2O10</t>
  </si>
  <si>
    <t>HSr2Ta1.5Nb1.5O10</t>
  </si>
  <si>
    <t>HSr2Ta2NbO10</t>
  </si>
  <si>
    <t>HSr2Ta3O10</t>
  </si>
  <si>
    <t>10.1002/anie.201411494</t>
  </si>
  <si>
    <t>10.1021/cm902137s</t>
  </si>
  <si>
    <t>NaLaSrNb2NiO9</t>
  </si>
  <si>
    <t>CsLaSrNb2NiO9</t>
  </si>
  <si>
    <t>HLaSrNb2NiO9</t>
  </si>
  <si>
    <t>10.1016/j.jallcom.2006.11.201</t>
  </si>
  <si>
    <t>H2Ca4Nb6O20</t>
  </si>
  <si>
    <t>H2Ca4Ta2Nb4O20</t>
  </si>
  <si>
    <t>H2Ca4Ta3Nb3O20</t>
  </si>
  <si>
    <t>H2Ca4Ta4Nb2O20</t>
  </si>
  <si>
    <t>H2Ca4Ta6O20</t>
  </si>
  <si>
    <t>10.1021/cs200643h</t>
  </si>
  <si>
    <t>AgLaNb2O7</t>
  </si>
  <si>
    <t>10.1021/cs400466b</t>
  </si>
  <si>
    <t>AgCa2Nb3O10</t>
  </si>
  <si>
    <t>RbSr2Nb3O10</t>
  </si>
  <si>
    <t>AgSr2Nb3O10</t>
  </si>
  <si>
    <t>Rb2La2Ti3O10</t>
  </si>
  <si>
    <t>Ag2La2Ti3O10</t>
  </si>
  <si>
    <t>10.1246/cl.2006.1052</t>
  </si>
  <si>
    <t>10.1039/A902892G</t>
  </si>
  <si>
    <t>KBa2Ta3O10</t>
  </si>
  <si>
    <t>Sr2Ta2O7</t>
  </si>
  <si>
    <t>Sr2Nb0.05Ta0.95O7</t>
  </si>
  <si>
    <t>Sr2Nb0.15Ta0.85O7</t>
  </si>
  <si>
    <t>Sr2Nb0.25Ta0.75O7</t>
  </si>
  <si>
    <t>Sr2Nb0.35Ta0.65O7</t>
  </si>
  <si>
    <t>Sr2Nb0.5Ta0.5O7</t>
  </si>
  <si>
    <t>Sr2Nb0.8Ta0.2O7</t>
  </si>
  <si>
    <t>10.1016/s1010-6030(01)00574-3</t>
  </si>
  <si>
    <t>NdLaTi2O7</t>
  </si>
  <si>
    <t>Nd2Ti2O7</t>
  </si>
  <si>
    <t>Pr2Ti2O7</t>
  </si>
  <si>
    <t>PrLaTi2O7</t>
  </si>
  <si>
    <t>10.1021/jp034229n</t>
  </si>
  <si>
    <t>10.1016/j.apsusc.2009.05.146</t>
  </si>
  <si>
    <t>Cu(I)-K2La2Ti3O10</t>
  </si>
  <si>
    <t>Cu(I)-K4Nb6O17</t>
  </si>
  <si>
    <t>Cu(I)-KLaNb2O7</t>
  </si>
  <si>
    <t>Cu(I)-RbCa2Ta3O10</t>
  </si>
  <si>
    <t>RbCa2Ta3O10</t>
  </si>
  <si>
    <t>LiTaO3</t>
  </si>
  <si>
    <t>Cu(I)-LiTaO3</t>
  </si>
  <si>
    <t>Cu(I)-NaTaO3</t>
  </si>
  <si>
    <t>10.1039/c4sc01829j</t>
  </si>
  <si>
    <t>10.1016/j.solmat.2009.02.001</t>
  </si>
  <si>
    <t>10.1016/j.jhazmat.2008.11.040</t>
  </si>
  <si>
    <t>H0.98LaNb1.98Mo0.02O7</t>
  </si>
  <si>
    <t>H0.95LaNb1.95Mo0.05O7</t>
  </si>
  <si>
    <t>H0.85LaNb1.85Mo0.15O7</t>
  </si>
  <si>
    <t>10.1016/j.matlet.2007.08.089</t>
  </si>
  <si>
    <t>10.1016/j.ssi.2009.10.005</t>
  </si>
  <si>
    <t>CsCa2Ta3O10</t>
  </si>
  <si>
    <t>10.1039/c0cc05440b</t>
  </si>
  <si>
    <t>HPb2Nb3O10</t>
  </si>
  <si>
    <t>10.1016/j.apcata.2013.09.015</t>
  </si>
  <si>
    <t>10.1021/jp202783t</t>
  </si>
  <si>
    <t>Ba5Ta4O15</t>
  </si>
  <si>
    <t>Sr5Ta4O15</t>
  </si>
  <si>
    <t>10.1039/C3TA10446J</t>
  </si>
  <si>
    <t>10.1021/nn102469e</t>
  </si>
  <si>
    <t>10.1007/s11244-005-3837-x</t>
  </si>
  <si>
    <t>10.1021/jp0493226</t>
  </si>
  <si>
    <t>Fe0.02La1.98Ti2O7</t>
  </si>
  <si>
    <t>Cr0.02La1.98Ti2O7</t>
  </si>
  <si>
    <t>10.1039/b417052k</t>
  </si>
  <si>
    <t>10.1039/c3cy00179b</t>
  </si>
  <si>
    <t>10.1016/j.pnsc.2012.03.002</t>
  </si>
  <si>
    <t>10.1016/j.ijhydene.2014.02.172</t>
  </si>
  <si>
    <t>HCa2TaNb2O10</t>
  </si>
  <si>
    <t>10.1016/j.apcatb.2013.10.028</t>
  </si>
  <si>
    <t>10.1023/B:CATL.0000007154.30343.23</t>
  </si>
  <si>
    <t>10.1021/acssuschemeng.7b04181</t>
  </si>
  <si>
    <t>Na2Ta2O6</t>
  </si>
  <si>
    <t>K2Ta2O6</t>
  </si>
  <si>
    <t>10.1016/j.apcata.2005.11.007</t>
  </si>
  <si>
    <t>Ca2Ta2O7</t>
  </si>
  <si>
    <t>10.1088/0957-4484/17/19/014</t>
  </si>
  <si>
    <t>Ba5Ta2Nb2O15</t>
  </si>
  <si>
    <t>10.1002/smll.201402679</t>
  </si>
  <si>
    <t>10.1007/s10008-017-3533-3</t>
  </si>
  <si>
    <t>ZnO</t>
  </si>
  <si>
    <t>10.1039/C0EE00604A</t>
  </si>
  <si>
    <t>CdS</t>
  </si>
  <si>
    <t>Zn0.1Cd0.9S</t>
  </si>
  <si>
    <t>ZnS</t>
  </si>
  <si>
    <t>Zn0.9Cd0.1S</t>
  </si>
  <si>
    <t>Zn0.7Cd0.2S</t>
  </si>
  <si>
    <t>Zn0.5Cd0.5S</t>
  </si>
  <si>
    <t>Zn0.3Cd0.7S</t>
  </si>
  <si>
    <t>10.1016/j.jcat.2005.02.021</t>
  </si>
  <si>
    <t>Sr4Ta2O9</t>
  </si>
  <si>
    <t xml:space="preserve">CuBi2O4 </t>
  </si>
  <si>
    <t>10.1021/acsami.8b02439</t>
  </si>
  <si>
    <t>10.1016/S0927-6513(96)00112-5</t>
  </si>
  <si>
    <t>10.1021/ja3043678</t>
  </si>
  <si>
    <t>CsCa2Ta3O9.7N0.2</t>
  </si>
  <si>
    <t>10.1021/jp0751155</t>
  </si>
  <si>
    <t>10.1021/acsami.5b06281</t>
  </si>
  <si>
    <t>Ca2Nb3O10</t>
  </si>
  <si>
    <t>10.1039/C3RA40638E</t>
  </si>
  <si>
    <t>10.3390/catal3010001</t>
  </si>
  <si>
    <t>10.1021/ja207103j</t>
  </si>
  <si>
    <t>CsBa2Nb3O10</t>
  </si>
  <si>
    <t>10.1134/S0036023623602842</t>
  </si>
  <si>
    <t>HBa2Nb3O10</t>
  </si>
  <si>
    <t>10.3390/molecules28124807</t>
  </si>
  <si>
    <t>HSr2Nb3O19*yH2O</t>
  </si>
  <si>
    <t>HSr2Nb3O19*MeNH2*yH2O</t>
  </si>
  <si>
    <t>HSr2Nb3O19*EtNH2*yH2O</t>
  </si>
  <si>
    <t>HSr2Nb3O19*PrNH2*yH2O</t>
  </si>
  <si>
    <t>HSr2Nb3O19*BuNH2*yH2O</t>
  </si>
  <si>
    <t>HSr2Nb3O19*HxNH2*yH2O</t>
  </si>
  <si>
    <t>HSr2Nb3O19*OcNH2*yH2O</t>
  </si>
  <si>
    <t>HSr2Nb3O19*MeOH*yH2O</t>
  </si>
  <si>
    <t>HSr2Nb3O19*EtOH*yH2O</t>
  </si>
  <si>
    <t>HSr2Nb3O19*PrOH*yH2O</t>
  </si>
  <si>
    <t>HSr2Nb3O19*BuOH*yH2O</t>
  </si>
  <si>
    <t>HSr2Nb3O19*HxOH*yH2O</t>
  </si>
  <si>
    <t>Li2La2Ti3O10</t>
  </si>
  <si>
    <t>10.1134/S1070363212070018</t>
  </si>
  <si>
    <t>Na2La2Ti3O10</t>
  </si>
  <si>
    <t>Li2Nd2Ti3O10</t>
  </si>
  <si>
    <t>Na2Nd2Ti3O10</t>
  </si>
  <si>
    <t>K2Nd2Ti3O10</t>
  </si>
  <si>
    <t>KCa2Nb3O10-Yellow</t>
  </si>
  <si>
    <t>KCa2Nb3O10-Black</t>
  </si>
  <si>
    <t>10.1039/C6RA11407E</t>
  </si>
  <si>
    <t>10.1021/acsnano.7b06131</t>
  </si>
  <si>
    <t>10.1002/asia.201701001</t>
  </si>
  <si>
    <t>Ca2Nb2TaO10</t>
  </si>
  <si>
    <t>10.1039/C5CY01246E</t>
  </si>
  <si>
    <t>10.1002/anie.201408441</t>
  </si>
  <si>
    <t>HCa1.5Sr0.5Nb3O10</t>
  </si>
  <si>
    <t>HCaSrNb3O10</t>
  </si>
  <si>
    <t>HCa0.5Sr1.5Nb3O10</t>
  </si>
  <si>
    <t>HCa2Nb2.7Ta0.3O10</t>
  </si>
  <si>
    <t>HCa2Nb2TaO10</t>
  </si>
  <si>
    <t>HCa2Nb1.5Ta1.5O10</t>
  </si>
  <si>
    <t>10.1002/cssc.201501237</t>
  </si>
  <si>
    <t>KCaSrNb3O10</t>
  </si>
  <si>
    <t>H4Nb6O17</t>
  </si>
  <si>
    <t>10.1021/jp900842e</t>
  </si>
  <si>
    <t>10.1021/acscatal.5b00040</t>
  </si>
  <si>
    <t>10.1016/j.apcatb.2016.09.021</t>
  </si>
  <si>
    <t>KCa2Ta3O10</t>
  </si>
  <si>
    <t>10.1039/C8CY00930A</t>
  </si>
  <si>
    <t>10.1016/j.cattod.2018.03.037</t>
  </si>
  <si>
    <t>CsBa2Ta3O10</t>
  </si>
  <si>
    <t>10.1021/acs.cgd.6b00081</t>
  </si>
  <si>
    <t xml:space="preserve">K2La2Ti3O10 </t>
  </si>
  <si>
    <t>10.1016/j.cattod.2012.05.009</t>
  </si>
  <si>
    <t>10.1038/s41598-017-03911-6</t>
  </si>
  <si>
    <t>Cs0.67Ti1.83O4</t>
  </si>
  <si>
    <t>10.1021/jp805488h</t>
  </si>
  <si>
    <t>HLaTiO4</t>
  </si>
  <si>
    <t>10.3390/catal13040749</t>
  </si>
  <si>
    <t>HLaTiO4*MeNH2</t>
  </si>
  <si>
    <t>HLaTiO4*EtNH2</t>
  </si>
  <si>
    <t>HLaTiO4*PrNH2</t>
  </si>
  <si>
    <t>HLaTiO4*BuNH2</t>
  </si>
  <si>
    <t>HLaTiO4*HxNH2</t>
  </si>
  <si>
    <t>HLaTiO4*OxNH2</t>
  </si>
  <si>
    <t>HLaTiO4*MeOH</t>
  </si>
  <si>
    <t>HLaTiO4*EtOH</t>
  </si>
  <si>
    <t>HLaTiO4*PrOH</t>
  </si>
  <si>
    <t>HLaTiO4*BuOH</t>
  </si>
  <si>
    <t>HLaTiO4*HxOH</t>
  </si>
  <si>
    <t>HLaTiO4*OxOH</t>
  </si>
  <si>
    <t>HNdTiO4</t>
  </si>
  <si>
    <t>HNdTiO4*MeNH2</t>
  </si>
  <si>
    <t>HNdTiO4*EtNH2</t>
  </si>
  <si>
    <t>HNdTiO4*PrNH2</t>
  </si>
  <si>
    <t>HNdTiO4*BuNH2</t>
  </si>
  <si>
    <t>HNdTiO4*HxNH2</t>
  </si>
  <si>
    <t>HNdTiO4*OxNH2</t>
  </si>
  <si>
    <t>HNdTiO4*MeOH</t>
  </si>
  <si>
    <t>HNdTiO4*EtOH</t>
  </si>
  <si>
    <t>HNdTiO4*PrOH</t>
  </si>
  <si>
    <t>HNdTiO4*BuOH</t>
  </si>
  <si>
    <t>HNdTiO4*HxOH</t>
  </si>
  <si>
    <t>HNdTiO4*OxOH</t>
  </si>
  <si>
    <t>10.3390/catal13030614</t>
  </si>
  <si>
    <t>HCa2Nb3O10*MeOH</t>
  </si>
  <si>
    <t>HCa2Nb3O10*EtOH</t>
  </si>
  <si>
    <t>HCa2Nb3O10*PrOH</t>
  </si>
  <si>
    <t>HCa2Nb3O10*BuOH</t>
  </si>
  <si>
    <t>HCa2Nb3O10*HxOH</t>
  </si>
  <si>
    <t>HCa2Nb3O10*OxOH</t>
  </si>
  <si>
    <t>10.3390/catal11080897</t>
  </si>
  <si>
    <t>H2La2Ti3O10</t>
  </si>
  <si>
    <t>10.1155/2017/9628146</t>
  </si>
  <si>
    <t>LiNdTa2O7</t>
  </si>
  <si>
    <t>KNdTa2O7</t>
  </si>
  <si>
    <t>10.1134/S1070363214100041</t>
  </si>
  <si>
    <t>HLa2Ti3O10</t>
  </si>
  <si>
    <t>HLa2Ti3O10*EtNH2</t>
  </si>
  <si>
    <t>HLa2Ti3O10*EtOH</t>
  </si>
  <si>
    <t>10.3390/nano12152717</t>
  </si>
  <si>
    <t>10.1016/j.ceramint.2021.11.284</t>
  </si>
  <si>
    <t>HCa2Nb3O10*MeNH2</t>
  </si>
  <si>
    <t>HCa2Nb3O10*EtNH2</t>
  </si>
  <si>
    <t>HCa2Nb3O10*PrNH2</t>
  </si>
  <si>
    <t>HCa2Nb3O10*BuNH2</t>
  </si>
  <si>
    <t>HCa2Nb3O10*HxNH2</t>
  </si>
  <si>
    <t>HCa2Nb3O10*OcNH2</t>
  </si>
  <si>
    <t>H2La2Ti3O10*MeNH2</t>
  </si>
  <si>
    <t>H2La2Ti3O10*EtNH2</t>
  </si>
  <si>
    <t>H2La2Ti3O10*PrNH2</t>
  </si>
  <si>
    <t>H2La2Ti3O10*BuNH2</t>
  </si>
  <si>
    <t>H2La2Ti3O10*HxNH2</t>
  </si>
  <si>
    <t>H2La2Ti3O10*OcNH2</t>
  </si>
  <si>
    <t>H2La2Ti3O10*MeOH</t>
  </si>
  <si>
    <t>H2La2Ti3O10*EtOH</t>
  </si>
  <si>
    <t>H2La2Ti3O10*PrOH</t>
  </si>
  <si>
    <t>H2La2Ti3O10*BuOH</t>
  </si>
  <si>
    <t>H2La2Ti3O10*HxOH</t>
  </si>
  <si>
    <t>10.3390/catal11111279</t>
  </si>
  <si>
    <t>H2Nd2Ti3O10</t>
  </si>
  <si>
    <t>H2Nd2Ti3O10*MeNH2</t>
  </si>
  <si>
    <t>H2Nd2Ti3O10*EtNH2</t>
  </si>
  <si>
    <t>H2Nd2Ti3O10*PrNH2</t>
  </si>
  <si>
    <t>H2Nd2Ti3O10*BuNH2</t>
  </si>
  <si>
    <t>H2Nd2Ti3O10*HxNH2</t>
  </si>
  <si>
    <t>H2Nd2Ti3O10*OcNH2</t>
  </si>
  <si>
    <t>H2Nd2Ti3O10*MeOH</t>
  </si>
  <si>
    <t>H2Nd2Ti3O10*EtOH</t>
  </si>
  <si>
    <t>H2Nd2Ti3O10*PrOH</t>
  </si>
  <si>
    <t>H2Nd2Ti3O10*BuOH</t>
  </si>
  <si>
    <t>H2Nd2Ti3O10*HxOH</t>
  </si>
  <si>
    <t>10.1021/acsomega.0c00424</t>
  </si>
  <si>
    <t>H2K0.5Bi2.5Ti4O13*H2O</t>
  </si>
  <si>
    <t>H2K0.5Bi2.5Ti4O13*H2O*MeNH2</t>
  </si>
  <si>
    <t>H2K0.5Bi2.5Ti4O13*H2O*EtNH3</t>
  </si>
  <si>
    <t>H2K0.5Bi2.5Ti4O13*H2O*PrNH4</t>
  </si>
  <si>
    <t>H2K0.5Bi2.5Ti4O13*H2O*BuNH5</t>
  </si>
  <si>
    <t>H2K0.5Bi2.5Ti4O13*H2O*HxNH6</t>
  </si>
  <si>
    <t>H2K0.5Bi2.5Ti4O13*H2O*OcNH7</t>
  </si>
  <si>
    <t>10.3389/fchem.2019.00863</t>
  </si>
  <si>
    <t>10.1021/ja7114772</t>
  </si>
  <si>
    <t>K2Gd1.4Eu0.6Ti3O10</t>
  </si>
  <si>
    <t>H2Gd1.4Eu0.6Ti3O10</t>
  </si>
  <si>
    <t>RbLa0.7Tb0.3Ta2O7</t>
  </si>
  <si>
    <t>La3Ni2O6.92</t>
  </si>
  <si>
    <t>La3Ni2O6.35</t>
  </si>
  <si>
    <t>10.1006/jssc.1994.1059</t>
  </si>
  <si>
    <t>La1/3NbO3</t>
  </si>
  <si>
    <t xml:space="preserve">CaTiO3 </t>
  </si>
  <si>
    <t>10.1021/ic101955v</t>
  </si>
  <si>
    <t>10.1021/acs.chemmater.9b00567</t>
  </si>
  <si>
    <t>Sr2Bi3Ta2O11Cl</t>
  </si>
  <si>
    <t>SrPbBi3Ta2O11Cl</t>
  </si>
  <si>
    <t>Ba2Bi3Ta2O11Cl</t>
  </si>
  <si>
    <t>BaPbBi3Ta2O11Cl</t>
  </si>
  <si>
    <t>SrBi4TiTaO11Cl</t>
  </si>
  <si>
    <t>BaBi4TiTaO11Cl</t>
  </si>
  <si>
    <t>PbBi4TiTaO11Cl</t>
  </si>
  <si>
    <t>SrPbBi3Nb2O11Cl</t>
  </si>
  <si>
    <t>Ba2Bi3Nb2O11Cl</t>
  </si>
  <si>
    <t>BaPbBi3Nb2O11Cl</t>
  </si>
  <si>
    <t>SrBi4TiNbO11Cl</t>
  </si>
  <si>
    <t>BaBi4TiNbO11Cl</t>
  </si>
  <si>
    <t>PbBi4TiNbO11Cl</t>
  </si>
  <si>
    <t>Sr2Bi3Nb2O11Cl</t>
  </si>
  <si>
    <t>HCa2Nb3O10*MeNH2/Pt</t>
  </si>
  <si>
    <t>HCa2Nb3O10*BuNH2/Pt</t>
  </si>
  <si>
    <t>HCa2Nb3O10*OcNH2/Pt</t>
  </si>
  <si>
    <t>HCa2Nb3O10/Pt*MeNH2</t>
  </si>
  <si>
    <t>HCa2Nb3O10/Pt*BuNH2</t>
  </si>
  <si>
    <t>*</t>
  </si>
  <si>
    <t>Surface area</t>
  </si>
  <si>
    <t>IR</t>
  </si>
  <si>
    <t>10.1016/J.IJHYDENE.2009.04.021</t>
  </si>
  <si>
    <t>SEM/TEM</t>
  </si>
  <si>
    <t>UV speactrum</t>
  </si>
  <si>
    <t>Symmetry group</t>
  </si>
  <si>
    <t>P4/mmm</t>
  </si>
  <si>
    <t>I4/mmm</t>
  </si>
  <si>
    <t>XRD pattern</t>
  </si>
  <si>
    <t>AQY</t>
  </si>
  <si>
    <t>Crystal structure</t>
  </si>
  <si>
    <t>Fm3m</t>
  </si>
  <si>
    <t>EDX</t>
  </si>
  <si>
    <t>XPS</t>
  </si>
  <si>
    <t>10.1038/ncomms1690</t>
  </si>
  <si>
    <t>Emission and excitation spectra</t>
  </si>
  <si>
    <t>Raman</t>
  </si>
  <si>
    <t>A21am</t>
  </si>
  <si>
    <t>P4212</t>
  </si>
  <si>
    <t>P42412</t>
  </si>
  <si>
    <t>10.1016/s1466-6049(01)00071-x</t>
  </si>
  <si>
    <t>10.1007/BF00765319</t>
  </si>
  <si>
    <t>KCa2NaNb4O13</t>
  </si>
  <si>
    <t>H2/O2 rate, umol/(h*g)</t>
  </si>
  <si>
    <t>Conditions</t>
  </si>
  <si>
    <t>450 W Hg-lamp. 14% CH3OH</t>
  </si>
  <si>
    <t>inf</t>
  </si>
  <si>
    <t>400 W Hg, 1 mol/L CH3OH</t>
  </si>
  <si>
    <t>350 W Hg-lamp. 14% CH3OH</t>
  </si>
  <si>
    <t>PDF#49-0608</t>
  </si>
  <si>
    <t>PDF#38-1418</t>
  </si>
  <si>
    <t>-</t>
  </si>
  <si>
    <t>450 W Xe-Ar, 15% CH3OH, 0.1%Pt</t>
  </si>
  <si>
    <t>Number of octahedrons on a layer</t>
  </si>
  <si>
    <t>a, A</t>
  </si>
  <si>
    <t>b, A</t>
  </si>
  <si>
    <t>c, A</t>
  </si>
  <si>
    <t>350 W Hg-lamp. 15% CH3OH</t>
  </si>
  <si>
    <t>450 W Xe-Ar, 15% CH3OH,</t>
  </si>
  <si>
    <t>Cmcm</t>
  </si>
  <si>
    <t>Кристаллическая структура</t>
  </si>
  <si>
    <t>Параметры элементарной ячейки</t>
  </si>
  <si>
    <t>Удельная площадь поверхности</t>
  </si>
  <si>
    <t>Скорость выделения водорода</t>
  </si>
  <si>
    <t>ИК спектр</t>
  </si>
  <si>
    <t>Спектр комбинационного рассеяния</t>
  </si>
  <si>
    <t>UV-vis спектры</t>
  </si>
  <si>
    <t>XPS спектры</t>
  </si>
  <si>
    <t>(BA-H501-USHIO), Na2S/Na2SO3,</t>
  </si>
  <si>
    <t>400 W Hg-lamp</t>
  </si>
  <si>
    <t>400 W Hg-lamp, Pt, 14% CH3OH</t>
  </si>
  <si>
    <t>Immm</t>
  </si>
  <si>
    <t>Pbnm</t>
  </si>
  <si>
    <t>P4/mbm</t>
  </si>
  <si>
    <t>JCPD 49e0609</t>
  </si>
  <si>
    <t>JCPD 49e0607</t>
  </si>
  <si>
    <t>JCPDS 84-0843</t>
  </si>
  <si>
    <t>JCPDS 54-0818</t>
  </si>
  <si>
    <t>JCPDS 54-0819</t>
  </si>
  <si>
    <t>JCPDS 54-0124</t>
  </si>
  <si>
    <t>PDF#51-1876</t>
  </si>
  <si>
    <t>PDF#52-1863</t>
  </si>
  <si>
    <t>P212121</t>
  </si>
  <si>
    <t>P42212</t>
  </si>
  <si>
    <t>451 W Hg-lamp. 14% CH3OH</t>
  </si>
  <si>
    <t>452 W Hg-lamp. 14% CH3OH</t>
  </si>
  <si>
    <t>453 W Hg-lamp. 14% CH3OH</t>
  </si>
  <si>
    <t>454 W Hg-lamp. 14% CH3OH</t>
  </si>
  <si>
    <t>455 W Hg-lamp. 14% CH3OH</t>
  </si>
  <si>
    <t>456 W Hg-lamp. 14% CH3OH</t>
  </si>
  <si>
    <t>457 W Hg-lamp. 14% CH3OH</t>
  </si>
  <si>
    <t>458 W Hg-lamp. 14% CH3OH</t>
  </si>
  <si>
    <t>https://www.wellesu.com/10.1016/0025-5408(81)90063-5</t>
  </si>
  <si>
    <t>https://www.crystallography.net/cod/1518045.html</t>
  </si>
  <si>
    <t>https://www.wellesu.com/10.1016/0025-5408(90)90035-z</t>
  </si>
  <si>
    <t>https://www.wellesu.com/10.1016/0025-5408(87)90060-2</t>
  </si>
  <si>
    <t>Related links</t>
  </si>
  <si>
    <t>10.1016/0025-5408(87)90060-2 </t>
  </si>
  <si>
    <t>https://sci-hub.ru/10.1016/0025-5408(81)90063-5</t>
  </si>
  <si>
    <t xml:space="preserve">https://sci-hub.ru/10.1016/0025-5408(81)90063-5; https://sci-hub.ru/10.1021/ic00217a006; </t>
  </si>
  <si>
    <t>Pmaa</t>
  </si>
  <si>
    <t>Processed</t>
  </si>
  <si>
    <t>Imma</t>
  </si>
  <si>
    <t>Ia1/acd</t>
  </si>
  <si>
    <t>https://next-gen.materialsproject.org/materials/mp-1178119</t>
  </si>
  <si>
    <t>cubic</t>
  </si>
  <si>
    <t>tetragonal</t>
  </si>
  <si>
    <t>Пространственная группа симметрии</t>
  </si>
  <si>
    <t>SEM/TEM фотографии (размер частиц)</t>
  </si>
  <si>
    <t>Materials Project ID</t>
  </si>
  <si>
    <t>mp-560692</t>
  </si>
  <si>
    <t>mp-1223501</t>
  </si>
  <si>
    <t>mp-553965</t>
  </si>
  <si>
    <t>mp-553248</t>
  </si>
  <si>
    <t>mp-557195</t>
  </si>
  <si>
    <t>mp-20396</t>
  </si>
  <si>
    <t>mp-581330</t>
  </si>
  <si>
    <t>mp-1245098</t>
  </si>
  <si>
    <t>mp-541600</t>
  </si>
  <si>
    <t>mp-554038</t>
  </si>
  <si>
    <t>mp-17715</t>
  </si>
  <si>
    <t>mp-676339</t>
  </si>
  <si>
    <t>mp-556848</t>
  </si>
  <si>
    <t>mp-554675</t>
  </si>
  <si>
    <t>mp-23611</t>
  </si>
  <si>
    <t>mp-555616</t>
  </si>
  <si>
    <t>mp-23614</t>
  </si>
  <si>
    <t>mp-555867</t>
  </si>
  <si>
    <t>mp-23101</t>
  </si>
  <si>
    <t>mp-3349</t>
  </si>
  <si>
    <t>mp-19845</t>
  </si>
  <si>
    <t>mp-561133</t>
  </si>
  <si>
    <t>mp-3563</t>
  </si>
  <si>
    <t>mp-1228245</t>
  </si>
  <si>
    <t>mp-3249</t>
  </si>
  <si>
    <t>mp-1228150</t>
  </si>
  <si>
    <t>mp-6548</t>
  </si>
  <si>
    <t>mp-31213</t>
  </si>
  <si>
    <t>mp-4423</t>
  </si>
  <si>
    <t>mp-4155</t>
  </si>
  <si>
    <t>mp-15590</t>
  </si>
  <si>
    <t>mp-1218821</t>
  </si>
  <si>
    <t>mp-1179025</t>
  </si>
  <si>
    <t>mp-13664</t>
  </si>
  <si>
    <t>mp-1180047</t>
  </si>
  <si>
    <t>mp-5532</t>
  </si>
  <si>
    <t>mp-1217452</t>
  </si>
  <si>
    <t>mp-554500</t>
  </si>
  <si>
    <t>mp-1104930</t>
  </si>
  <si>
    <t>mp-6259</t>
  </si>
  <si>
    <t>mp-3614</t>
  </si>
  <si>
    <t>mp-990430</t>
  </si>
  <si>
    <t>mp-31760</t>
  </si>
  <si>
    <t>mp-1197485</t>
  </si>
  <si>
    <t>mp-559482</t>
  </si>
  <si>
    <t>mp-1216832</t>
  </si>
  <si>
    <t>mp-23423</t>
  </si>
  <si>
    <t>mp-1227554</t>
  </si>
  <si>
    <t>mp-22939</t>
  </si>
  <si>
    <t>mp-23630</t>
  </si>
  <si>
    <t>mp-1198841</t>
  </si>
  <si>
    <t>mp-558314</t>
  </si>
  <si>
    <t>mp-554207</t>
  </si>
  <si>
    <t>mp-1220741</t>
  </si>
  <si>
    <t>mp-774479</t>
  </si>
  <si>
    <t>mp-1205881</t>
  </si>
  <si>
    <t>mp-1222828</t>
  </si>
  <si>
    <t>mp-22720</t>
  </si>
  <si>
    <t>mp-6000</t>
  </si>
  <si>
    <t>mp-555785</t>
  </si>
  <si>
    <t>mp-15201</t>
  </si>
  <si>
    <t>mp-6680</t>
  </si>
  <si>
    <t>mp-754345</t>
  </si>
  <si>
    <t>mp-676280</t>
  </si>
  <si>
    <t>mp-10347</t>
  </si>
  <si>
    <t>mp-504554</t>
  </si>
  <si>
    <t>mp-769297</t>
  </si>
  <si>
    <t>mp-640836</t>
  </si>
  <si>
    <t>mp-1245015</t>
  </si>
  <si>
    <t>mp-1021511</t>
  </si>
  <si>
    <t>mp-1244890</t>
  </si>
  <si>
    <t>mp-769246</t>
  </si>
  <si>
    <t>mp-560165</t>
  </si>
  <si>
    <t>mp-505814</t>
  </si>
  <si>
    <t>mp-9406</t>
  </si>
  <si>
    <t>mp-6144</t>
  </si>
  <si>
    <t>mp-6119</t>
  </si>
  <si>
    <t>mp-1223975</t>
  </si>
  <si>
    <t>mp-1223520</t>
  </si>
  <si>
    <t>mp-3442</t>
  </si>
  <si>
    <t>10.1016/j.physb.2017.09.060</t>
  </si>
  <si>
    <t>10.1021/cm302480h</t>
  </si>
  <si>
    <t>COD_ID</t>
  </si>
  <si>
    <t>1001842</t>
  </si>
  <si>
    <t>1545643</t>
  </si>
  <si>
    <t>2004917</t>
  </si>
  <si>
    <t>1521061</t>
  </si>
  <si>
    <t>2238958</t>
  </si>
  <si>
    <t>1518045</t>
  </si>
  <si>
    <t>1010942</t>
  </si>
  <si>
    <t>2002339</t>
  </si>
  <si>
    <t>1534928</t>
  </si>
  <si>
    <t>1537578</t>
  </si>
  <si>
    <t>1525923</t>
  </si>
  <si>
    <t>1521923</t>
  </si>
  <si>
    <t>1525921</t>
  </si>
  <si>
    <t>1531753</t>
  </si>
  <si>
    <t>7221049</t>
  </si>
  <si>
    <t>1531664</t>
  </si>
  <si>
    <t>1533576</t>
  </si>
  <si>
    <t>1530317</t>
  </si>
  <si>
    <t>1011028</t>
  </si>
  <si>
    <t>8101224</t>
  </si>
  <si>
    <t>7039788</t>
  </si>
  <si>
    <t>1526777</t>
  </si>
  <si>
    <t>1526720</t>
  </si>
  <si>
    <t>1001022</t>
  </si>
  <si>
    <t>1011128</t>
  </si>
  <si>
    <t>2002850</t>
  </si>
  <si>
    <t>1528445</t>
  </si>
  <si>
    <t>2106523</t>
  </si>
  <si>
    <t>1010093</t>
  </si>
  <si>
    <t>1517788</t>
  </si>
  <si>
    <t>1522043</t>
  </si>
  <si>
    <t>1521427</t>
  </si>
  <si>
    <t>1528730</t>
  </si>
  <si>
    <t>2229871</t>
  </si>
  <si>
    <t>7221013</t>
  </si>
  <si>
    <t>2102087</t>
  </si>
  <si>
    <t>1544411</t>
  </si>
  <si>
    <t>1528814</t>
  </si>
  <si>
    <t>7213033</t>
  </si>
  <si>
    <t>1533740</t>
  </si>
  <si>
    <t>1529003</t>
  </si>
  <si>
    <t>1525625</t>
  </si>
  <si>
    <t>1531494</t>
  </si>
  <si>
    <t>1011175</t>
  </si>
  <si>
    <t>1529527</t>
  </si>
  <si>
    <t>7221321</t>
  </si>
  <si>
    <t>1544432</t>
  </si>
  <si>
    <t>1522041</t>
  </si>
  <si>
    <t>1509430</t>
  </si>
  <si>
    <t>1526803</t>
  </si>
  <si>
    <t>1509663</t>
  </si>
  <si>
    <t>2002197</t>
  </si>
  <si>
    <t>1522042</t>
  </si>
  <si>
    <t>1531051</t>
  </si>
  <si>
    <t>1521385</t>
  </si>
  <si>
    <t>2106435</t>
  </si>
  <si>
    <t>1001030</t>
  </si>
  <si>
    <t>1001177</t>
  </si>
  <si>
    <t>7039790</t>
  </si>
  <si>
    <t>1011258</t>
  </si>
  <si>
    <t>1011054</t>
  </si>
  <si>
    <t>1011195</t>
  </si>
  <si>
    <t>1004051</t>
  </si>
  <si>
    <t>1526807</t>
  </si>
  <si>
    <t>1544433</t>
  </si>
  <si>
    <t>2007573</t>
  </si>
  <si>
    <t>1522039</t>
  </si>
  <si>
    <t>4101345</t>
  </si>
  <si>
    <t>1000022</t>
  </si>
  <si>
    <t>Dopant</t>
  </si>
  <si>
    <t>N</t>
  </si>
  <si>
    <t>Sn0.45K0.2H0.9La2Ti3O10</t>
  </si>
  <si>
    <t>Co</t>
  </si>
  <si>
    <t>Cs0.03Na0.91Ca1.97Ta3O10</t>
  </si>
  <si>
    <t>Cs0.03Na0.1H0.87Ca2.11Ta3O10</t>
  </si>
  <si>
    <t>1.86 H2O</t>
  </si>
  <si>
    <t>0.38 H2O</t>
  </si>
  <si>
    <t>mp-1221096</t>
  </si>
  <si>
    <t>Hill formula</t>
  </si>
  <si>
    <t>K4 Nb6 O17</t>
  </si>
  <si>
    <t>K La Nb2 O7</t>
  </si>
  <si>
    <t>La Nb2 O7 Rb</t>
  </si>
  <si>
    <t>Cs La Nb2 O7</t>
  </si>
  <si>
    <t>Ca2 K Nb3 O10</t>
  </si>
  <si>
    <t>Ca2 Nb3 O10 Rb</t>
  </si>
  <si>
    <t>Ca2 Cs Nb3 O10</t>
  </si>
  <si>
    <t>K Nb3 O10 Sr2</t>
  </si>
  <si>
    <t>Ca2 K Na Nb4 O13</t>
  </si>
  <si>
    <t>O2 Ti</t>
  </si>
  <si>
    <t>La O7 Rb Ta2</t>
  </si>
  <si>
    <t>O7 Pr Rb Ta2</t>
  </si>
  <si>
    <t>Nd O7 Rb Ta2</t>
  </si>
  <si>
    <t>O7 Rb Sm Ta2</t>
  </si>
  <si>
    <t>Ca O6 Ta2</t>
  </si>
  <si>
    <t>O6 Sr Ta2</t>
  </si>
  <si>
    <t>Ba O6 Ta2</t>
  </si>
  <si>
    <t>Bi2 Ca O9 Ta2</t>
  </si>
  <si>
    <t>Bi2 O9 Sr Ta2</t>
  </si>
  <si>
    <t>Ba Bi2 O9 Ta2</t>
  </si>
  <si>
    <t>Bi2 Ca Nb2 O9</t>
  </si>
  <si>
    <t>Bi2 Nb2 O9 Sr</t>
  </si>
  <si>
    <t>Ba Bi2 Nb2 O9</t>
  </si>
  <si>
    <t>Bi2 Nb2 O9 Pb</t>
  </si>
  <si>
    <t>Bi4 Ca O15 Ti4</t>
  </si>
  <si>
    <t>Bi4 O15 Pb Ti4</t>
  </si>
  <si>
    <t>O7 Sr3 Ti2</t>
  </si>
  <si>
    <t>O3 Pb Ti</t>
  </si>
  <si>
    <t>Nb4 O15 Sr5</t>
  </si>
  <si>
    <t>Ba5 Nb4 O15</t>
  </si>
  <si>
    <t>Ca La4 O15 Ti4</t>
  </si>
  <si>
    <t>Ba La4 O15 Ti4</t>
  </si>
  <si>
    <t>La4 O12 Ti3</t>
  </si>
  <si>
    <t>La4 O15 Sr Ti4</t>
  </si>
  <si>
    <t>Ba3 La Nb3 O12</t>
  </si>
  <si>
    <t>K2 La2 O10 Ti3</t>
  </si>
  <si>
    <t>O10 Sr4 Ti3</t>
  </si>
  <si>
    <t>La2 O7 Ti2</t>
  </si>
  <si>
    <t>Ca La4 O17 Ti5</t>
  </si>
  <si>
    <t>Ca2 Nb2 O7</t>
  </si>
  <si>
    <t>Nb2 O7 Sr2</t>
  </si>
  <si>
    <t>Fe O6 Sn Sr2</t>
  </si>
  <si>
    <t>Bi4 O12 Ti3</t>
  </si>
  <si>
    <t>Bi2 O10 Ti3</t>
  </si>
  <si>
    <t>O7 Sr2 Ta2</t>
  </si>
  <si>
    <t>Ni O</t>
  </si>
  <si>
    <t>O17 Rb4 Ta6</t>
  </si>
  <si>
    <t>Nb6 O17 Rb4</t>
  </si>
  <si>
    <t>O4 Sr2 Ti</t>
  </si>
  <si>
    <t>Ca2 Cs O10 Ta3</t>
  </si>
  <si>
    <t>Bi5 Fe O15 Ti3</t>
  </si>
  <si>
    <t>Bi4 Fe La O15 Ti3</t>
  </si>
  <si>
    <t>Bi3 Fe La2 O15 Ti3</t>
  </si>
  <si>
    <t>Bi2 O6 W</t>
  </si>
  <si>
    <t>K La O4 Ti</t>
  </si>
  <si>
    <t>K La O4 Zr</t>
  </si>
  <si>
    <t>Li2 O7 Sr Ta2</t>
  </si>
  <si>
    <t>K O3 Ta</t>
  </si>
  <si>
    <t>H2 O7 Sr Ta2</t>
  </si>
  <si>
    <t>Ca2 Na2 Nb4 O13</t>
  </si>
  <si>
    <t>Fe O6 Sr2 Ta</t>
  </si>
  <si>
    <t>Fe O8 Sr3 Ta</t>
  </si>
  <si>
    <t>Fe O9 Sr4 Ta</t>
  </si>
  <si>
    <t>Bi2 O9 W2</t>
  </si>
  <si>
    <t>Bi14 O27 W2</t>
  </si>
  <si>
    <t>Bi2 O7 Ti2</t>
  </si>
  <si>
    <t>Bi3 Nb O9 Ti</t>
  </si>
  <si>
    <t>Bi2 Mo O6</t>
  </si>
  <si>
    <t>Ba Bi4 O15 Ti4</t>
  </si>
  <si>
    <t>Bi4 Cl Nb8 O</t>
  </si>
  <si>
    <t>Bi Cl O</t>
  </si>
  <si>
    <t>Bi4 Cl Nb O8</t>
  </si>
  <si>
    <t>Bi4 Br Nb O8</t>
  </si>
  <si>
    <t>Bi4 Cl O8 Ta</t>
  </si>
  <si>
    <t>Bi4 Br O8 Ta</t>
  </si>
  <si>
    <t>H La O7 Ta2</t>
  </si>
  <si>
    <t>La Na O7 Ta2</t>
  </si>
  <si>
    <t>Cs La O7 Ta2</t>
  </si>
  <si>
    <t>H O7 Pr Ta2</t>
  </si>
  <si>
    <t>Na O7 Pr Ta2</t>
  </si>
  <si>
    <t>Cs O7 Pr Ta2</t>
  </si>
  <si>
    <t>H Nd O7 Ta2</t>
  </si>
  <si>
    <t>Na Nd O7 Ta2</t>
  </si>
  <si>
    <t>Cs Nd O7 Ta2</t>
  </si>
  <si>
    <t>H O7 Sm Ta2</t>
  </si>
  <si>
    <t>Na O7 Sm Ta2</t>
  </si>
  <si>
    <t>Cs O7 Sm Ta2</t>
  </si>
  <si>
    <t>Ca2 Li O10 Ta3</t>
  </si>
  <si>
    <t>Ca2 H Nb3 O10</t>
  </si>
  <si>
    <t>H Nb3 O10 Sr2</t>
  </si>
  <si>
    <t>H La Nb2 O7</t>
  </si>
  <si>
    <t>K Nb2 O10 Sr2 Ta</t>
  </si>
  <si>
    <t>K Nb O10 Sr2 Ta</t>
  </si>
  <si>
    <t>K Nb O10 Sr2 Ta2</t>
  </si>
  <si>
    <t>K O10 Sr2 Ta3</t>
  </si>
  <si>
    <t>H Nb2 O10 Sr2 Ta</t>
  </si>
  <si>
    <t>H Nb O10 Sr2 Ta</t>
  </si>
  <si>
    <t>H Nb O10 Sr2 Ta2</t>
  </si>
  <si>
    <t>H O10 Sr2 Ta3</t>
  </si>
  <si>
    <t>La Na Nb2 Ni O9 Sr</t>
  </si>
  <si>
    <t>Cs La Nb2 Ni O9 Sr</t>
  </si>
  <si>
    <t>H La Nb2 Ni O9 Sr</t>
  </si>
  <si>
    <t>Ca4 H2 Nb6 O20</t>
  </si>
  <si>
    <t>Ca4 H2 Nb4 O20 Ta2</t>
  </si>
  <si>
    <t>Ca4 H2 Nb3 O20 Ta3</t>
  </si>
  <si>
    <t>Ca4 H2 Nb2 O20 Ta4</t>
  </si>
  <si>
    <t>Ca4 H2 O20 Ta6</t>
  </si>
  <si>
    <t>Ag La Nb2 O7</t>
  </si>
  <si>
    <t>Ag Ca2 Nb3 O10</t>
  </si>
  <si>
    <t>Nb3 O10 Rb Sr2</t>
  </si>
  <si>
    <t>Ag Nb3 O10 Sr2</t>
  </si>
  <si>
    <t>La2 O10 Rb2 Ti3</t>
  </si>
  <si>
    <t>Ag2 La2 O10 Ti3</t>
  </si>
  <si>
    <t>Ba2 K O10 Ta3</t>
  </si>
  <si>
    <t>La Nd O7 Ti2</t>
  </si>
  <si>
    <t>Nd2 O7 Ti2</t>
  </si>
  <si>
    <t>O7 Pr2 Ti2</t>
  </si>
  <si>
    <t>La O7 Pr Ti2</t>
  </si>
  <si>
    <t>Ca2 O10 Rb Ta3</t>
  </si>
  <si>
    <t>Li O3 Ta</t>
  </si>
  <si>
    <t>Na O3 Ta</t>
  </si>
  <si>
    <t>H Nb3 O10 Pb2</t>
  </si>
  <si>
    <t>Ba5 O15 Ta4</t>
  </si>
  <si>
    <t>O15 Sr5 Ta4</t>
  </si>
  <si>
    <t>Ca2 H Nb2 O10 Ta</t>
  </si>
  <si>
    <t>Na2 O6 Ta2</t>
  </si>
  <si>
    <t>K2 O6 Ta2</t>
  </si>
  <si>
    <t>Ca2 O7 Ta2</t>
  </si>
  <si>
    <t>Ba5 Nb2 O15 Ta2</t>
  </si>
  <si>
    <t>O Zn</t>
  </si>
  <si>
    <t>Cd S</t>
  </si>
  <si>
    <t>S Zn</t>
  </si>
  <si>
    <t>O9 Sr4 Ta2</t>
  </si>
  <si>
    <t>Bi2 Cu O4</t>
  </si>
  <si>
    <t>Ba2 Cs Nb3 O10</t>
  </si>
  <si>
    <t>Ba2 H Nb3 O10</t>
  </si>
  <si>
    <t>La2 Li2 O10 Ti3</t>
  </si>
  <si>
    <t>La2 Na2 O10 Ti3</t>
  </si>
  <si>
    <t>Li2 Nd2 O10 Ti3</t>
  </si>
  <si>
    <t>Na2 Nd2 O10 Ti3</t>
  </si>
  <si>
    <t>K2 Nd2 O10 Ti3</t>
  </si>
  <si>
    <t>Ca2 Nb2 O10 Ta</t>
  </si>
  <si>
    <t>Ca H Nb3 O10 Sr</t>
  </si>
  <si>
    <t>Ca K Nb3 O10 Sr</t>
  </si>
  <si>
    <t>H4 Nb6 O17</t>
  </si>
  <si>
    <t>Ca2 K O10 Ta3</t>
  </si>
  <si>
    <t>Ba2 Cs O10 Ta3</t>
  </si>
  <si>
    <t>H La O4 Ti</t>
  </si>
  <si>
    <t>H Nd O4 Ti</t>
  </si>
  <si>
    <t>H2 La2 O10 Ti3</t>
  </si>
  <si>
    <t>Li Nd O7 Ta2</t>
  </si>
  <si>
    <t>K Nd O7 Ta2</t>
  </si>
  <si>
    <t>H La2 O10 Ti3</t>
  </si>
  <si>
    <t>H2 Nd2 O10 Ti3</t>
  </si>
  <si>
    <t>Ca O3 Ti</t>
  </si>
  <si>
    <t>Bi3 Cl O11 Sr2 Ta2</t>
  </si>
  <si>
    <t>Bi3 Cl O11 Pb Sr Ta2</t>
  </si>
  <si>
    <t>Ba2 Bi3 Cl O11 Ta2</t>
  </si>
  <si>
    <t>Ba Bi3 Cl O11 Pb Ta2</t>
  </si>
  <si>
    <t>Bi4 Cl O11 Sr Ta Ti</t>
  </si>
  <si>
    <t>Ba Bi4 Cl O11 Ta Ti</t>
  </si>
  <si>
    <t>Bi4 Cl O11 Pb Ta Ti</t>
  </si>
  <si>
    <t>Bi3 Cl Nb2 O11 Sr2</t>
  </si>
  <si>
    <t>Bi3 Cl Nb2 O11 Pb Sr</t>
  </si>
  <si>
    <t>Ba2 Bi3 Cl Nb2 O11</t>
  </si>
  <si>
    <t>Ba Bi3 Cl Nb2 O11 Pb</t>
  </si>
  <si>
    <t>Bi4 Cl Nb O11 Sr Ti</t>
  </si>
  <si>
    <t>Ba Bi4 Cl Nb O11 Ti</t>
  </si>
  <si>
    <t>Bi4 Cl Nb O11 Pb Ti</t>
  </si>
  <si>
    <t>1 C6H13NH2</t>
  </si>
  <si>
    <t>HCa2Ta3O10</t>
  </si>
  <si>
    <t>K2SrTa2O7</t>
  </si>
  <si>
    <t>Rb2SrTa2O7</t>
  </si>
  <si>
    <t>LaTa3O9</t>
  </si>
  <si>
    <t>La O9 Ta3</t>
  </si>
  <si>
    <t>mp-5308</t>
  </si>
  <si>
    <t>K6 La2 O21 Ta6</t>
  </si>
  <si>
    <t>H6 La2 O21 Ta6</t>
  </si>
  <si>
    <t>Pt</t>
  </si>
  <si>
    <t>K6La2Ta6O21</t>
  </si>
  <si>
    <t>H6La2Ta6O21</t>
  </si>
  <si>
    <t>Sr2Nb0.1Ta0.9O7</t>
  </si>
  <si>
    <t>Cu2 La2 O10 Ti3</t>
  </si>
  <si>
    <t>Cu2.76 K1.24 Nb6 O17</t>
  </si>
  <si>
    <t>Cu0.65 K0.35 La Nb2 O7</t>
  </si>
  <si>
    <t>Ca2 Cu0.1 O10 Rb0.9 Ta3</t>
  </si>
  <si>
    <t>Cu0.02 Li0.98 O3 Ta</t>
  </si>
  <si>
    <t>Cu0.09 Na0.91 O3 Ta</t>
  </si>
  <si>
    <t>H1.8Pb2Nb2.6Cr0.4O10</t>
  </si>
  <si>
    <t>H1.8 Cr0.4 Nb2.6 O10 Pb2</t>
  </si>
  <si>
    <t>PbS</t>
  </si>
  <si>
    <t>Bi2 Nb1.8 O9 Pb W0.2</t>
  </si>
  <si>
    <t>Bi2 Nb1.85 O9 Pb W0.15</t>
  </si>
  <si>
    <t>Bi2 Nb1.9 O9 Pb W0.1</t>
  </si>
  <si>
    <t>Bi2 Nb1.9 O9 Pb Ti0.1</t>
  </si>
  <si>
    <t>Dopant, wt%</t>
  </si>
  <si>
    <t>Ca1.5 K0.5 La0.5 Nb3 O10</t>
  </si>
  <si>
    <t>Bi0.25 Ca0.75 K0.5 La0.25 Nb3 O10 Pb0.75</t>
  </si>
  <si>
    <t>Sr1.8La0.2TiO4</t>
  </si>
  <si>
    <t>Sr1.7La0.3TiO4</t>
  </si>
  <si>
    <t>Sr1.6La0.4TiO4</t>
  </si>
  <si>
    <t>Sr1.5La0.5TiO4</t>
  </si>
  <si>
    <t>ZnS, PbS</t>
  </si>
  <si>
    <t>CuO</t>
  </si>
  <si>
    <t>CsSr1.5Ba0.5Ta3O10</t>
  </si>
  <si>
    <t>Rh</t>
  </si>
  <si>
    <t>La2Ti3O7</t>
  </si>
  <si>
    <t>Interlayer space composition</t>
  </si>
  <si>
    <t>H0.9 K0.2 La2 O10 Sn0.45 Ti3</t>
  </si>
  <si>
    <t>La0.1 O4 Sr1.9 Ti</t>
  </si>
  <si>
    <t>La0.2 O4 Sr1.8 Ti</t>
  </si>
  <si>
    <t>La0.3 O4 Sr1.7 Ti</t>
  </si>
  <si>
    <t>La0.4 O4 Sr1.6 Ti</t>
  </si>
  <si>
    <t>La0.5 O4 Sr1.5 Ti</t>
  </si>
  <si>
    <t>Ca1.97 Cs0.03 Na0.91 O10 Ta3</t>
  </si>
  <si>
    <t>H0.87 Ca2.11 Cs0.03 Na0.1 O10 Ta3</t>
  </si>
  <si>
    <t>H Ca2 O10 Ta3</t>
  </si>
  <si>
    <t>K La O4 Ti0.9 Zr0.1</t>
  </si>
  <si>
    <t>K La O4 Ti0.7 Zr0.3</t>
  </si>
  <si>
    <t>K La O4 Ti0.5 Zr0.5</t>
  </si>
  <si>
    <t>K La O4 Ti0.3 Zr0.7</t>
  </si>
  <si>
    <t>Fe0.1 K2 La2 O10 Ti2.9</t>
  </si>
  <si>
    <t>Fe0.2 K2 La2 O10 Ti2.8</t>
  </si>
  <si>
    <t>Fe0.3 K2 La2 O10 Ti2.7</t>
  </si>
  <si>
    <t>Fe0.4 K2 La2 O10 Ti2.6</t>
  </si>
  <si>
    <t>Fe0.5 K2 La2 O10 Ti2.5</t>
  </si>
  <si>
    <t>K2 La2 O10 Ti2.8 W0.2</t>
  </si>
  <si>
    <t>K2 La2 Ni0.2 O10 Ti2.8</t>
  </si>
  <si>
    <t>K2 O7 Sr Ta2</t>
  </si>
  <si>
    <t>O7 Rb2 Sr Ta2</t>
  </si>
  <si>
    <t>K2 O10 Sr1.5 Ta3</t>
  </si>
  <si>
    <t>K2.33Sr0.67Nb5O14.335</t>
  </si>
  <si>
    <t>H2.33Sr0.67Nb5O14.335</t>
  </si>
  <si>
    <t>K2.33 Nb5 O14.335 Sr0.67</t>
  </si>
  <si>
    <t>H2.33 Nb5 O14.335 Sr0.67</t>
  </si>
  <si>
    <t>Bi2 K0.5 La0.5 O9 Ta2</t>
  </si>
  <si>
    <t xml:space="preserve">Bi2 K0.5 La0.5 Nb2 O9 </t>
  </si>
  <si>
    <t>H1.9 Bi0.1 K0.3 La0.5 O7 Ta2</t>
  </si>
  <si>
    <t>H1.6 Bi0.1 K0.2 La0.3 Nb2 O6.5</t>
  </si>
  <si>
    <t>Bi0.2 Ca0.8 H1.8 O7 Ta2</t>
  </si>
  <si>
    <t>Bi0.2 H1.8 O7 Sr Ta2</t>
  </si>
  <si>
    <t>Ba0.8 Bi0.1 H1.9 O7 Ta2</t>
  </si>
  <si>
    <t>Bi0.1 H1.9 K0.3 La0.5 O7 Ta2</t>
  </si>
  <si>
    <t>Nb0.05 O7 Sr2 Ta0.95</t>
  </si>
  <si>
    <t>Nb0.1 O7 Sr2 Ta0.9</t>
  </si>
  <si>
    <t>Nb0.15 O7 Sr2 Ta0.85</t>
  </si>
  <si>
    <t>Nb0.25 O7 Sr2 Ta0.75</t>
  </si>
  <si>
    <t>Nb0.35 O7 Sr2 Ta0.65</t>
  </si>
  <si>
    <t>Nb0.5 O7 Sr2 Ta0.5</t>
  </si>
  <si>
    <t>Nb0.8 O7 Sr2 Ta0.2</t>
  </si>
  <si>
    <t>H0.98 La Mo0.02 Nb1.98 O7</t>
  </si>
  <si>
    <t>H0.95 La Mo0.05 Nb1.95 O7</t>
  </si>
  <si>
    <t>H0.85 La Mo0.15 Nb1.85 O7</t>
  </si>
  <si>
    <t>Fe0.02 La1.98 O7 Ti2</t>
  </si>
  <si>
    <t>Cr0.02 La1.98 O7 Ti2</t>
  </si>
  <si>
    <t>Cd0.9 Zn0.1</t>
  </si>
  <si>
    <t>Cd0.7 Zn0.3</t>
  </si>
  <si>
    <t>Cd0.5 Zn0.5</t>
  </si>
  <si>
    <t>Cd0.3 Zn0.7</t>
  </si>
  <si>
    <t>Cd0.1 Zn0.9</t>
  </si>
  <si>
    <t>Ba0.5 Cs O10 Sr1.5 Ta3</t>
  </si>
  <si>
    <t>N, Nb4+</t>
  </si>
  <si>
    <t>Ca1.5 H Nb3 O10 Sr0.5</t>
  </si>
  <si>
    <t>Ca0.5 H Nb3 O10 Sr1.5</t>
  </si>
  <si>
    <t>Ca2 H Nb2.7 O10 Ta0.3</t>
  </si>
  <si>
    <t>Ca2 H Nb1.5 O10 Ta1.5</t>
  </si>
  <si>
    <t>Cs0.67 O4 Ti1.83</t>
  </si>
  <si>
    <t>HRbLa2Ti3O10</t>
  </si>
  <si>
    <t>H1.5Rb0.5La2Ti3O10</t>
  </si>
  <si>
    <t>H La2 O10 Rb Ti3</t>
  </si>
  <si>
    <t>H1.5 La2 O10 Rb0.5 Ti3</t>
  </si>
  <si>
    <t>Eu0.6 Gd1.4 K2 O10 Ti3</t>
  </si>
  <si>
    <t>Eu0.6 Gd1.4 H2 O10 Ti3</t>
  </si>
  <si>
    <t>La0.7 O7 Rb Ta2 Tb0.3</t>
  </si>
  <si>
    <t>La0.7 O7 Ta2 Tb0.3</t>
  </si>
  <si>
    <t>La3 Ni2 O6.92</t>
  </si>
  <si>
    <t>La3 Ni2 O6.35</t>
  </si>
  <si>
    <t>La0.33 Nb O3</t>
  </si>
  <si>
    <t>La0.33 O3 Ta</t>
  </si>
  <si>
    <t>In</t>
  </si>
  <si>
    <t>Допант</t>
  </si>
  <si>
    <t>Кол-во образцов</t>
  </si>
  <si>
    <t>С допантом</t>
  </si>
  <si>
    <t>Без допанта</t>
  </si>
  <si>
    <t>194 MP_ID (52 нет в COD)</t>
  </si>
  <si>
    <t>148 COD_ID (6 нет в MP)</t>
  </si>
  <si>
    <t>Materials Project</t>
  </si>
  <si>
    <t>Crystallography Open Database</t>
  </si>
  <si>
    <t>Без ID</t>
  </si>
  <si>
    <t>K0.5La0.5Ca0.75Pn0.75Nb3O10</t>
  </si>
  <si>
    <t>Ca0.75 K0.5 La0.5 Nb3 O10 Pb0.75</t>
  </si>
  <si>
    <t xml:space="preserve">C H5 N Nb3 O20 Sr2 </t>
  </si>
  <si>
    <t>H Nb3 O19 Sr2</t>
  </si>
  <si>
    <t xml:space="preserve">C H6 N Nb3 O19 Sr2 </t>
  </si>
  <si>
    <t xml:space="preserve">C8 H20 N Nb3 O19 Sr2 </t>
  </si>
  <si>
    <t xml:space="preserve">C6 H16 N Nb3 O19 Sr2 </t>
  </si>
  <si>
    <t xml:space="preserve">C4 H12 N Nb3 O19 Sr2 </t>
  </si>
  <si>
    <t xml:space="preserve">C3 H10 N Nb3 O19 Sr2 </t>
  </si>
  <si>
    <t xml:space="preserve">C2 H8 N Nb3 O19 Sr2 </t>
  </si>
  <si>
    <t xml:space="preserve">C2 H7 N Nb3 O20 Sr2 </t>
  </si>
  <si>
    <t xml:space="preserve">C3 H9 N Nb3 O20 Sr2 </t>
  </si>
  <si>
    <t xml:space="preserve">C4 H11 N Nb3 O20 Sr2 </t>
  </si>
  <si>
    <t xml:space="preserve">C6 H15 N Nb3 O20 Sr2 </t>
  </si>
  <si>
    <t xml:space="preserve">C8 H19 N Nb3 O20 Sr2 </t>
  </si>
  <si>
    <t>Ca2 K Na2 Nb5 O16</t>
  </si>
  <si>
    <t>Ca2 K Na3 Nb6 O19</t>
  </si>
  <si>
    <t>KNaCa2Nb4O13</t>
  </si>
  <si>
    <t>KNa2Ca2Nb5O16</t>
  </si>
  <si>
    <t>KNa3Ca2Nb6O19</t>
  </si>
  <si>
    <t>H6 C La N O4 Ti</t>
  </si>
  <si>
    <t>H8 C2 La N O4 Ti</t>
  </si>
  <si>
    <t>H10 C3 La N O4 Ti</t>
  </si>
  <si>
    <t>H12 C4 La N O4 Ti</t>
  </si>
  <si>
    <t>H20 C8 La N O4 Ti</t>
  </si>
  <si>
    <t>H16 C6 La N O4 Ti</t>
  </si>
  <si>
    <t>H19 C8 La O5 Ti</t>
  </si>
  <si>
    <t>H15 C6 La O5 Ti</t>
  </si>
  <si>
    <t>H11 C4 La O5 Ti</t>
  </si>
  <si>
    <t>H9 C3 La O5 Ti</t>
  </si>
  <si>
    <t>H7 C2 La O5 Ti</t>
  </si>
  <si>
    <t>H5 C La O5 Ti</t>
  </si>
  <si>
    <t>H6 C Nd N O4 Ti</t>
  </si>
  <si>
    <t>H8 C2 Nd N O4 Ti</t>
  </si>
  <si>
    <t>H10 C3 Nd N O4 Ti</t>
  </si>
  <si>
    <t>H12 C4 Nd N O4 Ti</t>
  </si>
  <si>
    <t>H16 C6 Nd N O4 Ti</t>
  </si>
  <si>
    <t>H20 C8 Nd N O4 Ti</t>
  </si>
  <si>
    <t>H5 C Nd O5 Ti</t>
  </si>
  <si>
    <t>H7 C2 Nd O5 Ti</t>
  </si>
  <si>
    <t>H9 C3 Nd O5 Ti</t>
  </si>
  <si>
    <t>H11 C4 Nd O5 Ti</t>
  </si>
  <si>
    <t>H15 C6 Nd O5 Ti</t>
  </si>
  <si>
    <t>H19 C8 Nd O5 Ti</t>
  </si>
  <si>
    <t>C Ca2 H5 Nb3 O10</t>
  </si>
  <si>
    <t>C2 Ca2 H7 Nb3 O10</t>
  </si>
  <si>
    <t>C3 Ca2 H9 Nb3 O10</t>
  </si>
  <si>
    <t>C4 Ca2 H11 Nb3 O10</t>
  </si>
  <si>
    <t>C6 Ca2 H15 Nb3 O10</t>
  </si>
  <si>
    <t>C8 Ca2 H19 Nb3 O10</t>
  </si>
  <si>
    <t>C4 H12 Ca2 N Nb3 O10</t>
  </si>
  <si>
    <t>C2 H7 Ca2 Nb3 O11</t>
  </si>
  <si>
    <t>C2 H8 La2 N O10 Ti3</t>
  </si>
  <si>
    <t>C2 H7 La2 O11 Ti3</t>
  </si>
  <si>
    <t>C Ca2 H6 Nb3 O10</t>
  </si>
  <si>
    <t>C2 Ca2 H8 Nb3 O10</t>
  </si>
  <si>
    <t>C3 Ca2 H10 Nb3 O10</t>
  </si>
  <si>
    <t>C4 Ca2 H12 Nb3 O10</t>
  </si>
  <si>
    <t>C6 Ca2 H16 Nb3 O10</t>
  </si>
  <si>
    <t>C8 Ca2 H20 Nb3 O10</t>
  </si>
  <si>
    <t>C H6 La2 N O10 Ti3</t>
  </si>
  <si>
    <t>C3 H10 La2 N O10 Ti3</t>
  </si>
  <si>
    <t>C4 H12 La2 N O10 Ti3</t>
  </si>
  <si>
    <t>C6 H16 La2 N O10 Ti3</t>
  </si>
  <si>
    <t>C8 H20 La2 N O10 Ti3</t>
  </si>
  <si>
    <t>C H5 La2 O11 Ti3</t>
  </si>
  <si>
    <t>C3 H9 La2 O11 Ti3</t>
  </si>
  <si>
    <t>C4 H11 La2 O11 Ti3</t>
  </si>
  <si>
    <t>C6 H15 La2 O11 Ti3</t>
  </si>
  <si>
    <t>C8 H19 La2 O11Ti3</t>
  </si>
  <si>
    <t>C H7 Nd2 O10 Ti3</t>
  </si>
  <si>
    <t>C2 H9 Nd2 O10 Ti3</t>
  </si>
  <si>
    <t>C3 H11 Nd2 O10 Ti3</t>
  </si>
  <si>
    <t>C4 H13 Nd2 O10 Ti3</t>
  </si>
  <si>
    <t>C6 H17 Nd2 O10 Ti3</t>
  </si>
  <si>
    <t>C8 H21 Nd2 O10 Ti3</t>
  </si>
  <si>
    <t>C H6 Nd2 O11 Ti3</t>
  </si>
  <si>
    <t>C2 H8 Nd2 O11 Ti3</t>
  </si>
  <si>
    <t>C3 H10 Nd2 O11 Ti3</t>
  </si>
  <si>
    <t>C4 H12 Nd2 O11 Ti3</t>
  </si>
  <si>
    <t>C6 H16 Nd2 O11 Ti3</t>
  </si>
  <si>
    <t>C8 H20 Nd2 O11 Ti3</t>
  </si>
  <si>
    <t>Bi2 H4 K O13 Ti4</t>
  </si>
  <si>
    <t>C Bi2 H7 K0.5 O13 Ti4</t>
  </si>
  <si>
    <t>C2 Bi2.5 H9 K0.5 O13 Ti4</t>
  </si>
  <si>
    <t>C3 Bi2.5 H11 K0.5 O13 Ti4</t>
  </si>
  <si>
    <t>C4 Bi2.5 H13 K0.5 O13 Ti4</t>
  </si>
  <si>
    <t>C6 Bi2.5 H17 K0.5 O13 Ti4</t>
  </si>
  <si>
    <t>C8 Bi2.5 H21 K0.5 O13 Ti4</t>
  </si>
  <si>
    <t>C4 H13 N Nd2 O10 Ti3</t>
  </si>
  <si>
    <t>C Ca2 H6 N Nb3 O10</t>
  </si>
  <si>
    <t>C4 Ca2 H12 N Nb3 O10</t>
  </si>
  <si>
    <t>C8 Ca2 H20 N Nb3 O10</t>
  </si>
  <si>
    <t>NaN</t>
  </si>
  <si>
    <t>Nb</t>
  </si>
  <si>
    <t>n(In)</t>
  </si>
  <si>
    <t>m(In)</t>
  </si>
  <si>
    <t>w(in)</t>
  </si>
  <si>
    <t>N(at)</t>
  </si>
  <si>
    <t>N(N)</t>
  </si>
  <si>
    <t>m(N)</t>
  </si>
  <si>
    <t>wt(N),%</t>
  </si>
  <si>
    <t xml:space="preserve">N/O,% </t>
  </si>
  <si>
    <t>n(N(</t>
  </si>
  <si>
    <t xml:space="preserve">Rh/Ti,% </t>
  </si>
  <si>
    <t>n(Rh)</t>
  </si>
  <si>
    <t>m(Rh)</t>
  </si>
  <si>
    <t>wt(Rh),%</t>
  </si>
  <si>
    <t>n(Cu)</t>
  </si>
  <si>
    <t>m(Cu0)</t>
  </si>
  <si>
    <t>w(CuO),%</t>
  </si>
  <si>
    <t>n(N)</t>
  </si>
  <si>
    <t>w(N),%</t>
  </si>
  <si>
    <t>w(Rh),%</t>
  </si>
  <si>
    <t>La</t>
  </si>
  <si>
    <t>m(N)/m(La)</t>
  </si>
  <si>
    <t>m(La)/m(ox)</t>
  </si>
  <si>
    <t>Ca</t>
  </si>
  <si>
    <t>Average Pauling electronegativity</t>
  </si>
  <si>
    <t>Average Mulliken electronegativity</t>
  </si>
  <si>
    <t>Valence electrons</t>
  </si>
  <si>
    <t>P21</t>
  </si>
  <si>
    <t>Z</t>
  </si>
  <si>
    <t>P4/m</t>
  </si>
  <si>
    <t>JCPDS No. 40-0355</t>
  </si>
  <si>
    <t>JCPDS No. 49-0608</t>
  </si>
  <si>
    <t>JCPDS No. 49-0607</t>
  </si>
  <si>
    <t>(JCPDS 18–0193/JCPDS 72–0631</t>
  </si>
  <si>
    <t>(JCPDS 14–0028</t>
  </si>
  <si>
    <t>Volume</t>
  </si>
  <si>
    <t>Valence Electrons Density</t>
  </si>
  <si>
    <t>a_MP</t>
  </si>
  <si>
    <t>b_MP</t>
  </si>
  <si>
    <t>c_MP</t>
  </si>
  <si>
    <t>Z_MP</t>
  </si>
  <si>
    <t>MagpieData minimum Electronegativity</t>
  </si>
  <si>
    <t>MagpieData maximum Electronegativity</t>
  </si>
  <si>
    <t>MagpieData range Electronegativity</t>
  </si>
  <si>
    <t>MagpieData 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</si>
  <si>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</si>
  <si>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</si>
  <si>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</si>
  <si>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</si>
  <si>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</si>
  <si>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</si>
  <si>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</si>
  <si>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</si>
  <si>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JCPDS Card: 48-0982</t>
  </si>
  <si>
    <t>lambda, m</t>
  </si>
  <si>
    <t>h</t>
  </si>
  <si>
    <t>k</t>
  </si>
  <si>
    <t>l</t>
  </si>
  <si>
    <t>2*theta, deg</t>
  </si>
  <si>
    <t>sin(theta)</t>
  </si>
  <si>
    <t>d, m</t>
  </si>
  <si>
    <t>d, A</t>
  </si>
  <si>
    <t>n</t>
  </si>
  <si>
    <t>C222</t>
  </si>
  <si>
    <t>d,A</t>
  </si>
  <si>
    <t>H2Nd2Ti3O10*DcOH</t>
  </si>
  <si>
    <t>H2La2Ti3O10*DcOH</t>
  </si>
  <si>
    <t>Fmmm</t>
  </si>
  <si>
    <t>Cmmm</t>
  </si>
  <si>
    <t>P4</t>
  </si>
  <si>
    <t>P42cm</t>
  </si>
  <si>
    <t>P4/n</t>
  </si>
  <si>
    <t>P42/nmc</t>
  </si>
  <si>
    <t>P21/m</t>
  </si>
  <si>
    <t>orthorombic</t>
  </si>
  <si>
    <t>10.1016/j.jct.2019.06.031</t>
  </si>
  <si>
    <t>sd_1050391</t>
  </si>
  <si>
    <t>sd_1050392</t>
  </si>
  <si>
    <t>Springer_ID</t>
  </si>
  <si>
    <t>sd_1050393</t>
  </si>
  <si>
    <t>sd_0551678</t>
  </si>
  <si>
    <t>sd_1502563</t>
  </si>
  <si>
    <t>sd_0306542</t>
  </si>
  <si>
    <t>sd_0306445</t>
  </si>
  <si>
    <t>sd_1835408</t>
  </si>
  <si>
    <t>sd_0376709</t>
  </si>
  <si>
    <t>mp-1104931</t>
  </si>
  <si>
    <t>2229872</t>
  </si>
  <si>
    <t>mp-1104932</t>
  </si>
  <si>
    <t>2229873</t>
  </si>
  <si>
    <t>mp-1104933</t>
  </si>
  <si>
    <t>2229874</t>
  </si>
  <si>
    <t>mp-1104934</t>
  </si>
  <si>
    <t>2229875</t>
  </si>
  <si>
    <t>sd_1200159</t>
  </si>
  <si>
    <t>sd_1922152</t>
  </si>
  <si>
    <t>sd_1241784</t>
  </si>
  <si>
    <t>sd_1432286</t>
  </si>
  <si>
    <t>sd_1241782</t>
  </si>
  <si>
    <t>sd_1045310</t>
  </si>
  <si>
    <t>sd_0548135</t>
  </si>
  <si>
    <t>sd_0548134</t>
  </si>
  <si>
    <t>sd_1041014</t>
  </si>
  <si>
    <t>hexagonal</t>
  </si>
  <si>
    <t>sd_1251331</t>
  </si>
  <si>
    <t>sd_0304039</t>
  </si>
  <si>
    <t>sd_1000988</t>
  </si>
  <si>
    <t>Pmna</t>
  </si>
  <si>
    <t>https://etda.libraries.psu.edu/files/final_submissions/1718</t>
  </si>
  <si>
    <t>KCa2Nb2TaO10</t>
  </si>
  <si>
    <t>KCa2NbTa2O10</t>
  </si>
  <si>
    <t>sd_1614775</t>
  </si>
  <si>
    <t>sd_1955780</t>
  </si>
  <si>
    <t>sd_1955782</t>
  </si>
  <si>
    <t>sd_1538044</t>
  </si>
  <si>
    <t>sd_1150217</t>
  </si>
  <si>
    <t>sd_1802718</t>
  </si>
  <si>
    <t>K2LaTa5O15</t>
  </si>
  <si>
    <t>K2 La O15 Ta5</t>
  </si>
  <si>
    <t>sd_1820105</t>
  </si>
  <si>
    <t>mp-1204933</t>
  </si>
  <si>
    <t>10.1021/ja00113a026</t>
  </si>
  <si>
    <t>HLa0.7Tb0.3Ta2O7</t>
  </si>
  <si>
    <t>Z_COD</t>
  </si>
  <si>
    <t>a_COD</t>
  </si>
  <si>
    <t>b_COD</t>
  </si>
  <si>
    <t>c_COD</t>
  </si>
  <si>
    <t>Volume_COD</t>
  </si>
  <si>
    <t>Volume_MP</t>
  </si>
  <si>
    <t>Valence Electrons Density_MP</t>
  </si>
  <si>
    <t>Valence Electrons Density_COD</t>
  </si>
  <si>
    <t>a_Springer</t>
  </si>
  <si>
    <t>b_Springer</t>
  </si>
  <si>
    <t>c_Springer</t>
  </si>
  <si>
    <t>Volume_Springer</t>
  </si>
  <si>
    <t>Z_Springer</t>
  </si>
  <si>
    <t>Springer_Valence Electrons Density</t>
  </si>
  <si>
    <t>MP_packing_fraction</t>
  </si>
  <si>
    <t>COD_packing_fraction</t>
  </si>
  <si>
    <t>Springer_packing_fraction</t>
  </si>
  <si>
    <t>Oxygen_concentration_MP</t>
  </si>
  <si>
    <t>Oxygen_concentration_COD</t>
  </si>
  <si>
    <t>Oxygen_concentration_Springer</t>
  </si>
  <si>
    <t>Oxygen_concentration</t>
  </si>
  <si>
    <t>sd_1810747</t>
  </si>
  <si>
    <t>Sr3FeTaO7</t>
  </si>
  <si>
    <t>Sr4FeTaO8</t>
  </si>
  <si>
    <t>Fe O7 Sr3 Ta</t>
  </si>
  <si>
    <t>Fe O8 Sr4 Ta</t>
  </si>
  <si>
    <t>sd_1430726</t>
  </si>
  <si>
    <t>sd_1237170</t>
  </si>
  <si>
    <t>Cmc21</t>
  </si>
  <si>
    <t>HCa2Ta1.5Nb1.5O10</t>
  </si>
  <si>
    <t>HCa2Ta2NbO10</t>
  </si>
  <si>
    <t>Ca2 H1 Nb3 O10</t>
  </si>
  <si>
    <t>Ca2 H1 Nb2 O10 Ta1</t>
  </si>
  <si>
    <t>Ca2 H1 Nb1.5 O10 Ta1.5</t>
  </si>
  <si>
    <t>Ca2 H1 Nb1 O10 Ta2</t>
  </si>
  <si>
    <t>Ca2 H1 O10 Ta3</t>
  </si>
  <si>
    <t>Sr2Nb0.1Ta1.9O7</t>
  </si>
  <si>
    <t>Sr2Nb0.2Ta1.8O7</t>
  </si>
  <si>
    <t>Sr2Nb0.3Ta0.17O7</t>
  </si>
  <si>
    <t>Sr2Nb0.5Ta1.5O7</t>
  </si>
  <si>
    <t>Sr2Nb0.7Ta1.3O7</t>
  </si>
  <si>
    <t>Sr2NbTaO7</t>
  </si>
  <si>
    <t>Sr2Nb1.6Ta0.4O7</t>
  </si>
  <si>
    <t>Nb0.1 O7 Sr2 Ta1.9</t>
  </si>
  <si>
    <t>Nb0.2 O7 Sr2 Ta1.8</t>
  </si>
  <si>
    <t>Nb0.3 O7 Sr2 Ta1.7</t>
  </si>
  <si>
    <t>Nb0.5 O7 Sr2 Ta1.5</t>
  </si>
  <si>
    <t>Nb0.7 O7 Sr2 Ta1.3</t>
  </si>
  <si>
    <t>Nb1 O7 Sr2 Ta1</t>
  </si>
  <si>
    <t>Nb1.6 O7 Sr2 Ta0.4</t>
  </si>
  <si>
    <t>c</t>
  </si>
  <si>
    <t>sd_1241787</t>
  </si>
  <si>
    <t>sd_1530646</t>
  </si>
  <si>
    <t>sd_1958942</t>
  </si>
  <si>
    <t>Ca2 K Nb2 O10 Ta</t>
  </si>
  <si>
    <t>Ca2 K Nb O10 Ta2</t>
  </si>
  <si>
    <t>Valence Electrons Density avg</t>
  </si>
  <si>
    <t>Oxygen_concentration avg</t>
  </si>
  <si>
    <t>Packing fraction avg</t>
  </si>
  <si>
    <t>Promoter</t>
  </si>
  <si>
    <t>Prep Method</t>
  </si>
  <si>
    <t>CalcT(K)</t>
  </si>
  <si>
    <t>Calc time (h)</t>
  </si>
  <si>
    <t>Promotion method</t>
  </si>
  <si>
    <t>Prom, w%</t>
  </si>
  <si>
    <t>Surface area, m2/g</t>
  </si>
  <si>
    <t>CatW, g/L</t>
  </si>
  <si>
    <t>Alcohol, %</t>
  </si>
  <si>
    <t>Sac Agent 1</t>
  </si>
  <si>
    <t>Sac agent 2</t>
  </si>
  <si>
    <t>Light type</t>
  </si>
  <si>
    <t>Power, W</t>
  </si>
  <si>
    <t>Wave length, nm</t>
  </si>
  <si>
    <t>SSR</t>
  </si>
  <si>
    <t>Rate, umol/(g*h)</t>
  </si>
  <si>
    <t>Hg lamp</t>
  </si>
  <si>
    <t>Promoter, w%</t>
  </si>
  <si>
    <t>PD</t>
  </si>
  <si>
    <t>HCa2NaNb4O13</t>
  </si>
  <si>
    <t>10.1039/C39860000356</t>
  </si>
  <si>
    <t>Xe lamp</t>
  </si>
  <si>
    <t>K2Nb6O16</t>
  </si>
  <si>
    <t>KNbO3</t>
  </si>
  <si>
    <t>sd_0308503</t>
  </si>
  <si>
    <t>impregnation</t>
  </si>
  <si>
    <t>10.1016/0021-9517(88)90066-8</t>
  </si>
  <si>
    <t>C(MeOH), M</t>
  </si>
  <si>
    <t>n(MeOH), mol</t>
  </si>
  <si>
    <t>n(H2O), mol</t>
  </si>
  <si>
    <t>V(H2O), l</t>
  </si>
  <si>
    <t>m(CH3OH),g</t>
  </si>
  <si>
    <t>V(CH3OH), l</t>
  </si>
  <si>
    <t>d(CH3OH), g/ml</t>
  </si>
  <si>
    <t>phi(CH3OH),%</t>
  </si>
  <si>
    <t>Wave length min, nm</t>
  </si>
  <si>
    <t>Cell material</t>
  </si>
  <si>
    <t>quartz</t>
  </si>
  <si>
    <t>Ta2O5</t>
  </si>
  <si>
    <t>Nb2O5</t>
  </si>
  <si>
    <t>purchased</t>
  </si>
  <si>
    <t>sd_1232960</t>
  </si>
  <si>
    <t>sd_0314261</t>
  </si>
  <si>
    <t>PTP</t>
  </si>
  <si>
    <t>10.1016/0920-5861(95)00224-3</t>
  </si>
  <si>
    <t>Temperature, K</t>
  </si>
  <si>
    <t>Rb4Nb4Ta2O17</t>
  </si>
  <si>
    <t>Rb4Nb3Ta3O17</t>
  </si>
  <si>
    <t>Rb4Nb2Ta4O17</t>
  </si>
  <si>
    <t>K4Nb4Ta2O17</t>
  </si>
  <si>
    <t>K4Nb3Ta3O17</t>
  </si>
  <si>
    <t>K4Nb2Ta4O17</t>
  </si>
  <si>
    <t>K4Ta6O17</t>
  </si>
  <si>
    <t>KNb3O8</t>
  </si>
  <si>
    <t>sd_1127671</t>
  </si>
  <si>
    <t>PC</t>
  </si>
  <si>
    <t>Xe  lamp</t>
  </si>
  <si>
    <t>Nitrogen</t>
  </si>
  <si>
    <t>True</t>
  </si>
  <si>
    <t xml:space="preserve">0.05M Na2SO4 </t>
  </si>
  <si>
    <t>HCa2Ta3O10*C6H13NH2</t>
  </si>
  <si>
    <t>pyrex</t>
  </si>
  <si>
    <t>0.25M n-buthylamine</t>
  </si>
  <si>
    <t>mp-7148</t>
  </si>
  <si>
    <t>RuO2</t>
  </si>
  <si>
    <t xml:space="preserve">W lamp </t>
  </si>
  <si>
    <t>10.1016/j.ijhydene.2014.03.096</t>
  </si>
  <si>
    <t>sd_1003951</t>
  </si>
  <si>
    <t>NaCa2Ta3O10</t>
  </si>
  <si>
    <t>LiCa2Ta3O10*0.09H2O</t>
  </si>
  <si>
    <t>LiCa2Ta3O10*0.26H2O</t>
  </si>
  <si>
    <t>LiCa2Ta3O10*0.44H2O</t>
  </si>
  <si>
    <t>LiCa2Ta3O10*0.45H2O</t>
  </si>
  <si>
    <t>LiCa2Ta3O10*0.16H2O</t>
  </si>
  <si>
    <t>LiCa2Ta3O10*0.37H2O</t>
  </si>
  <si>
    <t>LiCa2Ta3O10*0.55H2O</t>
  </si>
  <si>
    <t>LiCa2Ta3O10*0.62H2O</t>
  </si>
  <si>
    <t>LiCa2Ta3O10*0.27H2O</t>
  </si>
  <si>
    <t>LiCa2Ta3O10*0.43H2O</t>
  </si>
  <si>
    <t>LiCa2Ta3O10*0.64H2O</t>
  </si>
  <si>
    <t>C(PrOH), M</t>
  </si>
  <si>
    <t>n(PrOH), mol</t>
  </si>
  <si>
    <t>m(PrOH),g</t>
  </si>
  <si>
    <t>d(PrOH), g/ml</t>
  </si>
  <si>
    <t>V(PrOH), l</t>
  </si>
  <si>
    <t>0.01 NaI</t>
  </si>
  <si>
    <t>fused-silica</t>
  </si>
  <si>
    <t>SG</t>
  </si>
  <si>
    <t>K2La2Ti2.985Zn0.015O9.985</t>
  </si>
  <si>
    <t>K2La2Ti2.97Zn0.03O9.97</t>
  </si>
  <si>
    <t>K2La2Ti2.955Zn0.045O9.955</t>
  </si>
  <si>
    <t>K2La2Ti2.94Zn0.06O9.94</t>
  </si>
  <si>
    <t>K2La2Ti2.925Zn0.075O9.925</t>
  </si>
  <si>
    <t>Cu2La2Ti3O10</t>
  </si>
  <si>
    <t>Cu2.76K1.24Nb6O17</t>
  </si>
  <si>
    <t>Cu0.65K0.35LaNb2O7</t>
  </si>
  <si>
    <t>Cu0.9Rb0.1Ca2Ta3O10</t>
  </si>
  <si>
    <t>Cu0.02Li0.98TaO3</t>
  </si>
  <si>
    <t>Cu0.09Na0.91TaO3</t>
  </si>
  <si>
    <t>0.5M K2SO3</t>
  </si>
  <si>
    <t>0.1M Na2S</t>
  </si>
  <si>
    <t>RuO3</t>
  </si>
  <si>
    <t>RuO5</t>
  </si>
  <si>
    <t>RuO6</t>
  </si>
  <si>
    <t>RuO8</t>
  </si>
  <si>
    <t>RuO9</t>
  </si>
  <si>
    <t>RuO10</t>
  </si>
  <si>
    <t>HLaNb2O7*0.0125LaInO3</t>
  </si>
  <si>
    <t>HLaNb2O7*0.025LaInO3</t>
  </si>
  <si>
    <t>HLaNb2O7*0.0325LaInO3</t>
  </si>
  <si>
    <t>HLaNb2O7*0.05LaInO3</t>
  </si>
  <si>
    <t>HLaNb2O7*0.075LaInO3</t>
  </si>
  <si>
    <t>H0.9LaNb1.9Mo0.1O7</t>
  </si>
  <si>
    <t>Bi4Ti2.94Cr0.06O12</t>
  </si>
  <si>
    <t>Bi4Ti2.85Cr0.15O12</t>
  </si>
  <si>
    <t>Bi4Ti2.7Cr0.3O12</t>
  </si>
  <si>
    <t>Bi4Ti2.6Cr0.4O12</t>
  </si>
  <si>
    <t>Bi4Ti2.5Cr0.5O12</t>
  </si>
  <si>
    <t>CsCa2Ta3O10N0.43</t>
  </si>
  <si>
    <t>CsCa2Ta3O10N0.9</t>
  </si>
  <si>
    <t>CsCa2Ta3O10N1.8</t>
  </si>
  <si>
    <t>H1.98Pb2Nb2.99Cr0.01O10</t>
  </si>
  <si>
    <t>H1.9Pb2Nb2.95Cr0.05O10</t>
  </si>
  <si>
    <t>H1.8Pb2Nb2.9Cr0.1O10</t>
  </si>
  <si>
    <t>H1.6Pb2Nb2.8Cr0.2O10</t>
  </si>
  <si>
    <t>H1.2Pb2Nb2.6Cr0.4O10</t>
  </si>
  <si>
    <t>Ba5Ta4O14.47N0.35</t>
  </si>
  <si>
    <t>visible</t>
  </si>
  <si>
    <t>0.01M AgNO3</t>
  </si>
  <si>
    <t>Ba5Ta4O15Nx</t>
  </si>
  <si>
    <t>Sr2Ta2O7Nx</t>
  </si>
  <si>
    <t>Sr5Ta4O15Nx</t>
  </si>
  <si>
    <t>Ir</t>
  </si>
  <si>
    <t>SrTiO3</t>
  </si>
  <si>
    <t>LaTiO3</t>
  </si>
  <si>
    <t>sd_0305964</t>
  </si>
  <si>
    <t>sd_0305963</t>
  </si>
  <si>
    <t>sd_0305037</t>
  </si>
  <si>
    <t>sd_0306202</t>
  </si>
  <si>
    <t>La1.98Cr0.02Ti2O7</t>
  </si>
  <si>
    <t>La1.9Cr0.1Ti2O7</t>
  </si>
  <si>
    <t>La1.98Fe0.02Ti2O7</t>
  </si>
  <si>
    <t>La1.9Fe0.1Ti2O7</t>
  </si>
  <si>
    <t>CmC21</t>
  </si>
  <si>
    <t>Sr2Nb2O5.5N1.5</t>
  </si>
  <si>
    <t>Sr2Nb2O5.4N1.6</t>
  </si>
  <si>
    <t>Sr2Nb2O5N2</t>
  </si>
  <si>
    <t>Sr2Nb2O4.6N2.4</t>
  </si>
  <si>
    <t>Sr2Nb2O4.43N2.57</t>
  </si>
  <si>
    <t>Sr2Nb2O4.2N2.8</t>
  </si>
  <si>
    <t>MSS</t>
  </si>
  <si>
    <t>La2Ti1.98Rh0.02O7</t>
  </si>
  <si>
    <t>La2Ti1.996Rh0.004O7</t>
  </si>
  <si>
    <t>La2Ti1.96Rh0.04O7</t>
  </si>
  <si>
    <t>PbSHLa2Ti3O10</t>
  </si>
  <si>
    <t>0.1 M Na2S</t>
  </si>
  <si>
    <t>0.5 M Na2SO3</t>
  </si>
  <si>
    <t>HLaNb2O7*0.42TiO2</t>
  </si>
  <si>
    <t>HLaNb2O7*0.38TiO2</t>
  </si>
  <si>
    <t>0.2 M Na2S</t>
  </si>
  <si>
    <t>0.2 M Na2SO3</t>
  </si>
  <si>
    <t>HCa2TaNb2O10*ZnS</t>
  </si>
  <si>
    <t>HCa2Nb3O10*ZnS</t>
  </si>
  <si>
    <t>1 M NEt3</t>
  </si>
  <si>
    <t>HT</t>
  </si>
  <si>
    <t>0.35 M Na2S</t>
  </si>
  <si>
    <t>0.25 M Na2SO3</t>
  </si>
  <si>
    <t>Zn0.2Cd0.8S</t>
  </si>
  <si>
    <t>Zn0.4Cd0.6S</t>
  </si>
  <si>
    <t>Zn0.6Cd0.4S</t>
  </si>
  <si>
    <t>Zn0.7Cd0.3S</t>
  </si>
  <si>
    <t>Zn0.8Cd0.2S</t>
  </si>
  <si>
    <t>Ru</t>
  </si>
  <si>
    <t>HCa2Ta3O9.7N0.2</t>
  </si>
  <si>
    <t>Speific area calculator</t>
  </si>
  <si>
    <t>a, nm</t>
  </si>
  <si>
    <t>b, nm</t>
  </si>
  <si>
    <t>c, nm</t>
  </si>
  <si>
    <t>d, kg/m3</t>
  </si>
  <si>
    <t>m, g</t>
  </si>
  <si>
    <t>V,m3</t>
  </si>
  <si>
    <t>m, kg</t>
  </si>
  <si>
    <t>S, m2</t>
  </si>
  <si>
    <t>S_spec, m2/g</t>
  </si>
  <si>
    <t>HSr1.5Ba0.5Ta3O10</t>
  </si>
  <si>
    <t>co-pre</t>
  </si>
  <si>
    <t>KCa2Nb2.97Rh0.03O10</t>
  </si>
  <si>
    <t>HCa2Nb2.97Rh0.03O10</t>
  </si>
  <si>
    <t>HCa2Nb2.999Rh0.001O10</t>
  </si>
  <si>
    <t>HCa2Nb2.99Rh0.01O10</t>
  </si>
  <si>
    <t>HCa2Nb2.9Rh0.1O10</t>
  </si>
  <si>
    <t>HCa2Nb2.85Rh0.15O10</t>
  </si>
  <si>
    <t>LED</t>
  </si>
  <si>
    <t>KCa2Nb3O9N0.33</t>
  </si>
  <si>
    <t>KCa2Nb3O9N0.67</t>
  </si>
  <si>
    <t>RbLaTa2O6.77N0.15</t>
  </si>
  <si>
    <t>0.05 M Na2SO3</t>
  </si>
  <si>
    <t>HCa2Nb3O10*CdS</t>
  </si>
  <si>
    <t>Bandgap calculator</t>
  </si>
  <si>
    <t>lambda, nm</t>
  </si>
  <si>
    <t>E,eV</t>
  </si>
  <si>
    <t>K2La2Ti3O10*0.1CdS</t>
  </si>
  <si>
    <t>K2La2Ti3O10*0.2CdS</t>
  </si>
  <si>
    <t>K2La2Ti3O10*0.4CdS</t>
  </si>
  <si>
    <t>K2La2Ti3O10*0.6CdS</t>
  </si>
  <si>
    <t>K2La2Ti3O10*0.8CdS</t>
  </si>
  <si>
    <t>K2La2Ti3O10*0.12CdS</t>
  </si>
  <si>
    <t>0.05 M Na2S</t>
  </si>
  <si>
    <t>0.15 M Na2S</t>
  </si>
  <si>
    <t>0.25 M Na2S</t>
  </si>
  <si>
    <t>HLaTiO4*DcOH</t>
  </si>
  <si>
    <t>perchased</t>
  </si>
  <si>
    <t>own data</t>
  </si>
  <si>
    <t>10.3390/molecules30204136</t>
  </si>
  <si>
    <t>10.3390/solids6020016</t>
  </si>
  <si>
    <t>10.1134/S0036024423060079</t>
  </si>
  <si>
    <t>H2La2Ti3O10*OcNH3</t>
  </si>
  <si>
    <t>H2La2Ti3O10*OcNH4</t>
  </si>
  <si>
    <t>H2La2Ti3O10*OcNH5</t>
  </si>
  <si>
    <t>H2La2Ti3O10*OcNH6</t>
  </si>
  <si>
    <t>H2La2Ti3O10*OcNH7</t>
  </si>
  <si>
    <t>H2La2Ti3O10*OcNH8</t>
  </si>
  <si>
    <t>H2La2Ti3O10*OcNH9</t>
  </si>
  <si>
    <t>H2La2Ti3O10*OcNH10</t>
  </si>
  <si>
    <t>H2La2Ti3O10*OcNH11</t>
  </si>
  <si>
    <t>H2La2Ti3O10*OcNH12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</si>
</sst>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222222"/>
      <name val="Segoe U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6" fillId="0" borderId="0" applyNumberFormat="0" applyFill="0" applyBorder="0" applyAlignment="0" applyProtection="0"/>
    <xf numFmtId="0" fontId="15" fillId="0" borderId="0"/>
    <xf numFmtId="0" fontId="14" fillId="0" borderId="0"/>
    <xf numFmtId="0" fontId="10" fillId="0" borderId="0"/>
  </cellStyleXfs>
  <cellXfs count="99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6" fillId="0" borderId="0" xfId="1"/>
    <xf numFmtId="0" fontId="0" fillId="4" borderId="0" xfId="0" applyFill="1"/>
    <xf numFmtId="0" fontId="0" fillId="5" borderId="0" xfId="0" applyFill="1"/>
    <xf numFmtId="0" fontId="16" fillId="0" borderId="0" xfId="1" applyFill="1"/>
    <xf numFmtId="0" fontId="17" fillId="0" borderId="0" xfId="0" applyFont="1" applyFill="1"/>
    <xf numFmtId="0" fontId="15" fillId="0" borderId="0" xfId="2"/>
    <xf numFmtId="0" fontId="18" fillId="0" borderId="1" xfId="2" applyFont="1" applyBorder="1" applyAlignment="1">
      <alignment horizontal="center" vertical="top"/>
    </xf>
    <xf numFmtId="0" fontId="18" fillId="0" borderId="1" xfId="0" applyFont="1" applyBorder="1" applyAlignment="1">
      <alignment horizontal="center" vertical="top"/>
    </xf>
    <xf numFmtId="0" fontId="14" fillId="0" borderId="0" xfId="2" applyFont="1"/>
    <xf numFmtId="0" fontId="14" fillId="0" borderId="0" xfId="3"/>
    <xf numFmtId="0" fontId="18" fillId="0" borderId="1" xfId="3" applyFont="1" applyBorder="1" applyAlignment="1">
      <alignment horizontal="center" vertical="top"/>
    </xf>
    <xf numFmtId="0" fontId="14" fillId="2" borderId="0" xfId="3" applyFill="1"/>
    <xf numFmtId="0" fontId="18" fillId="0" borderId="0" xfId="3" applyFont="1" applyBorder="1" applyAlignment="1">
      <alignment horizontal="center" vertical="top"/>
    </xf>
    <xf numFmtId="0" fontId="13" fillId="0" borderId="0" xfId="3" applyFont="1"/>
    <xf numFmtId="0" fontId="12" fillId="0" borderId="0" xfId="3" applyFont="1"/>
    <xf numFmtId="0" fontId="18" fillId="0" borderId="2" xfId="0" applyFont="1" applyFill="1" applyBorder="1" applyAlignment="1">
      <alignment horizontal="center" vertical="top"/>
    </xf>
    <xf numFmtId="0" fontId="11" fillId="0" borderId="0" xfId="3" applyFont="1"/>
    <xf numFmtId="0" fontId="10" fillId="0" borderId="0" xfId="4"/>
    <xf numFmtId="0" fontId="18" fillId="0" borderId="1" xfId="4" applyFont="1" applyBorder="1" applyAlignment="1">
      <alignment horizontal="center" vertical="top"/>
    </xf>
    <xf numFmtId="0" fontId="10" fillId="0" borderId="0" xfId="4"/>
    <xf numFmtId="0" fontId="18" fillId="0" borderId="1" xfId="4" applyFont="1" applyBorder="1" applyAlignment="1">
      <alignment horizontal="center" vertical="top"/>
    </xf>
    <xf numFmtId="0" fontId="10" fillId="0" borderId="0" xfId="4"/>
    <xf numFmtId="0" fontId="18" fillId="0" borderId="1" xfId="4" applyFont="1" applyBorder="1" applyAlignment="1">
      <alignment horizontal="center" vertical="top"/>
    </xf>
    <xf numFmtId="0" fontId="18" fillId="6" borderId="1" xfId="0" applyFont="1" applyFill="1" applyBorder="1" applyAlignment="1">
      <alignment horizontal="center" vertical="top"/>
    </xf>
    <xf numFmtId="0" fontId="0" fillId="6" borderId="0" xfId="0" applyFill="1"/>
    <xf numFmtId="0" fontId="10" fillId="0" borderId="0" xfId="4" applyFill="1"/>
    <xf numFmtId="0" fontId="0" fillId="0" borderId="0" xfId="0" applyFill="1" applyBorder="1"/>
    <xf numFmtId="0" fontId="18" fillId="0" borderId="0" xfId="0" applyFont="1" applyBorder="1" applyAlignment="1">
      <alignment horizontal="center" vertical="top"/>
    </xf>
    <xf numFmtId="0" fontId="15" fillId="2" borderId="0" xfId="2" applyFill="1"/>
    <xf numFmtId="0" fontId="13" fillId="0" borderId="0" xfId="3" applyFont="1" applyFill="1"/>
    <xf numFmtId="0" fontId="14" fillId="0" borderId="0" xfId="3" applyFill="1"/>
    <xf numFmtId="0" fontId="15" fillId="0" borderId="0" xfId="2" applyFill="1"/>
    <xf numFmtId="0" fontId="10" fillId="2" borderId="0" xfId="4" applyFill="1"/>
    <xf numFmtId="0" fontId="9" fillId="0" borderId="0" xfId="3" applyFont="1"/>
    <xf numFmtId="0" fontId="9" fillId="4" borderId="0" xfId="3" applyFont="1" applyFill="1"/>
    <xf numFmtId="0" fontId="14" fillId="4" borderId="0" xfId="3" applyFill="1"/>
    <xf numFmtId="0" fontId="15" fillId="4" borderId="0" xfId="2" applyFill="1"/>
    <xf numFmtId="0" fontId="10" fillId="4" borderId="0" xfId="4" applyFill="1"/>
    <xf numFmtId="0" fontId="0" fillId="7" borderId="0" xfId="0" applyFill="1"/>
    <xf numFmtId="0" fontId="12" fillId="4" borderId="0" xfId="3" applyFont="1" applyFill="1"/>
    <xf numFmtId="0" fontId="0" fillId="8" borderId="0" xfId="0" applyFill="1"/>
    <xf numFmtId="0" fontId="9" fillId="0" borderId="0" xfId="4" applyFont="1"/>
    <xf numFmtId="0" fontId="13" fillId="4" borderId="0" xfId="3" applyFont="1" applyFill="1"/>
    <xf numFmtId="0" fontId="8" fillId="0" borderId="0" xfId="3" applyFont="1" applyFill="1"/>
    <xf numFmtId="0" fontId="12" fillId="0" borderId="0" xfId="3" applyFont="1" applyFill="1"/>
    <xf numFmtId="0" fontId="7" fillId="4" borderId="0" xfId="2" applyFont="1" applyFill="1"/>
    <xf numFmtId="0" fontId="18" fillId="9" borderId="1" xfId="4" applyFont="1" applyFill="1" applyBorder="1" applyAlignment="1">
      <alignment horizontal="center" vertical="top"/>
    </xf>
    <xf numFmtId="0" fontId="10" fillId="9" borderId="0" xfId="4" applyFill="1"/>
    <xf numFmtId="0" fontId="0" fillId="9" borderId="0" xfId="0" applyFill="1"/>
    <xf numFmtId="0" fontId="18" fillId="9" borderId="1" xfId="0" applyFont="1" applyFill="1" applyBorder="1" applyAlignment="1">
      <alignment horizontal="center" vertical="top"/>
    </xf>
    <xf numFmtId="0" fontId="18" fillId="10" borderId="1" xfId="0" applyFont="1" applyFill="1" applyBorder="1" applyAlignment="1">
      <alignment horizontal="center" vertical="top"/>
    </xf>
    <xf numFmtId="0" fontId="0" fillId="10" borderId="0" xfId="0" applyFill="1"/>
    <xf numFmtId="0" fontId="18" fillId="10" borderId="1" xfId="4" applyFont="1" applyFill="1" applyBorder="1" applyAlignment="1">
      <alignment horizontal="center" vertical="top"/>
    </xf>
    <xf numFmtId="0" fontId="10" fillId="10" borderId="0" xfId="4" applyFill="1"/>
    <xf numFmtId="0" fontId="6" fillId="0" borderId="0" xfId="2" applyFont="1"/>
    <xf numFmtId="0" fontId="18" fillId="11" borderId="1" xfId="0" applyFont="1" applyFill="1" applyBorder="1" applyAlignment="1">
      <alignment horizontal="center" vertical="top"/>
    </xf>
    <xf numFmtId="0" fontId="18" fillId="12" borderId="1" xfId="2" applyFont="1" applyFill="1" applyBorder="1" applyAlignment="1">
      <alignment horizontal="center" vertical="top"/>
    </xf>
    <xf numFmtId="0" fontId="18" fillId="12" borderId="1" xfId="0" applyFont="1" applyFill="1" applyBorder="1" applyAlignment="1">
      <alignment horizontal="center" vertical="top"/>
    </xf>
    <xf numFmtId="0" fontId="18" fillId="12" borderId="0" xfId="0" applyFont="1" applyFill="1" applyBorder="1" applyAlignment="1">
      <alignment horizontal="center" vertical="top"/>
    </xf>
    <xf numFmtId="0" fontId="18" fillId="11" borderId="2" xfId="0" applyFont="1" applyFill="1" applyBorder="1" applyAlignment="1">
      <alignment horizontal="center" vertical="top"/>
    </xf>
    <xf numFmtId="0" fontId="18" fillId="11" borderId="1" xfId="4" applyFont="1" applyFill="1" applyBorder="1" applyAlignment="1">
      <alignment horizontal="center" vertical="top"/>
    </xf>
    <xf numFmtId="0" fontId="19" fillId="0" borderId="0" xfId="1" applyFont="1" applyFill="1"/>
    <xf numFmtId="0" fontId="20" fillId="9" borderId="1" xfId="4" applyFont="1" applyFill="1" applyBorder="1" applyAlignment="1">
      <alignment horizontal="center" vertical="top"/>
    </xf>
    <xf numFmtId="0" fontId="0" fillId="13" borderId="0" xfId="0" applyFill="1"/>
    <xf numFmtId="0" fontId="4" fillId="0" borderId="0" xfId="3" applyFont="1"/>
    <xf numFmtId="0" fontId="0" fillId="14" borderId="0" xfId="0" applyFill="1"/>
    <xf numFmtId="0" fontId="4" fillId="0" borderId="0" xfId="2" applyFont="1"/>
    <xf numFmtId="0" fontId="0" fillId="15" borderId="0" xfId="0" applyFill="1"/>
    <xf numFmtId="0" fontId="5" fillId="0" borderId="0" xfId="3" applyFont="1" applyFill="1"/>
    <xf numFmtId="0" fontId="3" fillId="0" borderId="0" xfId="3" applyFont="1"/>
    <xf numFmtId="0" fontId="18" fillId="16" borderId="1" xfId="0" applyFont="1" applyFill="1" applyBorder="1" applyAlignment="1">
      <alignment horizontal="center" vertical="top"/>
    </xf>
    <xf numFmtId="0" fontId="0" fillId="16" borderId="0" xfId="0" applyFill="1"/>
    <xf numFmtId="0" fontId="18" fillId="0" borderId="3" xfId="0" applyFont="1" applyFill="1" applyBorder="1" applyAlignment="1">
      <alignment horizontal="center" vertical="top"/>
    </xf>
    <xf numFmtId="0" fontId="18" fillId="0" borderId="4" xfId="0" applyFont="1" applyBorder="1" applyAlignment="1">
      <alignment horizontal="center" vertical="top"/>
    </xf>
    <xf numFmtId="0" fontId="18" fillId="17" borderId="1" xfId="0" applyFont="1" applyFill="1" applyBorder="1" applyAlignment="1">
      <alignment horizontal="center" vertical="top"/>
    </xf>
    <xf numFmtId="0" fontId="0" fillId="17" borderId="1" xfId="0" applyFill="1" applyBorder="1"/>
    <xf numFmtId="0" fontId="18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2" fillId="0" borderId="0" xfId="2" applyFont="1"/>
    <xf numFmtId="0" fontId="2" fillId="2" borderId="0" xfId="2" applyFont="1" applyFill="1"/>
    <xf numFmtId="0" fontId="0" fillId="4" borderId="1" xfId="0" applyFill="1" applyBorder="1"/>
    <xf numFmtId="0" fontId="2" fillId="0" borderId="0" xfId="3" applyFont="1"/>
    <xf numFmtId="0" fontId="0" fillId="0" borderId="1" xfId="0" applyFill="1" applyBorder="1"/>
    <xf numFmtId="0" fontId="0" fillId="14" borderId="1" xfId="0" applyFill="1" applyBorder="1"/>
    <xf numFmtId="0" fontId="15" fillId="14" borderId="0" xfId="2" applyFill="1"/>
    <xf numFmtId="0" fontId="6" fillId="4" borderId="0" xfId="2" applyFont="1" applyFill="1"/>
    <xf numFmtId="0" fontId="9" fillId="0" borderId="0" xfId="3" applyFont="1" applyFill="1"/>
    <xf numFmtId="0" fontId="0" fillId="18" borderId="0" xfId="0" applyFill="1"/>
    <xf numFmtId="0" fontId="13" fillId="2" borderId="0" xfId="3" applyFont="1" applyFill="1"/>
    <xf numFmtId="0" fontId="1" fillId="0" borderId="0" xfId="2" applyFont="1"/>
    <xf numFmtId="0" fontId="0" fillId="19" borderId="0" xfId="0" applyFill="1"/>
    <xf numFmtId="0" fontId="0" fillId="8" borderId="1" xfId="0" applyFill="1" applyBorder="1"/>
    <xf numFmtId="0" fontId="0" fillId="20" borderId="0" xfId="0" applyFill="1"/>
    <xf numFmtId="0" fontId="0" fillId="11" borderId="0" xfId="0" applyFill="1"/>
    <xf numFmtId="0" fontId="0" fillId="21" borderId="0" xfId="0" applyFill="1"/>
  </cellXfs>
  <cellStyles count="5">
    <cellStyle name="Гиперссылка" xfId="1" builtinId="8"/>
    <cellStyle name="Обычный" xfId="0" builtinId="0"/>
    <cellStyle name="Обычный 2" xfId="2"/>
    <cellStyle name="Обычный 3" xfId="3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/>
              <a:t>Кол-во образцов</a:t>
            </a:r>
          </a:p>
        </c:rich>
      </c:tx>
      <c:layout>
        <c:manualLayout>
          <c:xMode val="edge"/>
          <c:yMode val="edge"/>
          <c:x val="0.53889724310776943"/>
          <c:y val="3.436426116838488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1390563021727547"/>
          <c:y val="0.18391433888633338"/>
          <c:w val="0.47055315453989305"/>
          <c:h val="0.71687937633225396"/>
        </c:manualLayout>
      </c:layout>
      <c:pieChart>
        <c:varyColors val="1"/>
        <c:ser>
          <c:idx val="0"/>
          <c:order val="0"/>
          <c:tx>
            <c:strRef>
              <c:f>Dopants!$C$1</c:f>
              <c:strCache>
                <c:ptCount val="1"/>
                <c:pt idx="0">
                  <c:v>Кол-во образцов</c:v>
                </c:pt>
              </c:strCache>
            </c:strRef>
          </c:tx>
          <c:dLbls>
            <c:txPr>
              <a:bodyPr/>
              <a:lstStyle/>
              <a:p>
                <a:pPr>
                  <a:defRPr sz="14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Dopants!$B$2:$B$9</c:f>
              <c:strCache>
                <c:ptCount val="8"/>
                <c:pt idx="0">
                  <c:v>CdS</c:v>
                </c:pt>
                <c:pt idx="1">
                  <c:v>ZnS</c:v>
                </c:pt>
                <c:pt idx="2">
                  <c:v>Co</c:v>
                </c:pt>
                <c:pt idx="3">
                  <c:v>CuO</c:v>
                </c:pt>
                <c:pt idx="4">
                  <c:v>In</c:v>
                </c:pt>
                <c:pt idx="5">
                  <c:v>N</c:v>
                </c:pt>
                <c:pt idx="6">
                  <c:v>Pt</c:v>
                </c:pt>
                <c:pt idx="7">
                  <c:v>Rh</c:v>
                </c:pt>
              </c:strCache>
            </c:strRef>
          </c:cat>
          <c:val>
            <c:numRef>
              <c:f>Dopants!$C$2:$C$9</c:f>
              <c:numCache>
                <c:formatCode>Основной</c:formatCode>
                <c:ptCount val="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17</c:v>
                </c:pt>
                <c:pt idx="6">
                  <c:v>21</c:v>
                </c:pt>
                <c:pt idx="7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1461654414410319"/>
          <c:y val="0.18880839895013124"/>
          <c:w val="0.49923267167361657"/>
          <c:h val="0.70967844404064873"/>
        </c:manualLayout>
      </c:layout>
      <c:pieChart>
        <c:varyColors val="1"/>
        <c:ser>
          <c:idx val="0"/>
          <c:order val="0"/>
          <c:dLbls>
            <c:txPr>
              <a:bodyPr/>
              <a:lstStyle/>
              <a:p>
                <a:pPr>
                  <a:defRPr sz="16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Dopants!$B$10:$B$11</c:f>
              <c:strCache>
                <c:ptCount val="2"/>
                <c:pt idx="0">
                  <c:v>С допантом</c:v>
                </c:pt>
                <c:pt idx="1">
                  <c:v>Без допанта</c:v>
                </c:pt>
              </c:strCache>
            </c:strRef>
          </c:cat>
          <c:val>
            <c:numRef>
              <c:f>Dopants!$C$10:$C$11</c:f>
              <c:numCache>
                <c:formatCode>Основной</c:formatCode>
                <c:ptCount val="2"/>
                <c:pt idx="0">
                  <c:v>52</c:v>
                </c:pt>
                <c:pt idx="1">
                  <c:v>473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>
            <a:defRPr sz="1600"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5405454211462002"/>
          <c:y val="0.13511924156032221"/>
          <c:w val="0.44138035870516185"/>
          <c:h val="0.73563393117526976"/>
        </c:manualLayout>
      </c:layout>
      <c:pieChart>
        <c:varyColors val="1"/>
        <c:ser>
          <c:idx val="0"/>
          <c:order val="0"/>
          <c:dLbls>
            <c:txPr>
              <a:bodyPr/>
              <a:lstStyle/>
              <a:p>
                <a:pPr>
                  <a:defRPr sz="1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Dopants!$B$13:$B$14</c:f>
              <c:strCache>
                <c:ptCount val="2"/>
                <c:pt idx="0">
                  <c:v>Materials Project ID</c:v>
                </c:pt>
                <c:pt idx="1">
                  <c:v>Без ID</c:v>
                </c:pt>
              </c:strCache>
            </c:strRef>
          </c:cat>
          <c:val>
            <c:numRef>
              <c:f>Dopants!$C$13:$C$14</c:f>
              <c:numCache>
                <c:formatCode>Основной</c:formatCode>
                <c:ptCount val="2"/>
                <c:pt idx="0">
                  <c:v>194</c:v>
                </c:pt>
                <c:pt idx="1">
                  <c:v>331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2216631951255203"/>
          <c:y val="0.82929246990677874"/>
          <c:w val="0.33745107929124518"/>
          <c:h val="0.14779125053457776"/>
        </c:manualLayout>
      </c:layout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464820</xdr:colOff>
      <xdr:row>0</xdr:row>
      <xdr:rowOff>175260</xdr:rowOff>
    </xdr:from>
    <xdr:to>
      <xdr:col>14</xdr:col>
      <xdr:colOff>132335</xdr:colOff>
      <xdr:row>31</xdr:row>
      <xdr:rowOff>116988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0520" y="175260"/>
          <a:ext cx="6373115" cy="5611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2</xdr:row>
      <xdr:rowOff>83820</xdr:rowOff>
    </xdr:from>
    <xdr:to>
      <xdr:col>13</xdr:col>
      <xdr:colOff>106680</xdr:colOff>
      <xdr:row>20</xdr:row>
      <xdr:rowOff>118110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411480</xdr:colOff>
      <xdr:row>14</xdr:row>
      <xdr:rowOff>22860</xdr:rowOff>
    </xdr:from>
    <xdr:to>
      <xdr:col>14</xdr:col>
      <xdr:colOff>205740</xdr:colOff>
      <xdr:row>34</xdr:row>
      <xdr:rowOff>80010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129540</xdr:colOff>
      <xdr:row>1</xdr:row>
      <xdr:rowOff>68580</xdr:rowOff>
    </xdr:from>
    <xdr:to>
      <xdr:col>19</xdr:col>
      <xdr:colOff>586740</xdr:colOff>
      <xdr:row>27</xdr:row>
      <xdr:rowOff>83820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121920</xdr:colOff>
      <xdr:row>1</xdr:row>
      <xdr:rowOff>114300</xdr:rowOff>
    </xdr:from>
    <xdr:to>
      <xdr:col>11</xdr:col>
      <xdr:colOff>255544</xdr:colOff>
      <xdr:row>4</xdr:row>
      <xdr:rowOff>32450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6480" y="297180"/>
          <a:ext cx="1962424" cy="466790"/>
        </a:xfrm>
        <a:prstGeom prst="rect">
          <a:avLst/>
        </a:prstGeom>
      </xdr:spPr>
    </xdr:pic>
    <xdr:clientData/>
  </xdr:twoCellAnchor>
  <xdr:twoCellAnchor editAs="oneCell">
    <xdr:from>
      <xdr:col>11</xdr:col>
      <xdr:colOff>373380</xdr:colOff>
      <xdr:row>9</xdr:row>
      <xdr:rowOff>68580</xdr:rowOff>
    </xdr:from>
    <xdr:to>
      <xdr:col>14</xdr:col>
      <xdr:colOff>200860</xdr:colOff>
      <xdr:row>29</xdr:row>
      <xdr:rowOff>73031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6740" y="1714500"/>
          <a:ext cx="1656280" cy="36620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67</xdr:col>
      <xdr:colOff>762000</xdr:colOff>
      <xdr:row>784</xdr:row>
      <xdr:rowOff>113522</xdr:rowOff>
    </xdr:from>
    <xdr:to>
      <xdr:col>77</xdr:col>
      <xdr:colOff>753687</xdr:colOff>
      <xdr:row>793</xdr:row>
      <xdr:rowOff>11661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93840" y="143537162"/>
          <a:ext cx="8084127" cy="154405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525554</xdr:colOff>
      <xdr:row>1</xdr:row>
      <xdr:rowOff>68580</xdr:rowOff>
    </xdr:from>
    <xdr:to>
      <xdr:col>10</xdr:col>
      <xdr:colOff>149380</xdr:colOff>
      <xdr:row>22</xdr:row>
      <xdr:rowOff>76828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094" y="251460"/>
          <a:ext cx="4843526" cy="3848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rystallography.net/cod/1544425.html" TargetMode="External"/><Relationship Id="rId2" Type="http://schemas.openxmlformats.org/officeDocument/2006/relationships/hyperlink" Target="https://doi.org/10.1016/j.pnsc.2012.03.002" TargetMode="External"/><Relationship Id="rId1" Type="http://schemas.openxmlformats.org/officeDocument/2006/relationships/hyperlink" Target="https://doi.org/10.1016/j.pnsc.2012.03.00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rystallography.net/cod/1544425.html" TargetMode="External"/><Relationship Id="rId2" Type="http://schemas.openxmlformats.org/officeDocument/2006/relationships/hyperlink" Target="https://doi.org/10.1016/j.pnsc.2012.03.002" TargetMode="External"/><Relationship Id="rId1" Type="http://schemas.openxmlformats.org/officeDocument/2006/relationships/hyperlink" Target="https://doi.org/10.1016/j.pnsc.2012.03.00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rystallography.net/cod/1544425.html" TargetMode="External"/><Relationship Id="rId3" Type="http://schemas.openxmlformats.org/officeDocument/2006/relationships/hyperlink" Target="https://www.wellesu.com/10.1016/0025-5408(87)90060-2" TargetMode="External"/><Relationship Id="rId7" Type="http://schemas.openxmlformats.org/officeDocument/2006/relationships/hyperlink" Target="https://sci-hub.ru/10.1016/0025-5408(81)90063-5" TargetMode="External"/><Relationship Id="rId2" Type="http://schemas.openxmlformats.org/officeDocument/2006/relationships/hyperlink" Target="https://doi.org/10.1016/j.pnsc.2012.03.002" TargetMode="External"/><Relationship Id="rId1" Type="http://schemas.openxmlformats.org/officeDocument/2006/relationships/hyperlink" Target="https://doi.org/10.1016/j.pnsc.2012.03.002" TargetMode="External"/><Relationship Id="rId6" Type="http://schemas.openxmlformats.org/officeDocument/2006/relationships/hyperlink" Target="https://sci-hub.ru/10.1016/0025-5408(81)90063-5" TargetMode="External"/><Relationship Id="rId5" Type="http://schemas.openxmlformats.org/officeDocument/2006/relationships/hyperlink" Target="https://sci-hub.ru/10.1016/0025-5408(81)90063-5" TargetMode="External"/><Relationship Id="rId4" Type="http://schemas.openxmlformats.org/officeDocument/2006/relationships/hyperlink" Target="https://sci-hub.ru/10.1016/0025-5408(81)90063-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rystallography.net/cod/1544425.html" TargetMode="External"/><Relationship Id="rId2" Type="http://schemas.openxmlformats.org/officeDocument/2006/relationships/hyperlink" Target="https://doi.org/10.1016/j.pnsc.2012.03.002" TargetMode="External"/><Relationship Id="rId1" Type="http://schemas.openxmlformats.org/officeDocument/2006/relationships/hyperlink" Target="https://doi.org/10.1016/j.pnsc.2012.03.002" TargetMode="External"/><Relationship Id="rId5" Type="http://schemas.openxmlformats.org/officeDocument/2006/relationships/drawing" Target="../drawings/drawing4.xml"/><Relationship Id="rId4" Type="http://schemas.openxmlformats.org/officeDocument/2006/relationships/hyperlink" Target="https://www.crystallography.net/cod/1544425.html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28"/>
  <sheetViews>
    <sheetView workbookViewId="0">
      <pane ySplit="1" topLeftCell="A432" activePane="bottomLeft" state="frozen"/>
      <selection pane="bottomLeft" sqref="A1:BX523"/>
    </sheetView>
  </sheetViews>
  <sheetFormatPr defaultRowHeight="14.4" x14ac:dyDescent="0.3"/>
  <cols>
    <col min="1" max="1" width="16.88671875" style="2" customWidth="1"/>
    <col min="2" max="2" width="21.44140625" style="2" customWidth="1"/>
    <col min="3" max="3" width="15.44140625" style="2" customWidth="1"/>
    <col min="4" max="4" width="8.88671875" style="2" customWidth="1"/>
    <col min="5" max="5" width="11.88671875" style="2" customWidth="1"/>
    <col min="6" max="6" width="8.88671875" style="2" customWidth="1"/>
    <col min="7" max="7" width="20.21875" style="2" customWidth="1"/>
    <col min="8" max="8" width="15.33203125" style="2" customWidth="1"/>
    <col min="9" max="9" width="12.88671875" style="2" customWidth="1"/>
    <col min="10" max="10" width="10.77734375" style="2" customWidth="1"/>
    <col min="11" max="12" width="0" style="2" hidden="1" customWidth="1"/>
    <col min="13" max="13" width="0" hidden="1" customWidth="1"/>
    <col min="14" max="14" width="11.109375" hidden="1" customWidth="1"/>
    <col min="15" max="17" width="0" style="2" hidden="1" customWidth="1"/>
    <col min="18" max="18" width="18.77734375" style="2" hidden="1" customWidth="1"/>
    <col min="19" max="20" width="0" style="2" hidden="1" customWidth="1"/>
    <col min="21" max="21" width="10.5546875" style="2" hidden="1" customWidth="1"/>
    <col min="22" max="22" width="14.44140625" style="2" hidden="1" customWidth="1"/>
    <col min="23" max="25" width="0" hidden="1" customWidth="1"/>
    <col min="26" max="26" width="12" hidden="1" customWidth="1"/>
    <col min="27" max="27" width="11.77734375" hidden="1" customWidth="1"/>
    <col min="28" max="28" width="10" hidden="1" customWidth="1"/>
    <col min="29" max="29" width="11.44140625" style="2" hidden="1" customWidth="1"/>
    <col min="30" max="30" width="17.109375" style="2" hidden="1" customWidth="1"/>
    <col min="31" max="31" width="17.109375" style="55" hidden="1" customWidth="1"/>
    <col min="32" max="32" width="13.44140625" style="55" hidden="1" customWidth="1"/>
    <col min="33" max="33" width="16.109375" style="55" hidden="1" customWidth="1"/>
    <col min="34" max="34" width="19.44140625" style="55" hidden="1" customWidth="1"/>
    <col min="35" max="35" width="19.44140625" style="52" hidden="1" customWidth="1"/>
    <col min="36" max="36" width="23.109375" style="52" hidden="1" customWidth="1"/>
    <col min="37" max="37" width="22.109375" style="52" hidden="1" customWidth="1"/>
    <col min="38" max="38" width="29.21875" style="52" hidden="1" customWidth="1"/>
    <col min="39" max="52" width="0" style="2" hidden="1" customWidth="1"/>
    <col min="53" max="55" width="0" style="75" hidden="1" customWidth="1"/>
    <col min="56" max="62" width="0" hidden="1" customWidth="1"/>
    <col min="63" max="63" width="12.33203125" style="2" customWidth="1"/>
    <col min="64" max="64" width="8.88671875" style="2"/>
    <col min="65" max="65" width="11.109375" style="2" customWidth="1"/>
    <col min="66" max="66" width="17.5546875" style="2" customWidth="1"/>
    <col min="67" max="67" width="8.88671875" style="2"/>
    <col min="68" max="68" width="17.6640625" style="2" customWidth="1"/>
    <col min="69" max="69" width="8.88671875" style="2"/>
    <col min="70" max="70" width="9.44140625" style="2" customWidth="1"/>
    <col min="71" max="71" width="10.5546875" style="2" customWidth="1"/>
    <col min="72" max="72" width="9.5546875" style="2" customWidth="1"/>
    <col min="73" max="73" width="11.33203125" style="2" customWidth="1"/>
    <col min="74" max="74" width="8.88671875" style="2"/>
    <col min="75" max="75" width="17.44140625" style="2" customWidth="1"/>
    <col min="76" max="76" width="14.77734375" style="2" customWidth="1"/>
    <col min="77" max="16384" width="8.88671875" style="2"/>
  </cols>
  <sheetData>
    <row r="1" spans="1:76" x14ac:dyDescent="0.3">
      <c r="A1" s="2" t="s">
        <v>112</v>
      </c>
      <c r="B1" s="14" t="s">
        <v>684</v>
      </c>
      <c r="C1" s="16" t="s">
        <v>892</v>
      </c>
      <c r="D1" s="2" t="s">
        <v>675</v>
      </c>
      <c r="E1" s="2" t="s">
        <v>880</v>
      </c>
      <c r="F1" s="2" t="s">
        <v>113</v>
      </c>
      <c r="G1" s="2" t="s">
        <v>50</v>
      </c>
      <c r="H1" s="60" t="s">
        <v>522</v>
      </c>
      <c r="I1" s="61" t="s">
        <v>605</v>
      </c>
      <c r="J1" s="62" t="s">
        <v>1146</v>
      </c>
      <c r="K1" s="63" t="s">
        <v>1096</v>
      </c>
      <c r="L1" s="64" t="s">
        <v>1108</v>
      </c>
      <c r="M1" s="59" t="s">
        <v>1191</v>
      </c>
      <c r="N1" s="59" t="s">
        <v>1203</v>
      </c>
      <c r="O1" s="2" t="s">
        <v>467</v>
      </c>
      <c r="P1" s="2" t="s">
        <v>468</v>
      </c>
      <c r="Q1" s="2" t="s">
        <v>469</v>
      </c>
      <c r="R1" s="2" t="s">
        <v>438</v>
      </c>
      <c r="S1" s="30" t="s">
        <v>1132</v>
      </c>
      <c r="T1" s="26" t="s">
        <v>1105</v>
      </c>
      <c r="U1" s="26" t="s">
        <v>1106</v>
      </c>
      <c r="V1" s="26" t="s">
        <v>1107</v>
      </c>
      <c r="W1" s="11" t="s">
        <v>1192</v>
      </c>
      <c r="X1" s="11" t="s">
        <v>1193</v>
      </c>
      <c r="Y1" s="11" t="s">
        <v>1194</v>
      </c>
      <c r="Z1" s="11" t="s">
        <v>1199</v>
      </c>
      <c r="AA1" s="11" t="s">
        <v>1200</v>
      </c>
      <c r="AB1" s="11" t="s">
        <v>1201</v>
      </c>
      <c r="AC1" s="2" t="s">
        <v>466</v>
      </c>
      <c r="AD1" s="11" t="s">
        <v>1094</v>
      </c>
      <c r="AE1" s="54" t="s">
        <v>1103</v>
      </c>
      <c r="AF1" s="56" t="s">
        <v>1196</v>
      </c>
      <c r="AG1" s="54" t="s">
        <v>1195</v>
      </c>
      <c r="AH1" s="54" t="s">
        <v>1202</v>
      </c>
      <c r="AI1" s="66" t="s">
        <v>1104</v>
      </c>
      <c r="AJ1" s="50" t="s">
        <v>1197</v>
      </c>
      <c r="AK1" s="53" t="s">
        <v>1198</v>
      </c>
      <c r="AL1" s="53" t="s">
        <v>1204</v>
      </c>
      <c r="AM1" s="27" t="s">
        <v>1113</v>
      </c>
      <c r="AN1" s="27" t="s">
        <v>1114</v>
      </c>
      <c r="AO1" s="27" t="s">
        <v>1115</v>
      </c>
      <c r="AP1" s="27" t="s">
        <v>1116</v>
      </c>
      <c r="AQ1" s="27" t="s">
        <v>1117</v>
      </c>
      <c r="AR1" s="27" t="s">
        <v>1118</v>
      </c>
      <c r="AS1" s="27" t="s">
        <v>1119</v>
      </c>
      <c r="AT1" s="27" t="s">
        <v>1120</v>
      </c>
      <c r="AU1" s="26" t="s">
        <v>1109</v>
      </c>
      <c r="AV1" s="26" t="s">
        <v>1110</v>
      </c>
      <c r="AW1" s="26" t="s">
        <v>1111</v>
      </c>
      <c r="AX1" s="26" t="s">
        <v>1112</v>
      </c>
      <c r="AY1" s="11" t="s">
        <v>1092</v>
      </c>
      <c r="AZ1" s="11" t="s">
        <v>1093</v>
      </c>
      <c r="BA1" s="74" t="s">
        <v>1205</v>
      </c>
      <c r="BB1" s="74" t="s">
        <v>1206</v>
      </c>
      <c r="BC1" s="74" t="s">
        <v>1207</v>
      </c>
      <c r="BD1" s="11" t="s">
        <v>1211</v>
      </c>
      <c r="BE1" s="11" t="s">
        <v>1208</v>
      </c>
      <c r="BF1" s="11" t="s">
        <v>1209</v>
      </c>
      <c r="BG1" s="11" t="s">
        <v>1210</v>
      </c>
      <c r="BH1" s="11" t="s">
        <v>1247</v>
      </c>
      <c r="BI1" s="11" t="s">
        <v>1248</v>
      </c>
      <c r="BJ1" s="11" t="s">
        <v>1249</v>
      </c>
      <c r="BK1" s="76" t="s">
        <v>1251</v>
      </c>
      <c r="BL1" s="76" t="s">
        <v>1252</v>
      </c>
      <c r="BM1" s="76" t="s">
        <v>1253</v>
      </c>
      <c r="BN1" s="76" t="s">
        <v>1254</v>
      </c>
      <c r="BO1" s="76" t="s">
        <v>1255</v>
      </c>
      <c r="BP1" s="76" t="s">
        <v>1256</v>
      </c>
      <c r="BQ1" s="76" t="s">
        <v>1257</v>
      </c>
      <c r="BR1" s="76" t="s">
        <v>1258</v>
      </c>
      <c r="BS1" s="76" t="s">
        <v>1259</v>
      </c>
      <c r="BT1" s="76" t="s">
        <v>1260</v>
      </c>
      <c r="BU1" s="76" t="s">
        <v>1261</v>
      </c>
      <c r="BV1" s="76" t="s">
        <v>1262</v>
      </c>
      <c r="BW1" s="76" t="s">
        <v>1263</v>
      </c>
      <c r="BX1" s="76" t="s">
        <v>1265</v>
      </c>
    </row>
    <row r="2" spans="1:76" x14ac:dyDescent="0.3">
      <c r="A2" s="2" t="s">
        <v>0</v>
      </c>
      <c r="B2" s="13" t="s">
        <v>685</v>
      </c>
      <c r="C2" s="13"/>
      <c r="F2" s="2">
        <v>3.5</v>
      </c>
      <c r="G2" s="2" t="s">
        <v>454</v>
      </c>
      <c r="H2" s="9" t="s">
        <v>523</v>
      </c>
      <c r="I2" t="s">
        <v>606</v>
      </c>
      <c r="J2"/>
      <c r="K2" s="65">
        <v>4</v>
      </c>
      <c r="L2" s="25">
        <v>4</v>
      </c>
      <c r="M2">
        <v>4</v>
      </c>
      <c r="N2">
        <v>0</v>
      </c>
      <c r="T2" s="25">
        <v>6.6040679999999998</v>
      </c>
      <c r="U2" s="25">
        <v>7.9389519999999996</v>
      </c>
      <c r="V2" s="25">
        <v>33.703336</v>
      </c>
      <c r="W2">
        <v>7.83</v>
      </c>
      <c r="X2">
        <v>33.209989999999998</v>
      </c>
      <c r="Y2">
        <v>6.46</v>
      </c>
      <c r="Z2">
        <v>0</v>
      </c>
      <c r="AD2">
        <v>34</v>
      </c>
      <c r="AE2" s="55">
        <f>O2*P2*Q2</f>
        <v>0</v>
      </c>
      <c r="AF2" s="57">
        <v>1767.0449718798691</v>
      </c>
      <c r="AG2" s="55">
        <v>1679.8210721820001</v>
      </c>
      <c r="AH2" s="55">
        <v>0</v>
      </c>
      <c r="AJ2" s="51">
        <v>7.6964651247849417E-2</v>
      </c>
      <c r="AK2" s="52">
        <v>8.0961003676030277E-2</v>
      </c>
      <c r="AM2" s="28">
        <v>1.62962962962963</v>
      </c>
      <c r="AN2" s="28">
        <v>2.518518518518519</v>
      </c>
      <c r="AO2" s="28">
        <v>0.88888888888888884</v>
      </c>
      <c r="AP2" s="28">
        <v>0</v>
      </c>
      <c r="AQ2" s="28">
        <v>0.32352941176470579</v>
      </c>
      <c r="AR2" s="28">
        <v>0.5</v>
      </c>
      <c r="AS2" s="28">
        <v>0.1764705882352941</v>
      </c>
      <c r="AT2" s="28">
        <v>0</v>
      </c>
      <c r="AU2" s="25">
        <v>0.82</v>
      </c>
      <c r="AV2" s="25">
        <v>3.44</v>
      </c>
      <c r="AW2" s="25">
        <v>2.62</v>
      </c>
      <c r="AX2" s="25">
        <v>2.642962962962963</v>
      </c>
      <c r="AY2">
        <v>2.642962962962963</v>
      </c>
      <c r="AZ2">
        <v>5.9587362692592576</v>
      </c>
      <c r="BA2" s="75">
        <v>0.48264383878002159</v>
      </c>
      <c r="BB2" s="75">
        <v>0.50770488753139842</v>
      </c>
      <c r="BD2" t="s">
        <v>459</v>
      </c>
      <c r="BE2">
        <v>3.8482325623924708E-2</v>
      </c>
      <c r="BF2">
        <v>4.0480501838015132E-2</v>
      </c>
      <c r="BH2">
        <v>7.8962827461939847E-2</v>
      </c>
      <c r="BI2" t="s">
        <v>459</v>
      </c>
      <c r="BJ2">
        <v>0.49517436315571001</v>
      </c>
      <c r="BX2" s="2">
        <v>130</v>
      </c>
    </row>
    <row r="3" spans="1:76" x14ac:dyDescent="0.3">
      <c r="A3" s="2" t="s">
        <v>1</v>
      </c>
      <c r="B3" s="13" t="s">
        <v>686</v>
      </c>
      <c r="C3" s="13"/>
      <c r="F3" s="2">
        <v>3.2</v>
      </c>
      <c r="G3" s="2" t="s">
        <v>454</v>
      </c>
      <c r="H3" s="9" t="s">
        <v>524</v>
      </c>
      <c r="I3" t="s">
        <v>607</v>
      </c>
      <c r="J3"/>
      <c r="L3" s="25">
        <v>1</v>
      </c>
      <c r="M3">
        <v>1</v>
      </c>
      <c r="N3">
        <v>0</v>
      </c>
      <c r="O3" s="2">
        <v>7.806</v>
      </c>
      <c r="P3" s="2">
        <v>7.6680000000000001</v>
      </c>
      <c r="Q3" s="2">
        <v>21.54</v>
      </c>
      <c r="R3" s="1" t="s">
        <v>513</v>
      </c>
      <c r="S3" s="1"/>
      <c r="T3" s="25">
        <v>3.9327019999999999</v>
      </c>
      <c r="U3" s="25">
        <v>3.9458000000000002</v>
      </c>
      <c r="V3" s="25">
        <v>11.356398779999999</v>
      </c>
      <c r="W3">
        <v>3.9060000000000001</v>
      </c>
      <c r="X3">
        <v>21.603000000000002</v>
      </c>
      <c r="Y3">
        <v>3.8879000000000001</v>
      </c>
      <c r="Z3">
        <v>0</v>
      </c>
      <c r="AC3" s="2">
        <v>2</v>
      </c>
      <c r="AD3">
        <v>14</v>
      </c>
      <c r="AE3" s="55">
        <f t="shared" ref="AE3:AE66" si="0">O3*P3*Q3</f>
        <v>1289.30702832</v>
      </c>
      <c r="AF3" s="57">
        <v>173.54502164551991</v>
      </c>
      <c r="AG3" s="55">
        <v>328.06612625219998</v>
      </c>
      <c r="AH3" s="55">
        <v>0</v>
      </c>
      <c r="AJ3" s="51">
        <v>8.0670709348241429E-2</v>
      </c>
      <c r="AK3" s="52">
        <v>4.2674323496713393E-2</v>
      </c>
      <c r="AM3" s="28">
        <v>1.7272727272727271</v>
      </c>
      <c r="AN3" s="28">
        <v>2.545454545454545</v>
      </c>
      <c r="AO3" s="28">
        <v>0.81818181818181823</v>
      </c>
      <c r="AP3" s="28">
        <v>0</v>
      </c>
      <c r="AQ3" s="28">
        <v>0.3392857142857143</v>
      </c>
      <c r="AR3" s="28">
        <v>0.5</v>
      </c>
      <c r="AS3" s="28">
        <v>0.1607142857142857</v>
      </c>
      <c r="AT3" s="28">
        <v>0</v>
      </c>
      <c r="AU3" s="25">
        <v>0.82</v>
      </c>
      <c r="AV3" s="25">
        <v>3.44</v>
      </c>
      <c r="AW3" s="25">
        <v>2.62</v>
      </c>
      <c r="AX3" s="25">
        <v>2.6545454545454539</v>
      </c>
      <c r="AY3">
        <v>2.6545454545454539</v>
      </c>
      <c r="AZ3">
        <v>5.9946911436363637</v>
      </c>
      <c r="BA3" s="75">
        <v>0.48450364842179561</v>
      </c>
      <c r="BE3">
        <v>4.0335354674120701E-2</v>
      </c>
      <c r="BF3">
        <v>2.13371617483567E-2</v>
      </c>
      <c r="BH3">
        <v>6.1672516422477411E-2</v>
      </c>
      <c r="BI3">
        <v>3.0836258211238698E-2</v>
      </c>
      <c r="BJ3">
        <v>0.48450364842179561</v>
      </c>
      <c r="BK3" s="2" t="s">
        <v>1264</v>
      </c>
      <c r="BL3" s="2">
        <f t="shared" ref="BL3:BL9" si="1">1200+273</f>
        <v>1473</v>
      </c>
      <c r="BM3" s="2">
        <v>48</v>
      </c>
      <c r="BU3" s="2" t="s">
        <v>1266</v>
      </c>
      <c r="BV3" s="2">
        <v>450</v>
      </c>
      <c r="BX3" s="2">
        <v>28</v>
      </c>
    </row>
    <row r="4" spans="1:76" x14ac:dyDescent="0.3">
      <c r="A4" s="2" t="s">
        <v>2</v>
      </c>
      <c r="B4" s="13" t="s">
        <v>687</v>
      </c>
      <c r="C4" s="13"/>
      <c r="F4" s="2">
        <v>3.35</v>
      </c>
      <c r="G4" s="2" t="s">
        <v>454</v>
      </c>
      <c r="H4" s="9" t="s">
        <v>525</v>
      </c>
      <c r="I4">
        <v>-1</v>
      </c>
      <c r="J4"/>
      <c r="L4" s="25">
        <v>2</v>
      </c>
      <c r="M4">
        <v>0</v>
      </c>
      <c r="N4">
        <v>0</v>
      </c>
      <c r="O4" s="2">
        <v>3.8849999999999998</v>
      </c>
      <c r="P4" s="2">
        <v>3.8849999999999998</v>
      </c>
      <c r="Q4" s="2">
        <v>10.989000000000001</v>
      </c>
      <c r="R4" s="1" t="s">
        <v>439</v>
      </c>
      <c r="S4" s="1"/>
      <c r="T4" s="25">
        <v>11.92921406</v>
      </c>
      <c r="U4" s="25">
        <v>11.92921406</v>
      </c>
      <c r="V4" s="25">
        <v>11.92921406</v>
      </c>
      <c r="W4">
        <v>0</v>
      </c>
      <c r="Z4">
        <v>0</v>
      </c>
      <c r="AC4" s="2">
        <v>2</v>
      </c>
      <c r="AD4">
        <v>14</v>
      </c>
      <c r="AE4" s="55">
        <f t="shared" si="0"/>
        <v>165.859449525</v>
      </c>
      <c r="AF4" s="57">
        <v>349.00875366799971</v>
      </c>
      <c r="AG4" s="55">
        <v>0</v>
      </c>
      <c r="AH4" s="55">
        <v>0</v>
      </c>
      <c r="AJ4" s="51">
        <v>8.0227214090553903E-2</v>
      </c>
      <c r="AM4" s="28">
        <v>1.7272727272727271</v>
      </c>
      <c r="AN4" s="28">
        <v>2.545454545454545</v>
      </c>
      <c r="AO4" s="28">
        <v>0.81818181818181823</v>
      </c>
      <c r="AP4" s="28">
        <v>0</v>
      </c>
      <c r="AQ4" s="28">
        <v>0.3392857142857143</v>
      </c>
      <c r="AR4" s="28">
        <v>0.5</v>
      </c>
      <c r="AS4" s="28">
        <v>0.1607142857142857</v>
      </c>
      <c r="AT4" s="28">
        <v>0</v>
      </c>
      <c r="AU4" s="25">
        <v>0.82</v>
      </c>
      <c r="AV4" s="25">
        <v>3.44</v>
      </c>
      <c r="AW4" s="25">
        <v>2.62</v>
      </c>
      <c r="AX4" s="25">
        <v>2.6545454545454539</v>
      </c>
      <c r="AY4">
        <v>2.6545454545454552</v>
      </c>
      <c r="AZ4">
        <v>5.9865512095454543</v>
      </c>
      <c r="BA4" s="75">
        <v>0.50734392504100967</v>
      </c>
      <c r="BE4">
        <v>4.0113607045276937E-2</v>
      </c>
      <c r="BH4">
        <v>8.0227214090553903E-2</v>
      </c>
      <c r="BI4">
        <v>4.0113607045276937E-2</v>
      </c>
      <c r="BJ4">
        <v>0.50734392504100967</v>
      </c>
      <c r="BK4" s="2" t="s">
        <v>1264</v>
      </c>
      <c r="BL4" s="2">
        <f t="shared" si="1"/>
        <v>1473</v>
      </c>
      <c r="BM4" s="2">
        <v>48</v>
      </c>
      <c r="BU4" s="2" t="s">
        <v>1266</v>
      </c>
      <c r="BV4" s="2">
        <v>450</v>
      </c>
      <c r="BX4" s="2">
        <v>60</v>
      </c>
    </row>
    <row r="5" spans="1:76" x14ac:dyDescent="0.3">
      <c r="A5" s="2" t="s">
        <v>3</v>
      </c>
      <c r="B5" s="13" t="s">
        <v>688</v>
      </c>
      <c r="C5" s="13"/>
      <c r="F5" s="2">
        <v>3.3</v>
      </c>
      <c r="G5" s="2" t="s">
        <v>454</v>
      </c>
      <c r="H5" s="9" t="s">
        <v>526</v>
      </c>
      <c r="I5" t="s">
        <v>608</v>
      </c>
      <c r="J5"/>
      <c r="L5" s="25">
        <v>1</v>
      </c>
      <c r="M5">
        <v>1</v>
      </c>
      <c r="N5">
        <v>0</v>
      </c>
      <c r="O5" s="2">
        <v>3.9049999999999998</v>
      </c>
      <c r="P5" s="2">
        <v>3.9049999999999998</v>
      </c>
      <c r="Q5" s="2">
        <v>11.185</v>
      </c>
      <c r="R5" s="1" t="s">
        <v>439</v>
      </c>
      <c r="S5" s="1"/>
      <c r="T5" s="25">
        <v>3.952105</v>
      </c>
      <c r="U5" s="25">
        <v>3.952105</v>
      </c>
      <c r="V5" s="25">
        <v>11.503833</v>
      </c>
      <c r="W5">
        <v>3.9079999999999999</v>
      </c>
      <c r="X5">
        <v>3.9079999999999999</v>
      </c>
      <c r="Y5">
        <v>11.16</v>
      </c>
      <c r="Z5">
        <v>0</v>
      </c>
      <c r="AC5" s="2">
        <v>2</v>
      </c>
      <c r="AD5">
        <v>14</v>
      </c>
      <c r="AE5" s="55">
        <f t="shared" si="0"/>
        <v>170.56034462499997</v>
      </c>
      <c r="AF5" s="57">
        <v>179.6799083471451</v>
      </c>
      <c r="AG5" s="55">
        <v>170.44069823999999</v>
      </c>
      <c r="AH5" s="55">
        <v>0</v>
      </c>
      <c r="AJ5" s="51">
        <v>7.7916335380980528E-2</v>
      </c>
      <c r="AK5" s="52">
        <v>8.2140006140355049E-2</v>
      </c>
      <c r="AM5" s="28">
        <v>1.7272727272727271</v>
      </c>
      <c r="AN5" s="28">
        <v>2.545454545454545</v>
      </c>
      <c r="AO5" s="28">
        <v>0.81818181818181823</v>
      </c>
      <c r="AP5" s="28">
        <v>0</v>
      </c>
      <c r="AQ5" s="28">
        <v>0.3392857142857143</v>
      </c>
      <c r="AR5" s="28">
        <v>0.5</v>
      </c>
      <c r="AS5" s="28">
        <v>0.1607142857142857</v>
      </c>
      <c r="AT5" s="28">
        <v>0</v>
      </c>
      <c r="AU5" s="25">
        <v>0.79</v>
      </c>
      <c r="AV5" s="25">
        <v>3.44</v>
      </c>
      <c r="AW5" s="25">
        <v>2.65</v>
      </c>
      <c r="AX5" s="25">
        <v>2.6518181818181819</v>
      </c>
      <c r="AY5">
        <v>2.6518181818181819</v>
      </c>
      <c r="AZ5">
        <v>5.9730281035195452</v>
      </c>
      <c r="BA5" s="75">
        <v>0.5243291310951993</v>
      </c>
      <c r="BB5" s="75">
        <v>0.55275184384813547</v>
      </c>
      <c r="BE5">
        <v>3.8958167690490257E-2</v>
      </c>
      <c r="BF5">
        <v>4.1070003070177517E-2</v>
      </c>
      <c r="BH5">
        <v>8.0028170760667788E-2</v>
      </c>
      <c r="BI5">
        <v>4.0014085380333887E-2</v>
      </c>
      <c r="BJ5">
        <v>0.53854048747166738</v>
      </c>
      <c r="BK5" s="2" t="s">
        <v>1264</v>
      </c>
      <c r="BL5" s="2">
        <f t="shared" si="1"/>
        <v>1473</v>
      </c>
      <c r="BM5" s="2">
        <v>48</v>
      </c>
      <c r="BU5" s="2" t="s">
        <v>1266</v>
      </c>
      <c r="BV5" s="2">
        <v>450</v>
      </c>
      <c r="BX5" s="2">
        <v>12</v>
      </c>
    </row>
    <row r="6" spans="1:76" x14ac:dyDescent="0.3">
      <c r="A6" s="2" t="s">
        <v>4</v>
      </c>
      <c r="B6" s="73" t="s">
        <v>689</v>
      </c>
      <c r="C6" s="13"/>
      <c r="F6" s="2">
        <v>3.35</v>
      </c>
      <c r="G6" s="2" t="s">
        <v>454</v>
      </c>
      <c r="H6" s="9" t="s">
        <v>527</v>
      </c>
      <c r="I6" t="s">
        <v>609</v>
      </c>
      <c r="J6"/>
      <c r="K6" s="7"/>
      <c r="L6" s="25">
        <v>4</v>
      </c>
      <c r="M6">
        <v>4</v>
      </c>
      <c r="N6">
        <v>0</v>
      </c>
      <c r="O6" s="2">
        <v>7.7270000000000003</v>
      </c>
      <c r="P6" s="2">
        <v>7.7270000000000003</v>
      </c>
      <c r="Q6" s="2">
        <v>29.466000000000001</v>
      </c>
      <c r="R6" s="2" t="s">
        <v>452</v>
      </c>
      <c r="T6" s="25">
        <v>7.8084429999999996</v>
      </c>
      <c r="U6" s="25">
        <v>7.8548809999999998</v>
      </c>
      <c r="V6" s="25">
        <v>15.19056011</v>
      </c>
      <c r="W6">
        <v>3.8801999999999999</v>
      </c>
      <c r="X6">
        <v>29.507999999999999</v>
      </c>
      <c r="Y6">
        <v>7.7140000000000004</v>
      </c>
      <c r="Z6">
        <v>0</v>
      </c>
      <c r="AC6" s="2">
        <v>3</v>
      </c>
      <c r="AD6">
        <v>20</v>
      </c>
      <c r="AE6" s="55">
        <f t="shared" si="0"/>
        <v>1759.3125835140002</v>
      </c>
      <c r="AF6" s="57">
        <v>924.74694800021894</v>
      </c>
      <c r="AG6" s="55">
        <v>883.22940750240002</v>
      </c>
      <c r="AH6" s="55">
        <v>0</v>
      </c>
      <c r="AJ6" s="51">
        <v>8.6510153045653584E-2</v>
      </c>
      <c r="AK6" s="52">
        <v>9.0576694254581439E-2</v>
      </c>
      <c r="AM6" s="28">
        <v>1.75</v>
      </c>
      <c r="AN6" s="28">
        <v>2.5</v>
      </c>
      <c r="AO6" s="28">
        <v>0.75</v>
      </c>
      <c r="AP6" s="28">
        <v>0</v>
      </c>
      <c r="AQ6" s="28">
        <v>0.35</v>
      </c>
      <c r="AR6" s="28">
        <v>0.5</v>
      </c>
      <c r="AS6" s="28">
        <v>0.15</v>
      </c>
      <c r="AT6" s="28">
        <v>0</v>
      </c>
      <c r="AU6" s="25">
        <v>0.82</v>
      </c>
      <c r="AV6" s="25">
        <v>3.44</v>
      </c>
      <c r="AW6" s="25">
        <v>2.62</v>
      </c>
      <c r="AX6" s="25">
        <v>2.6262500000000002</v>
      </c>
      <c r="AY6">
        <v>2.6262500000000002</v>
      </c>
      <c r="AZ6">
        <v>5.96680968125</v>
      </c>
      <c r="BA6" s="75">
        <v>0.50555206026575039</v>
      </c>
      <c r="BB6" s="75">
        <v>0</v>
      </c>
      <c r="BE6">
        <v>4.3255076522826792E-2</v>
      </c>
      <c r="BF6">
        <v>4.5288347127290719E-2</v>
      </c>
      <c r="BH6">
        <v>8.8543423650117511E-2</v>
      </c>
      <c r="BI6">
        <v>4.4271711825058763E-2</v>
      </c>
      <c r="BJ6">
        <v>0.2527760301328752</v>
      </c>
      <c r="BK6" s="2" t="s">
        <v>1264</v>
      </c>
      <c r="BL6" s="2">
        <f t="shared" si="1"/>
        <v>1473</v>
      </c>
      <c r="BM6" s="2">
        <v>48</v>
      </c>
      <c r="BU6" s="2" t="s">
        <v>1266</v>
      </c>
      <c r="BV6" s="2">
        <v>450</v>
      </c>
      <c r="BX6" s="2">
        <v>14</v>
      </c>
    </row>
    <row r="7" spans="1:76" x14ac:dyDescent="0.3">
      <c r="A7" s="2" t="s">
        <v>5</v>
      </c>
      <c r="B7" s="13" t="s">
        <v>690</v>
      </c>
      <c r="C7" s="13"/>
      <c r="F7" s="2">
        <v>3.5</v>
      </c>
      <c r="G7" s="2" t="s">
        <v>454</v>
      </c>
      <c r="H7" s="9" t="s">
        <v>528</v>
      </c>
      <c r="I7" t="s">
        <v>610</v>
      </c>
      <c r="J7"/>
      <c r="K7" s="7"/>
      <c r="L7" s="25">
        <v>1</v>
      </c>
      <c r="M7">
        <v>1</v>
      </c>
      <c r="N7">
        <v>0</v>
      </c>
      <c r="O7" s="2">
        <v>7.7249999999999996</v>
      </c>
      <c r="P7" s="2">
        <v>7.7249999999999996</v>
      </c>
      <c r="Q7" s="2">
        <v>14.909000000000001</v>
      </c>
      <c r="R7" s="2" t="s">
        <v>451</v>
      </c>
      <c r="T7" s="25">
        <v>3.9661010000000001</v>
      </c>
      <c r="U7" s="25">
        <v>3.9661010000000001</v>
      </c>
      <c r="V7" s="25">
        <v>15.283337</v>
      </c>
      <c r="W7">
        <v>3.8586499999999999</v>
      </c>
      <c r="X7">
        <v>3.8586499999999999</v>
      </c>
      <c r="Y7">
        <v>14.9108</v>
      </c>
      <c r="Z7">
        <v>0</v>
      </c>
      <c r="AC7" s="2">
        <v>3</v>
      </c>
      <c r="AD7">
        <v>20</v>
      </c>
      <c r="AE7" s="55">
        <f t="shared" si="0"/>
        <v>889.70389312500004</v>
      </c>
      <c r="AF7" s="57">
        <v>240.40623599981481</v>
      </c>
      <c r="AG7" s="55">
        <v>222.00958249733301</v>
      </c>
      <c r="AH7" s="55">
        <v>0</v>
      </c>
      <c r="AJ7" s="51">
        <v>8.3192517518619641E-2</v>
      </c>
      <c r="AK7" s="52">
        <v>9.0086201573034624E-2</v>
      </c>
      <c r="AM7" s="28">
        <v>1.75</v>
      </c>
      <c r="AN7" s="28">
        <v>2.5</v>
      </c>
      <c r="AO7" s="28">
        <v>0.75</v>
      </c>
      <c r="AP7" s="28">
        <v>0</v>
      </c>
      <c r="AQ7" s="28">
        <v>0.35</v>
      </c>
      <c r="AR7" s="28">
        <v>0.5</v>
      </c>
      <c r="AS7" s="28">
        <v>0.15</v>
      </c>
      <c r="AT7" s="28">
        <v>0</v>
      </c>
      <c r="AU7" s="25">
        <v>0.82</v>
      </c>
      <c r="AV7" s="25">
        <v>3.44</v>
      </c>
      <c r="AW7" s="25">
        <v>2.62</v>
      </c>
      <c r="AX7" s="25">
        <v>2.6262500000000002</v>
      </c>
      <c r="AY7">
        <v>2.6262500000000002</v>
      </c>
      <c r="AZ7">
        <v>5.9612134765624996</v>
      </c>
      <c r="BA7" s="75">
        <v>0.50467688585120674</v>
      </c>
      <c r="BB7" s="75">
        <v>0.54649654829675798</v>
      </c>
      <c r="BE7">
        <v>4.159625875930982E-2</v>
      </c>
      <c r="BF7">
        <v>4.5043100786517312E-2</v>
      </c>
      <c r="BH7">
        <v>8.6639359545827133E-2</v>
      </c>
      <c r="BI7">
        <v>4.3319679772913573E-2</v>
      </c>
      <c r="BJ7">
        <v>0.5255867170739823</v>
      </c>
      <c r="BK7" s="2" t="s">
        <v>1264</v>
      </c>
      <c r="BL7" s="2">
        <f t="shared" si="1"/>
        <v>1473</v>
      </c>
      <c r="BM7" s="2">
        <v>48</v>
      </c>
      <c r="BU7" s="2" t="s">
        <v>1266</v>
      </c>
      <c r="BV7" s="2">
        <v>450</v>
      </c>
      <c r="BX7" s="2">
        <v>3</v>
      </c>
    </row>
    <row r="8" spans="1:76" x14ac:dyDescent="0.3">
      <c r="A8" s="2" t="s">
        <v>6</v>
      </c>
      <c r="B8" s="13" t="s">
        <v>691</v>
      </c>
      <c r="C8" s="13"/>
      <c r="F8" s="2">
        <v>3.5</v>
      </c>
      <c r="G8" s="2" t="s">
        <v>454</v>
      </c>
      <c r="H8" s="9" t="s">
        <v>529</v>
      </c>
      <c r="I8" t="s">
        <v>611</v>
      </c>
      <c r="J8"/>
      <c r="K8" s="7"/>
      <c r="L8" s="25">
        <v>8</v>
      </c>
      <c r="M8">
        <v>8</v>
      </c>
      <c r="N8">
        <v>0</v>
      </c>
      <c r="O8" s="2">
        <v>7.7270000000000003</v>
      </c>
      <c r="P8" s="2">
        <v>7.7270000000000003</v>
      </c>
      <c r="Q8" s="2">
        <v>30.175999999999998</v>
      </c>
      <c r="R8" s="2" t="s">
        <v>452</v>
      </c>
      <c r="T8" s="25">
        <v>7.8252249999999997</v>
      </c>
      <c r="U8" s="25">
        <v>7.8345229999999999</v>
      </c>
      <c r="V8" s="25">
        <v>31.031406</v>
      </c>
      <c r="W8">
        <v>30.184999999999999</v>
      </c>
      <c r="X8">
        <v>7.74</v>
      </c>
      <c r="Y8">
        <v>7.7460000000000004</v>
      </c>
      <c r="Z8">
        <v>0</v>
      </c>
      <c r="AC8" s="2">
        <v>3</v>
      </c>
      <c r="AD8">
        <v>20</v>
      </c>
      <c r="AE8" s="55">
        <f t="shared" si="0"/>
        <v>1801.704219104</v>
      </c>
      <c r="AF8" s="57">
        <v>1902.4394671889761</v>
      </c>
      <c r="AG8" s="55">
        <v>1809.7126974</v>
      </c>
      <c r="AH8" s="55">
        <v>0</v>
      </c>
      <c r="AJ8" s="51">
        <v>8.4102544527429435E-2</v>
      </c>
      <c r="AK8" s="52">
        <v>8.8411823727529093E-2</v>
      </c>
      <c r="AM8" s="28">
        <v>1.75</v>
      </c>
      <c r="AN8" s="28">
        <v>2.5</v>
      </c>
      <c r="AO8" s="28">
        <v>0.75</v>
      </c>
      <c r="AP8" s="28">
        <v>0</v>
      </c>
      <c r="AQ8" s="28">
        <v>0.35</v>
      </c>
      <c r="AR8" s="28">
        <v>0.5</v>
      </c>
      <c r="AS8" s="28">
        <v>0.15</v>
      </c>
      <c r="AT8" s="28">
        <v>0</v>
      </c>
      <c r="AU8" s="25">
        <v>0.79</v>
      </c>
      <c r="AV8" s="25">
        <v>3.44</v>
      </c>
      <c r="AW8" s="25">
        <v>2.65</v>
      </c>
      <c r="AX8" s="25">
        <v>2.6243750000000001</v>
      </c>
      <c r="AY8">
        <v>2.6243750000000001</v>
      </c>
      <c r="AZ8">
        <v>5.9519163411696878</v>
      </c>
      <c r="BA8" s="75">
        <v>0.53407279423354193</v>
      </c>
      <c r="BB8" s="75">
        <v>0.5614378257728565</v>
      </c>
      <c r="BE8">
        <v>4.2051272263714717E-2</v>
      </c>
      <c r="BF8">
        <v>4.4205911863764553E-2</v>
      </c>
      <c r="BH8">
        <v>8.6257184127479264E-2</v>
      </c>
      <c r="BI8">
        <v>4.3128592063739632E-2</v>
      </c>
      <c r="BJ8">
        <v>0.54775531000319921</v>
      </c>
      <c r="BK8" s="2" t="s">
        <v>1264</v>
      </c>
      <c r="BL8" s="2">
        <f t="shared" si="1"/>
        <v>1473</v>
      </c>
      <c r="BM8" s="2">
        <v>48</v>
      </c>
      <c r="BU8" s="2" t="s">
        <v>1266</v>
      </c>
      <c r="BV8" s="2">
        <v>450</v>
      </c>
      <c r="BX8" s="2">
        <v>2</v>
      </c>
    </row>
    <row r="9" spans="1:76" x14ac:dyDescent="0.3">
      <c r="A9" s="2" t="s">
        <v>7</v>
      </c>
      <c r="B9" s="13" t="s">
        <v>692</v>
      </c>
      <c r="C9" s="13"/>
      <c r="F9" s="2">
        <v>3.16</v>
      </c>
      <c r="G9" s="2" t="s">
        <v>454</v>
      </c>
      <c r="H9" s="9">
        <v>-1</v>
      </c>
      <c r="I9">
        <v>-1</v>
      </c>
      <c r="J9"/>
      <c r="K9" s="2">
        <v>4</v>
      </c>
      <c r="L9" s="25">
        <v>0</v>
      </c>
      <c r="M9">
        <v>0</v>
      </c>
      <c r="N9">
        <v>0</v>
      </c>
      <c r="O9" s="2">
        <v>7.8310000000000004</v>
      </c>
      <c r="P9" s="2">
        <v>7.8010000000000002</v>
      </c>
      <c r="Q9" s="2">
        <v>15.05</v>
      </c>
      <c r="R9" s="2" t="s">
        <v>1141</v>
      </c>
      <c r="S9" s="2">
        <v>15.05</v>
      </c>
      <c r="T9" s="25">
        <v>0</v>
      </c>
      <c r="U9" s="25"/>
      <c r="V9" s="25"/>
      <c r="W9">
        <v>0</v>
      </c>
      <c r="Z9">
        <v>0</v>
      </c>
      <c r="AC9" s="2">
        <v>3</v>
      </c>
      <c r="AD9">
        <v>20</v>
      </c>
      <c r="AE9" s="55">
        <f t="shared" si="0"/>
        <v>919.39894655000012</v>
      </c>
      <c r="AF9" s="57">
        <f>O9*P9*Q9*SIN(RADIANS(97.44))</f>
        <v>911.65853089860946</v>
      </c>
      <c r="AG9" s="55">
        <v>0</v>
      </c>
      <c r="AH9" s="55">
        <v>0</v>
      </c>
      <c r="AI9" s="52">
        <f>K9*AD9/AE9</f>
        <v>8.7013369223660861E-2</v>
      </c>
      <c r="AJ9" s="51"/>
      <c r="AM9" s="28">
        <v>1.75</v>
      </c>
      <c r="AN9" s="28">
        <v>2.5</v>
      </c>
      <c r="AO9" s="28">
        <v>0.75</v>
      </c>
      <c r="AP9" s="28">
        <v>0</v>
      </c>
      <c r="AQ9" s="28">
        <v>0.35</v>
      </c>
      <c r="AR9" s="28">
        <v>0.5</v>
      </c>
      <c r="AS9" s="28">
        <v>0.15</v>
      </c>
      <c r="AT9" s="28">
        <v>0</v>
      </c>
      <c r="AU9" s="25">
        <v>0.82</v>
      </c>
      <c r="AV9" s="25">
        <v>3.44</v>
      </c>
      <c r="AW9" s="25">
        <v>2.62</v>
      </c>
      <c r="AX9" s="25">
        <v>2.62</v>
      </c>
      <c r="AY9">
        <v>2.62</v>
      </c>
      <c r="AZ9">
        <v>5.9423863675000002</v>
      </c>
      <c r="BD9">
        <v>4.350668461183043E-2</v>
      </c>
      <c r="BE9">
        <v>0</v>
      </c>
      <c r="BH9">
        <v>8.7013369223660861E-2</v>
      </c>
      <c r="BI9">
        <v>2.1753342305915219E-2</v>
      </c>
      <c r="BJ9">
        <v>0</v>
      </c>
      <c r="BK9" s="2" t="s">
        <v>1264</v>
      </c>
      <c r="BL9" s="2">
        <f t="shared" si="1"/>
        <v>1473</v>
      </c>
      <c r="BM9" s="2">
        <v>48</v>
      </c>
      <c r="BU9" s="2" t="s">
        <v>1266</v>
      </c>
      <c r="BV9" s="2">
        <v>450</v>
      </c>
      <c r="BX9" s="2">
        <v>10</v>
      </c>
    </row>
    <row r="10" spans="1:76" x14ac:dyDescent="0.3">
      <c r="A10" s="2" t="s">
        <v>455</v>
      </c>
      <c r="B10" s="13" t="s">
        <v>693</v>
      </c>
      <c r="C10" s="13"/>
      <c r="F10" s="2">
        <v>3.21</v>
      </c>
      <c r="G10" s="2" t="s">
        <v>454</v>
      </c>
      <c r="H10" s="9">
        <v>-1</v>
      </c>
      <c r="I10">
        <v>-1</v>
      </c>
      <c r="J10"/>
      <c r="K10" s="2">
        <v>8</v>
      </c>
      <c r="L10" s="25">
        <v>0</v>
      </c>
      <c r="M10">
        <v>0</v>
      </c>
      <c r="N10">
        <v>0</v>
      </c>
      <c r="O10" s="2">
        <v>7.7489999999999997</v>
      </c>
      <c r="P10" s="2">
        <v>7.7359999999999998</v>
      </c>
      <c r="Q10" s="2">
        <v>37.369999999999997</v>
      </c>
      <c r="R10" s="2" t="s">
        <v>1142</v>
      </c>
      <c r="S10" s="2">
        <f>Q10/2</f>
        <v>18.684999999999999</v>
      </c>
      <c r="T10" s="25">
        <v>0</v>
      </c>
      <c r="U10" s="25"/>
      <c r="V10" s="25"/>
      <c r="W10">
        <v>0</v>
      </c>
      <c r="Z10">
        <v>0</v>
      </c>
      <c r="AC10" s="2">
        <v>4</v>
      </c>
      <c r="AD10">
        <v>26</v>
      </c>
      <c r="AE10" s="55">
        <f t="shared" si="0"/>
        <v>2240.1918856799994</v>
      </c>
      <c r="AF10" s="57">
        <v>2240</v>
      </c>
      <c r="AG10" s="55">
        <v>0</v>
      </c>
      <c r="AH10" s="55">
        <v>0</v>
      </c>
      <c r="AI10" s="52">
        <f>K10*AD10/AE10</f>
        <v>9.2849189093845236E-2</v>
      </c>
      <c r="AJ10" s="51"/>
      <c r="AM10" s="28">
        <v>1.714285714285714</v>
      </c>
      <c r="AN10" s="28">
        <v>2.4761904761904758</v>
      </c>
      <c r="AO10" s="28">
        <v>0.76190476190476186</v>
      </c>
      <c r="AP10" s="28">
        <v>0</v>
      </c>
      <c r="AQ10" s="28">
        <v>0.34615384615384609</v>
      </c>
      <c r="AR10" s="28">
        <v>0.5</v>
      </c>
      <c r="AS10" s="28">
        <v>0.1538461538461538</v>
      </c>
      <c r="AT10" s="28">
        <v>0</v>
      </c>
      <c r="AU10" s="25">
        <v>0.82</v>
      </c>
      <c r="AV10" s="25">
        <v>3.44</v>
      </c>
      <c r="AW10" s="25">
        <v>2.62</v>
      </c>
      <c r="AX10" s="25">
        <v>2.612857142857143</v>
      </c>
      <c r="AY10">
        <v>2.612857142857143</v>
      </c>
      <c r="AZ10">
        <v>5.9413964502380949</v>
      </c>
      <c r="BD10">
        <v>4.6424594546922618E-2</v>
      </c>
      <c r="BE10">
        <v>0</v>
      </c>
      <c r="BH10">
        <v>9.2849189093845236E-2</v>
      </c>
      <c r="BI10">
        <v>2.3212297273461309E-2</v>
      </c>
      <c r="BJ10">
        <v>0</v>
      </c>
      <c r="BX10" s="2">
        <v>5</v>
      </c>
    </row>
    <row r="11" spans="1:76" x14ac:dyDescent="0.3">
      <c r="A11" s="2" t="s">
        <v>8</v>
      </c>
      <c r="B11" s="13" t="s">
        <v>694</v>
      </c>
      <c r="C11" s="13"/>
      <c r="F11" s="2">
        <v>3</v>
      </c>
      <c r="G11" s="2" t="s">
        <v>454</v>
      </c>
      <c r="H11" s="9" t="s">
        <v>530</v>
      </c>
      <c r="I11" t="s">
        <v>612</v>
      </c>
      <c r="J11"/>
      <c r="L11" s="25">
        <v>30</v>
      </c>
      <c r="M11">
        <v>4</v>
      </c>
      <c r="N11">
        <v>0</v>
      </c>
      <c r="T11" s="25">
        <v>10.59112378</v>
      </c>
      <c r="U11" s="25">
        <v>10.784736629999999</v>
      </c>
      <c r="V11" s="25">
        <v>10.486176179999999</v>
      </c>
      <c r="W11">
        <v>3.73</v>
      </c>
      <c r="X11">
        <v>3.73</v>
      </c>
      <c r="Y11">
        <v>9.3699999999999992</v>
      </c>
      <c r="Z11">
        <v>0</v>
      </c>
      <c r="AC11" s="1" t="s">
        <v>459</v>
      </c>
      <c r="AD11">
        <v>4</v>
      </c>
      <c r="AE11" s="55">
        <f t="shared" si="0"/>
        <v>0</v>
      </c>
      <c r="AF11" s="57">
        <v>1182.741260108548</v>
      </c>
      <c r="AG11" s="55">
        <v>130.36387300000001</v>
      </c>
      <c r="AH11" s="55">
        <v>0</v>
      </c>
      <c r="AJ11" s="51">
        <v>0.1014592151701775</v>
      </c>
      <c r="AK11" s="52">
        <v>0.1227333894874388</v>
      </c>
      <c r="AM11" s="28">
        <v>2</v>
      </c>
      <c r="AN11" s="28">
        <v>2.666666666666667</v>
      </c>
      <c r="AO11" s="28">
        <v>0.66666666666666663</v>
      </c>
      <c r="AP11" s="28">
        <v>0</v>
      </c>
      <c r="AQ11" s="28">
        <v>0.375</v>
      </c>
      <c r="AR11" s="28">
        <v>0.5</v>
      </c>
      <c r="AS11" s="28">
        <v>0.125</v>
      </c>
      <c r="AT11" s="28">
        <v>0</v>
      </c>
      <c r="AU11" s="25">
        <v>1.54</v>
      </c>
      <c r="AV11" s="25">
        <v>3.44</v>
      </c>
      <c r="AW11" s="25">
        <v>1.9</v>
      </c>
      <c r="AX11" s="25">
        <v>2.8066666666666671</v>
      </c>
      <c r="AY11">
        <v>2.8066666666666662</v>
      </c>
      <c r="AZ11">
        <v>6.1769976</v>
      </c>
      <c r="BA11" s="75">
        <v>0.46900407026869628</v>
      </c>
      <c r="BB11" s="75">
        <v>0.56734579634715776</v>
      </c>
      <c r="BE11">
        <v>5.072960758508873E-2</v>
      </c>
      <c r="BF11">
        <v>6.136669474371937E-2</v>
      </c>
      <c r="BH11">
        <v>0.1120963023288082</v>
      </c>
      <c r="BI11">
        <v>5.604815116440405E-2</v>
      </c>
      <c r="BJ11">
        <v>0.51817493330792708</v>
      </c>
    </row>
    <row r="12" spans="1:76" x14ac:dyDescent="0.3">
      <c r="A12" s="2" t="s">
        <v>10</v>
      </c>
      <c r="B12" s="13" t="s">
        <v>695</v>
      </c>
      <c r="C12" s="13"/>
      <c r="F12" s="2">
        <v>3.9</v>
      </c>
      <c r="G12" s="2" t="s">
        <v>453</v>
      </c>
      <c r="H12" s="9" t="s">
        <v>531</v>
      </c>
      <c r="I12">
        <v>-1</v>
      </c>
      <c r="J12"/>
      <c r="L12" s="25">
        <v>1</v>
      </c>
      <c r="M12">
        <v>0</v>
      </c>
      <c r="N12">
        <v>0</v>
      </c>
      <c r="O12" s="2">
        <v>3.8849999999999998</v>
      </c>
      <c r="P12" s="2">
        <v>3.8849999999999998</v>
      </c>
      <c r="Q12" s="2">
        <v>11.12</v>
      </c>
      <c r="R12" s="2" t="s">
        <v>439</v>
      </c>
      <c r="T12" s="25">
        <v>3.9103940000000001</v>
      </c>
      <c r="U12" s="25">
        <v>3.9103940000000001</v>
      </c>
      <c r="V12" s="25">
        <v>11.314458</v>
      </c>
      <c r="W12">
        <v>0</v>
      </c>
      <c r="Z12">
        <v>0</v>
      </c>
      <c r="AC12" s="2">
        <v>2</v>
      </c>
      <c r="AD12">
        <v>14</v>
      </c>
      <c r="AE12" s="55">
        <f t="shared" si="0"/>
        <v>167.83666199999996</v>
      </c>
      <c r="AF12" s="57">
        <v>173.0114278564659</v>
      </c>
      <c r="AG12" s="55">
        <v>0</v>
      </c>
      <c r="AH12" s="55">
        <v>0</v>
      </c>
      <c r="AJ12" s="51">
        <v>8.0919510193365449E-2</v>
      </c>
      <c r="AM12" s="28">
        <v>1.9090909090909089</v>
      </c>
      <c r="AN12" s="28">
        <v>2.545454545454545</v>
      </c>
      <c r="AO12" s="28">
        <v>0.63636363636363635</v>
      </c>
      <c r="AP12" s="28">
        <v>2.545454545454545</v>
      </c>
      <c r="AQ12" s="28">
        <v>0.25</v>
      </c>
      <c r="AR12" s="28">
        <v>0.33333333333333331</v>
      </c>
      <c r="AS12" s="28">
        <v>8.3333333333333329E-2</v>
      </c>
      <c r="AT12" s="28">
        <v>0.33333333333333331</v>
      </c>
      <c r="AU12" s="25">
        <v>0.82</v>
      </c>
      <c r="AV12" s="25">
        <v>3.44</v>
      </c>
      <c r="AW12" s="25">
        <v>2.62</v>
      </c>
      <c r="AX12" s="25">
        <v>2.6363636363636358</v>
      </c>
      <c r="AY12">
        <v>2.6363636363636371</v>
      </c>
      <c r="AZ12">
        <v>6.0044088459090901</v>
      </c>
      <c r="BA12" s="75">
        <v>0.5117218936152963</v>
      </c>
      <c r="BE12">
        <v>4.0459755096682717E-2</v>
      </c>
      <c r="BH12">
        <v>8.0919510193365449E-2</v>
      </c>
      <c r="BI12">
        <v>4.0459755096682717E-2</v>
      </c>
      <c r="BJ12">
        <v>0.5117218936152963</v>
      </c>
      <c r="BX12" s="2">
        <v>19.5</v>
      </c>
    </row>
    <row r="13" spans="1:76" x14ac:dyDescent="0.3">
      <c r="A13" s="2" t="s">
        <v>11</v>
      </c>
      <c r="B13" s="13" t="s">
        <v>696</v>
      </c>
      <c r="C13" s="13"/>
      <c r="F13" s="2">
        <v>3.6</v>
      </c>
      <c r="G13" s="2" t="s">
        <v>453</v>
      </c>
      <c r="H13" s="9">
        <v>-1</v>
      </c>
      <c r="I13">
        <v>-1</v>
      </c>
      <c r="J13" s="58" t="s">
        <v>1144</v>
      </c>
      <c r="L13" s="25">
        <v>0</v>
      </c>
      <c r="M13">
        <v>0</v>
      </c>
      <c r="N13">
        <v>1</v>
      </c>
      <c r="T13" s="25">
        <v>0</v>
      </c>
      <c r="U13" s="25"/>
      <c r="V13" s="25"/>
      <c r="W13">
        <v>0</v>
      </c>
      <c r="Z13">
        <v>3.8653</v>
      </c>
      <c r="AA13">
        <v>3.8653</v>
      </c>
      <c r="AB13">
        <v>11.0131</v>
      </c>
      <c r="AC13" s="2">
        <v>2</v>
      </c>
      <c r="AD13">
        <v>14</v>
      </c>
      <c r="AE13" s="55">
        <f t="shared" si="0"/>
        <v>0</v>
      </c>
      <c r="AF13" s="57">
        <v>0</v>
      </c>
      <c r="AG13" s="55">
        <v>0</v>
      </c>
      <c r="AH13" s="55">
        <v>164.541706117579</v>
      </c>
      <c r="AJ13" s="51"/>
      <c r="AL13" s="52">
        <v>8.5084811202795069E-2</v>
      </c>
      <c r="AM13" s="28">
        <v>1.9090909090909089</v>
      </c>
      <c r="AN13" s="28">
        <v>2.545454545454545</v>
      </c>
      <c r="AO13" s="28">
        <v>0.54545454545454541</v>
      </c>
      <c r="AP13" s="28">
        <v>2.8181818181818179</v>
      </c>
      <c r="AQ13" s="28">
        <v>0.2441860465116279</v>
      </c>
      <c r="AR13" s="28">
        <v>0.32558139534883718</v>
      </c>
      <c r="AS13" s="28">
        <v>6.9767441860465115E-2</v>
      </c>
      <c r="AT13" s="28">
        <v>0.3604651162790698</v>
      </c>
      <c r="AU13" s="25">
        <v>0.82</v>
      </c>
      <c r="AV13" s="25">
        <v>3.44</v>
      </c>
      <c r="AW13" s="25">
        <v>2.62</v>
      </c>
      <c r="AX13" s="25">
        <v>2.6390909090909092</v>
      </c>
      <c r="AY13">
        <v>2.6390909090909092</v>
      </c>
      <c r="AZ13">
        <v>5.9791810459090904</v>
      </c>
      <c r="BC13" s="75">
        <v>0.53381265134868672</v>
      </c>
      <c r="BG13">
        <v>4.2542405601397527E-2</v>
      </c>
      <c r="BH13">
        <v>8.5084811202795069E-2</v>
      </c>
      <c r="BI13">
        <v>4.2542405601397527E-2</v>
      </c>
      <c r="BJ13">
        <v>0.53381265134868672</v>
      </c>
      <c r="BX13" s="2">
        <v>18</v>
      </c>
    </row>
    <row r="14" spans="1:76" x14ac:dyDescent="0.3">
      <c r="A14" s="2" t="s">
        <v>12</v>
      </c>
      <c r="B14" s="13" t="s">
        <v>697</v>
      </c>
      <c r="C14" s="13"/>
      <c r="F14" s="2">
        <v>4.2</v>
      </c>
      <c r="G14" s="2" t="s">
        <v>453</v>
      </c>
      <c r="H14" s="9">
        <v>-1</v>
      </c>
      <c r="I14">
        <v>-1</v>
      </c>
      <c r="J14" s="9" t="s">
        <v>1145</v>
      </c>
      <c r="L14" s="25">
        <v>0</v>
      </c>
      <c r="M14">
        <v>0</v>
      </c>
      <c r="N14">
        <v>1</v>
      </c>
      <c r="T14" s="25">
        <v>0</v>
      </c>
      <c r="U14" s="25"/>
      <c r="V14" s="25"/>
      <c r="W14">
        <v>0</v>
      </c>
      <c r="Z14">
        <v>3.8445</v>
      </c>
      <c r="AA14">
        <v>3.8445</v>
      </c>
      <c r="AB14">
        <v>11.03</v>
      </c>
      <c r="AC14" s="2">
        <v>2</v>
      </c>
      <c r="AD14">
        <v>14</v>
      </c>
      <c r="AE14" s="55">
        <f t="shared" si="0"/>
        <v>0</v>
      </c>
      <c r="AF14" s="57">
        <v>0</v>
      </c>
      <c r="AG14" s="55">
        <v>0</v>
      </c>
      <c r="AH14" s="55">
        <v>163.0253881575</v>
      </c>
      <c r="AJ14" s="51"/>
      <c r="AL14" s="52">
        <v>8.5876194856683907E-2</v>
      </c>
      <c r="AM14" s="28">
        <v>1.9090909090909089</v>
      </c>
      <c r="AN14" s="28">
        <v>2.545454545454545</v>
      </c>
      <c r="AO14" s="28">
        <v>0.54545454545454541</v>
      </c>
      <c r="AP14" s="28">
        <v>2.9090909090909092</v>
      </c>
      <c r="AQ14" s="28">
        <v>0.2413793103448276</v>
      </c>
      <c r="AR14" s="28">
        <v>0.32183908045977011</v>
      </c>
      <c r="AS14" s="28">
        <v>6.8965517241379309E-2</v>
      </c>
      <c r="AT14" s="28">
        <v>0.36781609195402298</v>
      </c>
      <c r="AU14" s="25">
        <v>0.82</v>
      </c>
      <c r="AV14" s="25">
        <v>3.44</v>
      </c>
      <c r="AW14" s="25">
        <v>2.62</v>
      </c>
      <c r="AX14" s="25">
        <v>2.64</v>
      </c>
      <c r="AY14">
        <v>2.64</v>
      </c>
      <c r="AZ14">
        <v>5.9811382595454541</v>
      </c>
      <c r="BC14" s="75">
        <v>0.53809297903977493</v>
      </c>
      <c r="BG14">
        <v>4.2938097428341947E-2</v>
      </c>
      <c r="BH14">
        <v>8.5876194856683907E-2</v>
      </c>
      <c r="BI14">
        <v>4.2938097428341947E-2</v>
      </c>
      <c r="BJ14">
        <v>0.53809297903977493</v>
      </c>
      <c r="BX14" s="2">
        <v>21</v>
      </c>
    </row>
    <row r="15" spans="1:76" x14ac:dyDescent="0.3">
      <c r="A15" s="2" t="s">
        <v>13</v>
      </c>
      <c r="B15" s="13" t="s">
        <v>698</v>
      </c>
      <c r="C15" s="13"/>
      <c r="F15" s="2">
        <v>4.2</v>
      </c>
      <c r="G15" s="2" t="s">
        <v>453</v>
      </c>
      <c r="H15" s="9">
        <v>-1</v>
      </c>
      <c r="I15">
        <v>-1</v>
      </c>
      <c r="J15" t="s">
        <v>1147</v>
      </c>
      <c r="L15" s="25">
        <v>0</v>
      </c>
      <c r="M15">
        <v>0</v>
      </c>
      <c r="N15">
        <v>1</v>
      </c>
      <c r="P15"/>
      <c r="T15" s="25">
        <v>0</v>
      </c>
      <c r="U15" s="25"/>
      <c r="V15" s="25"/>
      <c r="W15">
        <v>0</v>
      </c>
      <c r="Z15">
        <v>3.8252000000000002</v>
      </c>
      <c r="AA15">
        <v>3.8252000000000002</v>
      </c>
      <c r="AB15">
        <v>11.013500000000001</v>
      </c>
      <c r="AC15" s="2">
        <v>2</v>
      </c>
      <c r="AD15">
        <v>14</v>
      </c>
      <c r="AE15" s="55">
        <f t="shared" si="0"/>
        <v>0</v>
      </c>
      <c r="AF15" s="57">
        <v>0</v>
      </c>
      <c r="AG15" s="55">
        <v>0</v>
      </c>
      <c r="AH15" s="55">
        <v>161.15123953304001</v>
      </c>
      <c r="AJ15" s="51"/>
      <c r="AL15" s="52">
        <v>8.6874913531953646E-2</v>
      </c>
      <c r="AM15" s="28">
        <v>1.9090909090909089</v>
      </c>
      <c r="AN15" s="28">
        <v>2.545454545454545</v>
      </c>
      <c r="AO15" s="28">
        <v>0.54545454545454541</v>
      </c>
      <c r="AP15" s="28">
        <v>3.0909090909090908</v>
      </c>
      <c r="AQ15" s="28">
        <v>0.2359550561797753</v>
      </c>
      <c r="AR15" s="28">
        <v>0.3146067415730337</v>
      </c>
      <c r="AS15" s="28">
        <v>6.7415730337078636E-2</v>
      </c>
      <c r="AT15" s="28">
        <v>0.38202247191011229</v>
      </c>
      <c r="AU15" s="25">
        <v>0.82</v>
      </c>
      <c r="AV15" s="25">
        <v>3.44</v>
      </c>
      <c r="AW15" s="25">
        <v>2.62</v>
      </c>
      <c r="AX15" s="25">
        <v>2.642727272727273</v>
      </c>
      <c r="AY15">
        <v>2.642727272727273</v>
      </c>
      <c r="AZ15">
        <v>5.9894662913636356</v>
      </c>
      <c r="BC15" s="75">
        <v>0.54194665977883461</v>
      </c>
      <c r="BG15">
        <v>4.3437456765976823E-2</v>
      </c>
      <c r="BH15">
        <v>8.6874913531953646E-2</v>
      </c>
      <c r="BI15">
        <v>4.3437456765976823E-2</v>
      </c>
      <c r="BJ15">
        <v>0.54194665977883461</v>
      </c>
      <c r="BX15" s="2">
        <v>21</v>
      </c>
    </row>
    <row r="16" spans="1:76" x14ac:dyDescent="0.3">
      <c r="A16" s="2" t="s">
        <v>14</v>
      </c>
      <c r="B16" s="13" t="s">
        <v>699</v>
      </c>
      <c r="C16" s="13"/>
      <c r="F16" s="2">
        <v>4</v>
      </c>
      <c r="G16" s="2" t="s">
        <v>9</v>
      </c>
      <c r="H16" s="58" t="s">
        <v>532</v>
      </c>
      <c r="I16" t="s">
        <v>613</v>
      </c>
      <c r="J16"/>
      <c r="L16" s="25">
        <v>4</v>
      </c>
      <c r="M16">
        <v>4</v>
      </c>
      <c r="N16">
        <v>0</v>
      </c>
      <c r="T16" s="25">
        <v>7.8568680000000004</v>
      </c>
      <c r="U16" s="25">
        <v>7.8568680000000004</v>
      </c>
      <c r="V16" s="25">
        <v>7.8568680000000004</v>
      </c>
      <c r="W16">
        <v>7.78</v>
      </c>
      <c r="X16">
        <v>7.78</v>
      </c>
      <c r="Y16">
        <v>7.78</v>
      </c>
      <c r="Z16">
        <v>0</v>
      </c>
      <c r="AD16">
        <v>12</v>
      </c>
      <c r="AE16" s="55">
        <f t="shared" si="0"/>
        <v>0</v>
      </c>
      <c r="AF16" s="57">
        <v>485.00740615389492</v>
      </c>
      <c r="AG16" s="55">
        <v>470.91095200000012</v>
      </c>
      <c r="AH16" s="55">
        <v>0</v>
      </c>
      <c r="AJ16" s="51">
        <v>9.896756088868755E-2</v>
      </c>
      <c r="AK16" s="52">
        <v>0.1019300990901566</v>
      </c>
      <c r="AM16" s="28">
        <v>2</v>
      </c>
      <c r="AN16" s="28">
        <v>2.666666666666667</v>
      </c>
      <c r="AO16" s="28">
        <v>0.66666666666666663</v>
      </c>
      <c r="AP16" s="28">
        <v>3.1111111111111112</v>
      </c>
      <c r="AQ16" s="28">
        <v>0.23684210526315791</v>
      </c>
      <c r="AR16" s="28">
        <v>0.31578947368421051</v>
      </c>
      <c r="AS16" s="28">
        <v>7.8947368421052627E-2</v>
      </c>
      <c r="AT16" s="28">
        <v>0.36842105263157893</v>
      </c>
      <c r="AU16" s="25">
        <v>1</v>
      </c>
      <c r="AV16" s="25">
        <v>3.44</v>
      </c>
      <c r="AW16" s="25">
        <v>2.44</v>
      </c>
      <c r="AX16" s="25">
        <v>2.7377777777777781</v>
      </c>
      <c r="AY16">
        <v>2.7377777777777781</v>
      </c>
      <c r="AZ16">
        <v>6.2421139038888889</v>
      </c>
      <c r="BA16" s="75">
        <v>0.49860192759728061</v>
      </c>
      <c r="BB16" s="75">
        <v>0.51352729551146459</v>
      </c>
      <c r="BE16">
        <v>4.9483780444343768E-2</v>
      </c>
      <c r="BF16">
        <v>5.0965049545078307E-2</v>
      </c>
      <c r="BH16">
        <v>0.1004488299894221</v>
      </c>
      <c r="BI16">
        <v>5.0224414994711038E-2</v>
      </c>
      <c r="BJ16">
        <v>0.50606461155437255</v>
      </c>
    </row>
    <row r="17" spans="1:76" x14ac:dyDescent="0.3">
      <c r="A17" s="2" t="s">
        <v>15</v>
      </c>
      <c r="B17" s="13" t="s">
        <v>700</v>
      </c>
      <c r="C17" s="13"/>
      <c r="F17" s="2">
        <v>4.4000000000000004</v>
      </c>
      <c r="G17" s="2" t="s">
        <v>9</v>
      </c>
      <c r="H17" s="9" t="s">
        <v>533</v>
      </c>
      <c r="I17" t="s">
        <v>614</v>
      </c>
      <c r="J17"/>
      <c r="L17" s="25">
        <v>4</v>
      </c>
      <c r="M17">
        <v>4</v>
      </c>
      <c r="N17">
        <v>0</v>
      </c>
      <c r="T17" s="25">
        <v>5.63450966</v>
      </c>
      <c r="U17" s="25">
        <v>7.6422105</v>
      </c>
      <c r="V17" s="25">
        <v>11.066420430000001</v>
      </c>
      <c r="W17">
        <v>11.013</v>
      </c>
      <c r="X17">
        <v>7.6319999999999997</v>
      </c>
      <c r="Y17">
        <v>5.6210000000000004</v>
      </c>
      <c r="Z17">
        <v>0</v>
      </c>
      <c r="AD17">
        <v>12</v>
      </c>
      <c r="AE17" s="55">
        <f t="shared" si="0"/>
        <v>0</v>
      </c>
      <c r="AF17" s="57">
        <v>476.5212686940929</v>
      </c>
      <c r="AG17" s="55">
        <v>472.45188513599999</v>
      </c>
      <c r="AH17" s="55">
        <v>0</v>
      </c>
      <c r="AJ17" s="51">
        <v>0.1007300264509579</v>
      </c>
      <c r="AK17" s="52">
        <v>0.1015976473163669</v>
      </c>
      <c r="AM17" s="28">
        <v>2</v>
      </c>
      <c r="AN17" s="28">
        <v>2.666666666666667</v>
      </c>
      <c r="AO17" s="28">
        <v>0.66666666666666663</v>
      </c>
      <c r="AP17" s="28">
        <v>3.1111111111111112</v>
      </c>
      <c r="AQ17" s="28">
        <v>0.23684210526315791</v>
      </c>
      <c r="AR17" s="28">
        <v>0.31578947368421051</v>
      </c>
      <c r="AS17" s="28">
        <v>7.8947368421052627E-2</v>
      </c>
      <c r="AT17" s="28">
        <v>0.36842105263157893</v>
      </c>
      <c r="AU17" s="25">
        <v>0.95</v>
      </c>
      <c r="AV17" s="25">
        <v>3.44</v>
      </c>
      <c r="AW17" s="25">
        <v>2.4900000000000002</v>
      </c>
      <c r="AX17" s="25">
        <v>2.7322222222222221</v>
      </c>
      <c r="AY17">
        <v>2.7322222222222221</v>
      </c>
      <c r="AZ17">
        <v>6.2204042916666662</v>
      </c>
      <c r="BA17" s="75">
        <v>0.5362582325986015</v>
      </c>
      <c r="BB17" s="75">
        <v>0.54087720122437066</v>
      </c>
      <c r="BE17">
        <v>5.0365013225478962E-2</v>
      </c>
      <c r="BF17">
        <v>5.0798823658183438E-2</v>
      </c>
      <c r="BH17">
        <v>0.1011638368836624</v>
      </c>
      <c r="BI17">
        <v>5.05819184418312E-2</v>
      </c>
      <c r="BJ17">
        <v>0.53856771691148608</v>
      </c>
    </row>
    <row r="18" spans="1:76" x14ac:dyDescent="0.3">
      <c r="A18" s="2" t="s">
        <v>16</v>
      </c>
      <c r="B18" s="13" t="s">
        <v>701</v>
      </c>
      <c r="C18" s="13"/>
      <c r="F18" s="2">
        <v>4.0999999999999996</v>
      </c>
      <c r="G18" s="2" t="s">
        <v>9</v>
      </c>
      <c r="H18" s="9" t="s">
        <v>534</v>
      </c>
      <c r="I18" t="s">
        <v>615</v>
      </c>
      <c r="J18"/>
      <c r="L18" s="25">
        <v>6</v>
      </c>
      <c r="M18">
        <v>12</v>
      </c>
      <c r="N18">
        <v>0</v>
      </c>
      <c r="T18" s="25">
        <v>9.2906580000000005</v>
      </c>
      <c r="U18" s="25">
        <v>9.8537374799999977</v>
      </c>
      <c r="V18" s="25">
        <v>14.19785074</v>
      </c>
      <c r="W18">
        <v>21.14</v>
      </c>
      <c r="X18">
        <v>21.14</v>
      </c>
      <c r="Y18">
        <v>3.9169999999999998</v>
      </c>
      <c r="Z18">
        <v>0</v>
      </c>
      <c r="AD18">
        <v>12</v>
      </c>
      <c r="AE18" s="55">
        <f t="shared" si="0"/>
        <v>0</v>
      </c>
      <c r="AF18" s="57">
        <v>1160.7096237378021</v>
      </c>
      <c r="AG18" s="55">
        <v>1515.9824344215051</v>
      </c>
      <c r="AH18" s="55">
        <v>0</v>
      </c>
      <c r="AJ18" s="51">
        <v>6.2031018376620617E-2</v>
      </c>
      <c r="AK18" s="52">
        <v>9.4987907993109438E-2</v>
      </c>
      <c r="AM18" s="28">
        <v>2</v>
      </c>
      <c r="AN18" s="28">
        <v>2.666666666666667</v>
      </c>
      <c r="AO18" s="28">
        <v>0.66666666666666663</v>
      </c>
      <c r="AP18" s="28">
        <v>3.1111111111111112</v>
      </c>
      <c r="AQ18" s="28">
        <v>0.23684210526315791</v>
      </c>
      <c r="AR18" s="28">
        <v>0.31578947368421051</v>
      </c>
      <c r="AS18" s="28">
        <v>7.8947368421052627E-2</v>
      </c>
      <c r="AT18" s="28">
        <v>0.36842105263157893</v>
      </c>
      <c r="AU18" s="25">
        <v>0.89</v>
      </c>
      <c r="AV18" s="25">
        <v>3.44</v>
      </c>
      <c r="AW18" s="25">
        <v>2.5499999999999998</v>
      </c>
      <c r="AX18" s="25">
        <v>2.7255555555555562</v>
      </c>
      <c r="AY18">
        <v>2.7255555555555548</v>
      </c>
      <c r="AZ18">
        <v>6.1987019111111108</v>
      </c>
      <c r="BA18" s="75">
        <v>0.35206135737794247</v>
      </c>
      <c r="BB18" s="75">
        <v>0.53911047565759851</v>
      </c>
      <c r="BE18">
        <v>3.1015509188310308E-2</v>
      </c>
      <c r="BF18">
        <v>4.7493953996554719E-2</v>
      </c>
      <c r="BH18">
        <v>7.8509463184865028E-2</v>
      </c>
      <c r="BI18">
        <v>3.9254731592432507E-2</v>
      </c>
      <c r="BJ18">
        <v>0.44558591651777052</v>
      </c>
    </row>
    <row r="19" spans="1:76" x14ac:dyDescent="0.3">
      <c r="A19" s="2" t="s">
        <v>17</v>
      </c>
      <c r="B19" s="13" t="s">
        <v>702</v>
      </c>
      <c r="C19" s="13"/>
      <c r="F19" s="2">
        <v>3.67</v>
      </c>
      <c r="G19" s="2" t="s">
        <v>117</v>
      </c>
      <c r="H19" s="9" t="s">
        <v>535</v>
      </c>
      <c r="I19" t="s">
        <v>616</v>
      </c>
      <c r="J19"/>
      <c r="L19" s="25">
        <v>1</v>
      </c>
      <c r="M19">
        <v>4</v>
      </c>
      <c r="N19">
        <v>0</v>
      </c>
      <c r="O19" s="2">
        <v>5.4669999999999996</v>
      </c>
      <c r="P19" s="2">
        <v>5.4269999999999996</v>
      </c>
      <c r="Q19" s="2">
        <v>24.931000000000001</v>
      </c>
      <c r="R19" s="2" t="s">
        <v>450</v>
      </c>
      <c r="T19" s="25">
        <v>13.46934785</v>
      </c>
      <c r="U19" s="25">
        <v>13.46934785</v>
      </c>
      <c r="V19" s="25">
        <v>13.46934785</v>
      </c>
      <c r="W19">
        <v>5.4659000000000004</v>
      </c>
      <c r="X19">
        <v>5.4318</v>
      </c>
      <c r="Y19">
        <v>24.9619</v>
      </c>
      <c r="Z19">
        <v>0</v>
      </c>
      <c r="AC19" s="2">
        <v>2</v>
      </c>
      <c r="AD19">
        <v>18</v>
      </c>
      <c r="AE19" s="55">
        <f t="shared" si="0"/>
        <v>739.68803577899985</v>
      </c>
      <c r="AF19" s="57">
        <v>189.22149105491849</v>
      </c>
      <c r="AG19" s="55">
        <v>741.11071385887806</v>
      </c>
      <c r="AH19" s="55">
        <v>0</v>
      </c>
      <c r="AJ19" s="51">
        <v>9.5126615373598261E-2</v>
      </c>
      <c r="AK19" s="52">
        <v>9.7151476363233638E-2</v>
      </c>
      <c r="AM19" s="28">
        <v>2</v>
      </c>
      <c r="AN19" s="28">
        <v>3</v>
      </c>
      <c r="AO19" s="28">
        <v>1.857142857142857</v>
      </c>
      <c r="AP19" s="28">
        <v>4</v>
      </c>
      <c r="AQ19" s="28">
        <v>0.18421052631578949</v>
      </c>
      <c r="AR19" s="28">
        <v>0.27631578947368418</v>
      </c>
      <c r="AS19" s="28">
        <v>0.1710526315789474</v>
      </c>
      <c r="AT19" s="28">
        <v>0.36842105263157893</v>
      </c>
      <c r="AU19" s="25">
        <v>1</v>
      </c>
      <c r="AV19" s="25">
        <v>3.44</v>
      </c>
      <c r="AW19" s="25">
        <v>2.44</v>
      </c>
      <c r="AX19" s="25">
        <v>2.785714285714286</v>
      </c>
      <c r="AY19">
        <v>2.785714285714286</v>
      </c>
      <c r="AZ19">
        <v>6.216117408214286</v>
      </c>
      <c r="BA19" s="75">
        <v>0.52325723799350143</v>
      </c>
      <c r="BE19">
        <v>4.7563307686799138E-2</v>
      </c>
      <c r="BF19">
        <v>4.8575738181616819E-2</v>
      </c>
      <c r="BH19">
        <v>9.6139045868415957E-2</v>
      </c>
      <c r="BI19">
        <v>4.8069522934207978E-2</v>
      </c>
      <c r="BJ19">
        <v>0.52325723799350143</v>
      </c>
      <c r="BP19" s="2">
        <v>1.96</v>
      </c>
      <c r="BX19" s="2">
        <v>1500</v>
      </c>
    </row>
    <row r="20" spans="1:76" x14ac:dyDescent="0.3">
      <c r="A20" s="2" t="s">
        <v>51</v>
      </c>
      <c r="B20" s="13" t="s">
        <v>703</v>
      </c>
      <c r="C20" s="13"/>
      <c r="F20" s="2">
        <v>3.64</v>
      </c>
      <c r="G20" s="2" t="s">
        <v>117</v>
      </c>
      <c r="H20" s="9" t="s">
        <v>536</v>
      </c>
      <c r="I20" t="s">
        <v>617</v>
      </c>
      <c r="J20"/>
      <c r="L20" s="25">
        <v>1</v>
      </c>
      <c r="M20">
        <v>4</v>
      </c>
      <c r="N20">
        <v>0</v>
      </c>
      <c r="O20" s="2">
        <v>5.4729999999999999</v>
      </c>
      <c r="P20" s="2">
        <v>5.5269999999999992</v>
      </c>
      <c r="Q20" s="2">
        <v>25.030999999999999</v>
      </c>
      <c r="R20" s="2" t="s">
        <v>450</v>
      </c>
      <c r="T20" s="25">
        <v>12.88926011</v>
      </c>
      <c r="U20" s="25">
        <v>12.88926011</v>
      </c>
      <c r="V20" s="25">
        <v>12.88926011</v>
      </c>
      <c r="W20">
        <v>5.5223699999999996</v>
      </c>
      <c r="X20">
        <v>5.5240799999999997</v>
      </c>
      <c r="Y20">
        <v>25.026399999999999</v>
      </c>
      <c r="Z20">
        <v>0</v>
      </c>
      <c r="AC20" s="2">
        <v>2</v>
      </c>
      <c r="AD20">
        <v>18</v>
      </c>
      <c r="AE20" s="55">
        <f t="shared" si="0"/>
        <v>757.16950240099993</v>
      </c>
      <c r="AF20" s="57">
        <v>195.03203980213701</v>
      </c>
      <c r="AG20" s="55">
        <v>763.45570050087724</v>
      </c>
      <c r="AH20" s="55">
        <v>0</v>
      </c>
      <c r="AJ20" s="51">
        <v>9.2292528029042184E-2</v>
      </c>
      <c r="AK20" s="52">
        <v>9.4308025930991482E-2</v>
      </c>
      <c r="AM20" s="28">
        <v>2</v>
      </c>
      <c r="AN20" s="28">
        <v>3</v>
      </c>
      <c r="AO20" s="28">
        <v>1.857142857142857</v>
      </c>
      <c r="AP20" s="28">
        <v>4</v>
      </c>
      <c r="AQ20" s="28">
        <v>0.18421052631578949</v>
      </c>
      <c r="AR20" s="28">
        <v>0.27631578947368418</v>
      </c>
      <c r="AS20" s="28">
        <v>0.1710526315789474</v>
      </c>
      <c r="AT20" s="28">
        <v>0.36842105263157893</v>
      </c>
      <c r="AU20" s="25">
        <v>0.95</v>
      </c>
      <c r="AV20" s="25">
        <v>3.44</v>
      </c>
      <c r="AW20" s="25">
        <v>2.4900000000000002</v>
      </c>
      <c r="AX20" s="25">
        <v>2.782142857142857</v>
      </c>
      <c r="AY20">
        <v>2.7821428571428579</v>
      </c>
      <c r="AZ20">
        <v>6.2021612289285706</v>
      </c>
      <c r="BA20" s="75">
        <v>0.52524560229640982</v>
      </c>
      <c r="BB20" s="75">
        <v>0.53671599358424449</v>
      </c>
      <c r="BE20">
        <v>4.6146264014521092E-2</v>
      </c>
      <c r="BF20">
        <v>4.7154012965495741E-2</v>
      </c>
      <c r="BH20">
        <v>9.3300276980016833E-2</v>
      </c>
      <c r="BI20">
        <v>4.6650138490008423E-2</v>
      </c>
      <c r="BJ20">
        <v>0.53098079794032715</v>
      </c>
      <c r="BP20" s="2">
        <v>2.36</v>
      </c>
      <c r="BX20" s="2">
        <v>11299.999999999998</v>
      </c>
    </row>
    <row r="21" spans="1:76" x14ac:dyDescent="0.3">
      <c r="A21" s="2" t="s">
        <v>18</v>
      </c>
      <c r="B21" s="13" t="s">
        <v>704</v>
      </c>
      <c r="C21" s="13"/>
      <c r="F21" s="2">
        <v>3.52</v>
      </c>
      <c r="G21" s="2" t="s">
        <v>117</v>
      </c>
      <c r="H21" s="9" t="s">
        <v>537</v>
      </c>
      <c r="I21" t="s">
        <v>618</v>
      </c>
      <c r="J21"/>
      <c r="L21" s="25">
        <v>1</v>
      </c>
      <c r="M21">
        <v>1</v>
      </c>
      <c r="N21">
        <v>0</v>
      </c>
      <c r="O21" s="2">
        <v>3.9539999999999997</v>
      </c>
      <c r="P21" s="2">
        <v>3.9539999999999997</v>
      </c>
      <c r="Q21" s="2">
        <v>25.487000000000002</v>
      </c>
      <c r="R21" s="2" t="s">
        <v>440</v>
      </c>
      <c r="T21" s="25">
        <v>12.939761450000001</v>
      </c>
      <c r="U21" s="25">
        <v>12.939761450000001</v>
      </c>
      <c r="V21" s="25">
        <v>12.939761450000001</v>
      </c>
      <c r="W21">
        <v>3.9355000000000002</v>
      </c>
      <c r="X21">
        <v>3.9355000000000002</v>
      </c>
      <c r="Y21">
        <v>25.5686</v>
      </c>
      <c r="Z21">
        <v>0</v>
      </c>
      <c r="AC21" s="2">
        <v>2</v>
      </c>
      <c r="AD21">
        <v>18</v>
      </c>
      <c r="AE21" s="55">
        <f t="shared" si="0"/>
        <v>398.46671449199999</v>
      </c>
      <c r="AF21" s="57">
        <v>198.96095988642259</v>
      </c>
      <c r="AG21" s="55">
        <v>396.01057416815007</v>
      </c>
      <c r="AH21" s="55">
        <v>0</v>
      </c>
      <c r="AJ21" s="51">
        <v>9.047000984653146E-2</v>
      </c>
      <c r="AK21" s="52">
        <v>4.5453331739462637E-2</v>
      </c>
      <c r="AM21" s="28">
        <v>2</v>
      </c>
      <c r="AN21" s="28">
        <v>3</v>
      </c>
      <c r="AO21" s="28">
        <v>1.857142857142857</v>
      </c>
      <c r="AP21" s="28">
        <v>4</v>
      </c>
      <c r="AQ21" s="28">
        <v>0.18421052631578949</v>
      </c>
      <c r="AR21" s="28">
        <v>0.27631578947368418</v>
      </c>
      <c r="AS21" s="28">
        <v>0.1710526315789474</v>
      </c>
      <c r="AT21" s="28">
        <v>0.36842105263157893</v>
      </c>
      <c r="AU21" s="25">
        <v>0.89</v>
      </c>
      <c r="AV21" s="25">
        <v>3.44</v>
      </c>
      <c r="AW21" s="25">
        <v>2.5499999999999998</v>
      </c>
      <c r="AX21" s="25">
        <v>2.777857142857143</v>
      </c>
      <c r="AY21">
        <v>2.777857142857143</v>
      </c>
      <c r="AZ21">
        <v>6.1882096985714297</v>
      </c>
      <c r="BA21" s="75">
        <v>0.53609483093200738</v>
      </c>
      <c r="BE21">
        <v>4.5235004923265723E-2</v>
      </c>
      <c r="BF21">
        <v>2.2726665869731318E-2</v>
      </c>
      <c r="BH21">
        <v>6.7961670792997045E-2</v>
      </c>
      <c r="BI21">
        <v>3.3980835396498522E-2</v>
      </c>
      <c r="BJ21">
        <v>0.53609483093200738</v>
      </c>
      <c r="BP21" s="2">
        <v>2.1800000000000002</v>
      </c>
      <c r="BX21" s="2">
        <v>550</v>
      </c>
    </row>
    <row r="22" spans="1:76" x14ac:dyDescent="0.3">
      <c r="A22" s="2" t="s">
        <v>19</v>
      </c>
      <c r="B22" s="13" t="s">
        <v>705</v>
      </c>
      <c r="C22" s="13"/>
      <c r="F22" s="2">
        <v>3.46</v>
      </c>
      <c r="G22" s="2" t="s">
        <v>435</v>
      </c>
      <c r="H22" s="9" t="s">
        <v>538</v>
      </c>
      <c r="I22">
        <v>-1</v>
      </c>
      <c r="J22"/>
      <c r="L22" s="25">
        <v>1</v>
      </c>
      <c r="M22">
        <v>0</v>
      </c>
      <c r="N22">
        <v>0</v>
      </c>
      <c r="O22" s="2" t="s">
        <v>464</v>
      </c>
      <c r="P22" s="2" t="s">
        <v>464</v>
      </c>
      <c r="Q22" s="2" t="s">
        <v>464</v>
      </c>
      <c r="R22" s="2" t="s">
        <v>450</v>
      </c>
      <c r="T22" s="25">
        <v>13.83861243</v>
      </c>
      <c r="U22" s="25">
        <v>13.83861243</v>
      </c>
      <c r="V22" s="25">
        <v>13.83861243</v>
      </c>
      <c r="W22">
        <v>0</v>
      </c>
      <c r="Z22">
        <v>0</v>
      </c>
      <c r="AC22" s="2">
        <v>2</v>
      </c>
      <c r="AD22">
        <v>18</v>
      </c>
      <c r="AE22" s="55" t="e">
        <f t="shared" si="0"/>
        <v>#VALUE!</v>
      </c>
      <c r="AF22" s="57">
        <v>208.2630581553295</v>
      </c>
      <c r="AG22" s="55">
        <v>0</v>
      </c>
      <c r="AH22" s="55">
        <v>0</v>
      </c>
      <c r="AJ22" s="51">
        <v>8.6429154356194082E-2</v>
      </c>
      <c r="AM22" s="28">
        <v>1.857142857142857</v>
      </c>
      <c r="AN22" s="28">
        <v>3</v>
      </c>
      <c r="AO22" s="28">
        <v>2</v>
      </c>
      <c r="AP22" s="28">
        <v>2</v>
      </c>
      <c r="AQ22" s="28">
        <v>0.20967741935483869</v>
      </c>
      <c r="AR22" s="28">
        <v>0.33870967741935482</v>
      </c>
      <c r="AS22" s="28">
        <v>0.22580645161290319</v>
      </c>
      <c r="AT22" s="28">
        <v>0.22580645161290319</v>
      </c>
      <c r="AU22" s="25">
        <v>1</v>
      </c>
      <c r="AV22" s="25">
        <v>3.44</v>
      </c>
      <c r="AW22" s="25">
        <v>2.44</v>
      </c>
      <c r="AX22" s="25">
        <v>2.8</v>
      </c>
      <c r="AY22">
        <v>2.8</v>
      </c>
      <c r="AZ22">
        <v>6.2020864082142868</v>
      </c>
      <c r="BA22" s="75">
        <v>0.47541563854575991</v>
      </c>
      <c r="BE22">
        <v>4.3214577178097048E-2</v>
      </c>
      <c r="BH22">
        <v>8.6429154356194082E-2</v>
      </c>
      <c r="BI22">
        <v>4.3214577178097048E-2</v>
      </c>
      <c r="BJ22">
        <v>0.47541563854575991</v>
      </c>
      <c r="BX22" s="2">
        <v>580</v>
      </c>
    </row>
    <row r="23" spans="1:76" x14ac:dyDescent="0.3">
      <c r="A23" s="2" t="s">
        <v>20</v>
      </c>
      <c r="B23" s="13" t="s">
        <v>706</v>
      </c>
      <c r="C23" s="13"/>
      <c r="F23" s="2">
        <v>3.43</v>
      </c>
      <c r="G23" s="2" t="s">
        <v>435</v>
      </c>
      <c r="H23" s="9" t="s">
        <v>539</v>
      </c>
      <c r="I23" t="s">
        <v>619</v>
      </c>
      <c r="J23"/>
      <c r="L23" s="25">
        <v>2</v>
      </c>
      <c r="M23">
        <v>4</v>
      </c>
      <c r="N23">
        <v>0</v>
      </c>
      <c r="O23" s="2" t="s">
        <v>464</v>
      </c>
      <c r="P23" s="2" t="s">
        <v>464</v>
      </c>
      <c r="Q23" s="2" t="s">
        <v>464</v>
      </c>
      <c r="R23" s="2" t="s">
        <v>450</v>
      </c>
      <c r="T23" s="25">
        <v>13.01244535</v>
      </c>
      <c r="U23" s="25">
        <v>13.01244535</v>
      </c>
      <c r="V23" s="25">
        <v>5.6884839999999999</v>
      </c>
      <c r="W23">
        <v>5.5060000000000002</v>
      </c>
      <c r="X23">
        <v>5.5060000000000002</v>
      </c>
      <c r="Y23">
        <v>25</v>
      </c>
      <c r="Z23">
        <v>0</v>
      </c>
      <c r="AC23" s="2">
        <v>2</v>
      </c>
      <c r="AD23">
        <v>18</v>
      </c>
      <c r="AE23" s="55" t="e">
        <f t="shared" si="0"/>
        <v>#VALUE!</v>
      </c>
      <c r="AF23" s="57">
        <v>408.08048566890238</v>
      </c>
      <c r="AG23" s="55">
        <v>757.90090000000009</v>
      </c>
      <c r="AH23" s="55">
        <v>0</v>
      </c>
      <c r="AJ23" s="51">
        <v>8.8217891480379992E-2</v>
      </c>
      <c r="AK23" s="52">
        <v>9.4999227471559922E-2</v>
      </c>
      <c r="AM23" s="28">
        <v>1.857142857142857</v>
      </c>
      <c r="AN23" s="28">
        <v>3</v>
      </c>
      <c r="AO23" s="28">
        <v>2</v>
      </c>
      <c r="AP23" s="28">
        <v>2</v>
      </c>
      <c r="AQ23" s="28">
        <v>0.20967741935483869</v>
      </c>
      <c r="AR23" s="28">
        <v>0.33870967741935482</v>
      </c>
      <c r="AS23" s="28">
        <v>0.22580645161290319</v>
      </c>
      <c r="AT23" s="28">
        <v>0.22580645161290319</v>
      </c>
      <c r="AU23" s="25">
        <v>0.95</v>
      </c>
      <c r="AV23" s="25">
        <v>3.44</v>
      </c>
      <c r="AW23" s="25">
        <v>2.4900000000000002</v>
      </c>
      <c r="AX23" s="25">
        <v>2.7964285714285722</v>
      </c>
      <c r="AY23">
        <v>2.7964285714285722</v>
      </c>
      <c r="AZ23">
        <v>6.1881302289285713</v>
      </c>
      <c r="BA23" s="75">
        <v>0.50205645606923555</v>
      </c>
      <c r="BB23" s="75">
        <v>0.54064968764634491</v>
      </c>
      <c r="BE23">
        <v>4.4108945740190003E-2</v>
      </c>
      <c r="BF23">
        <v>4.7499613735779961E-2</v>
      </c>
      <c r="BH23">
        <v>9.1608559475969964E-2</v>
      </c>
      <c r="BI23">
        <v>4.5804279737984982E-2</v>
      </c>
      <c r="BJ23">
        <v>0.52135307185779023</v>
      </c>
      <c r="BX23" s="2">
        <v>3660</v>
      </c>
    </row>
    <row r="24" spans="1:76" x14ac:dyDescent="0.3">
      <c r="A24" s="2" t="s">
        <v>21</v>
      </c>
      <c r="B24" s="13" t="s">
        <v>707</v>
      </c>
      <c r="C24" s="13"/>
      <c r="F24" s="2">
        <v>3.3</v>
      </c>
      <c r="G24" s="2" t="s">
        <v>435</v>
      </c>
      <c r="H24" s="9" t="s">
        <v>540</v>
      </c>
      <c r="I24" t="s">
        <v>620</v>
      </c>
      <c r="J24"/>
      <c r="L24" s="25">
        <v>2</v>
      </c>
      <c r="M24">
        <v>2</v>
      </c>
      <c r="N24">
        <v>0</v>
      </c>
      <c r="O24" s="2" t="s">
        <v>464</v>
      </c>
      <c r="P24" s="2" t="s">
        <v>464</v>
      </c>
      <c r="Q24" s="2" t="s">
        <v>464</v>
      </c>
      <c r="R24" s="2" t="s">
        <v>440</v>
      </c>
      <c r="T24" s="25">
        <v>13.052871550000001</v>
      </c>
      <c r="U24" s="25">
        <v>13.052871550000001</v>
      </c>
      <c r="V24" s="25">
        <v>5.7602650000000004</v>
      </c>
      <c r="W24">
        <v>3.9390000000000001</v>
      </c>
      <c r="X24">
        <v>3.9390000000000001</v>
      </c>
      <c r="Y24">
        <v>25.636399999999998</v>
      </c>
      <c r="Z24">
        <v>0</v>
      </c>
      <c r="AC24" s="2">
        <v>2</v>
      </c>
      <c r="AD24">
        <v>18</v>
      </c>
      <c r="AE24" s="55" t="e">
        <f t="shared" si="0"/>
        <v>#VALUE!</v>
      </c>
      <c r="AF24" s="57">
        <v>419.87909289623292</v>
      </c>
      <c r="AG24" s="55">
        <v>397.76722984439999</v>
      </c>
      <c r="AH24" s="55">
        <v>0</v>
      </c>
      <c r="AJ24" s="51">
        <v>8.5738967738736363E-2</v>
      </c>
      <c r="AK24" s="52">
        <v>9.0505193235960166E-2</v>
      </c>
      <c r="AM24" s="28">
        <v>1.857142857142857</v>
      </c>
      <c r="AN24" s="28">
        <v>3</v>
      </c>
      <c r="AO24" s="28">
        <v>2</v>
      </c>
      <c r="AP24" s="28">
        <v>2</v>
      </c>
      <c r="AQ24" s="28">
        <v>0.20967741935483869</v>
      </c>
      <c r="AR24" s="28">
        <v>0.33870967741935482</v>
      </c>
      <c r="AS24" s="28">
        <v>0.22580645161290319</v>
      </c>
      <c r="AT24" s="28">
        <v>0.22580645161290319</v>
      </c>
      <c r="AU24" s="25">
        <v>0.89</v>
      </c>
      <c r="AV24" s="25">
        <v>3.44</v>
      </c>
      <c r="AW24" s="25">
        <v>2.5499999999999998</v>
      </c>
      <c r="AX24" s="25">
        <v>2.7921428571428568</v>
      </c>
      <c r="AY24">
        <v>2.7921428571428568</v>
      </c>
      <c r="AZ24">
        <v>6.1741786985714304</v>
      </c>
      <c r="BA24" s="75">
        <v>0.50806026761966716</v>
      </c>
      <c r="BB24" s="75">
        <v>0</v>
      </c>
      <c r="BE24">
        <v>4.2869483869368182E-2</v>
      </c>
      <c r="BF24">
        <v>4.5252596617980083E-2</v>
      </c>
      <c r="BH24">
        <v>8.8122080487348264E-2</v>
      </c>
      <c r="BI24">
        <v>4.4061040243674132E-2</v>
      </c>
      <c r="BJ24">
        <v>0.25403013380983358</v>
      </c>
      <c r="BX24" s="2">
        <v>1130</v>
      </c>
    </row>
    <row r="25" spans="1:76" x14ac:dyDescent="0.3">
      <c r="A25" s="2" t="s">
        <v>22</v>
      </c>
      <c r="B25" s="13" t="s">
        <v>876</v>
      </c>
      <c r="C25" s="13"/>
      <c r="F25" s="2">
        <v>2.74</v>
      </c>
      <c r="G25" s="2" t="s">
        <v>213</v>
      </c>
      <c r="H25" s="32" t="s">
        <v>541</v>
      </c>
      <c r="I25" t="s">
        <v>621</v>
      </c>
      <c r="J25"/>
      <c r="L25" s="25">
        <v>0</v>
      </c>
      <c r="M25">
        <v>4</v>
      </c>
      <c r="N25">
        <v>0</v>
      </c>
      <c r="T25" s="25">
        <v>0</v>
      </c>
      <c r="U25" s="25"/>
      <c r="V25" s="25"/>
      <c r="W25">
        <v>5.5453000000000001</v>
      </c>
      <c r="X25">
        <v>5.5453000000000001</v>
      </c>
      <c r="Y25">
        <v>25.686699999999998</v>
      </c>
      <c r="Z25">
        <v>0</v>
      </c>
      <c r="AC25" s="2" t="s">
        <v>464</v>
      </c>
      <c r="AD25">
        <v>18</v>
      </c>
      <c r="AE25" s="55">
        <f t="shared" si="0"/>
        <v>0</v>
      </c>
      <c r="AF25" s="57">
        <v>0</v>
      </c>
      <c r="AG25" s="55">
        <v>789.87506903020289</v>
      </c>
      <c r="AH25" s="55">
        <v>0</v>
      </c>
      <c r="AJ25" s="51"/>
      <c r="AK25" s="52">
        <v>9.1153655588092616E-2</v>
      </c>
      <c r="AM25" s="28">
        <v>1.871428571428571</v>
      </c>
      <c r="AN25" s="28">
        <v>3.1428571428571428</v>
      </c>
      <c r="AO25" s="28">
        <v>2.714285714285714</v>
      </c>
      <c r="AP25" s="28">
        <v>3.2</v>
      </c>
      <c r="AQ25" s="28">
        <v>0.17124183006535951</v>
      </c>
      <c r="AR25" s="28">
        <v>0.28758169934640521</v>
      </c>
      <c r="AS25" s="28">
        <v>0.2483660130718954</v>
      </c>
      <c r="AT25" s="28">
        <v>0.29281045751633977</v>
      </c>
      <c r="AU25" s="25">
        <v>1.6</v>
      </c>
      <c r="AV25" s="25">
        <v>3.44</v>
      </c>
      <c r="AW25" s="25">
        <v>1.84</v>
      </c>
      <c r="AX25" s="25">
        <v>2.9058571428571431</v>
      </c>
      <c r="AY25">
        <v>2.9058571428571431</v>
      </c>
      <c r="AZ25">
        <v>6.2676757950000006</v>
      </c>
      <c r="BA25" s="75">
        <v>0.51995616258071919</v>
      </c>
      <c r="BB25" s="75">
        <v>0.51988140722208986</v>
      </c>
      <c r="BF25">
        <v>4.5576827794046308E-2</v>
      </c>
      <c r="BH25">
        <v>9.1153655588092616E-2</v>
      </c>
      <c r="BI25">
        <v>4.5576827794046308E-2</v>
      </c>
      <c r="BJ25">
        <v>0.51991878490140453</v>
      </c>
      <c r="BX25" s="2">
        <v>38.960999999999999</v>
      </c>
    </row>
    <row r="26" spans="1:76" x14ac:dyDescent="0.3">
      <c r="A26" s="2" t="s">
        <v>23</v>
      </c>
      <c r="B26" s="13" t="s">
        <v>877</v>
      </c>
      <c r="C26" s="13"/>
      <c r="F26" s="2">
        <v>2.74</v>
      </c>
      <c r="G26" s="2" t="s">
        <v>213</v>
      </c>
      <c r="H26" s="32" t="s">
        <v>541</v>
      </c>
      <c r="I26" t="s">
        <v>621</v>
      </c>
      <c r="J26"/>
      <c r="L26" s="25">
        <v>0</v>
      </c>
      <c r="M26">
        <v>4</v>
      </c>
      <c r="N26">
        <v>0</v>
      </c>
      <c r="T26" s="25">
        <v>0</v>
      </c>
      <c r="U26" s="25"/>
      <c r="V26" s="25"/>
      <c r="W26">
        <v>5.5453000000000001</v>
      </c>
      <c r="X26">
        <v>5.5453000000000001</v>
      </c>
      <c r="Y26">
        <v>25.686699999999998</v>
      </c>
      <c r="Z26">
        <v>0</v>
      </c>
      <c r="AC26" s="2" t="s">
        <v>464</v>
      </c>
      <c r="AD26">
        <v>18</v>
      </c>
      <c r="AE26" s="55">
        <f t="shared" si="0"/>
        <v>0</v>
      </c>
      <c r="AF26" s="57">
        <v>0</v>
      </c>
      <c r="AG26" s="55">
        <v>789.87506903020289</v>
      </c>
      <c r="AH26" s="55">
        <v>0</v>
      </c>
      <c r="AJ26" s="51"/>
      <c r="AK26" s="52">
        <v>9.1153655588092616E-2</v>
      </c>
      <c r="AM26" s="28">
        <v>1.8678571428571431</v>
      </c>
      <c r="AN26" s="28">
        <v>3.1428571428571428</v>
      </c>
      <c r="AO26" s="28">
        <v>2.714285714285714</v>
      </c>
      <c r="AP26" s="28">
        <v>3.15</v>
      </c>
      <c r="AQ26" s="28">
        <v>0.1717569786535304</v>
      </c>
      <c r="AR26" s="28">
        <v>0.28899835796387519</v>
      </c>
      <c r="AS26" s="28">
        <v>0.24958949096880129</v>
      </c>
      <c r="AT26" s="28">
        <v>0.28965517241379313</v>
      </c>
      <c r="AU26" s="25">
        <v>1.6</v>
      </c>
      <c r="AV26" s="25">
        <v>3.44</v>
      </c>
      <c r="AW26" s="25">
        <v>1.84</v>
      </c>
      <c r="AX26" s="25">
        <v>2.903142857142857</v>
      </c>
      <c r="AY26">
        <v>2.903142857142857</v>
      </c>
      <c r="AZ26">
        <v>6.2658828646428582</v>
      </c>
      <c r="BA26" s="75">
        <v>0.51995616258071919</v>
      </c>
      <c r="BB26" s="75">
        <v>0.51988140722208986</v>
      </c>
      <c r="BF26">
        <v>4.5576827794046308E-2</v>
      </c>
      <c r="BH26">
        <v>9.1153655588092616E-2</v>
      </c>
      <c r="BI26">
        <v>4.5576827794046308E-2</v>
      </c>
      <c r="BJ26">
        <v>0.51991878490140453</v>
      </c>
      <c r="BX26" s="2">
        <v>50.949000000000005</v>
      </c>
    </row>
    <row r="27" spans="1:76" x14ac:dyDescent="0.3">
      <c r="A27" s="2" t="s">
        <v>24</v>
      </c>
      <c r="B27" s="13" t="s">
        <v>878</v>
      </c>
      <c r="C27" s="13"/>
      <c r="F27" s="2">
        <v>2.75</v>
      </c>
      <c r="G27" s="2" t="s">
        <v>213</v>
      </c>
      <c r="H27" s="32" t="s">
        <v>541</v>
      </c>
      <c r="I27" t="s">
        <v>621</v>
      </c>
      <c r="J27"/>
      <c r="L27" s="25">
        <v>0</v>
      </c>
      <c r="M27">
        <v>4</v>
      </c>
      <c r="N27">
        <v>0</v>
      </c>
      <c r="T27" s="25">
        <v>0</v>
      </c>
      <c r="U27" s="25"/>
      <c r="V27" s="25"/>
      <c r="W27">
        <v>5.5453000000000001</v>
      </c>
      <c r="X27">
        <v>5.5453000000000001</v>
      </c>
      <c r="Y27">
        <v>25.686699999999998</v>
      </c>
      <c r="Z27">
        <v>0</v>
      </c>
      <c r="AC27" s="2" t="s">
        <v>464</v>
      </c>
      <c r="AD27">
        <v>18</v>
      </c>
      <c r="AE27" s="55">
        <f t="shared" si="0"/>
        <v>0</v>
      </c>
      <c r="AF27" s="57">
        <v>0</v>
      </c>
      <c r="AG27" s="55">
        <v>789.87506903020289</v>
      </c>
      <c r="AH27" s="55">
        <v>0</v>
      </c>
      <c r="AJ27" s="51"/>
      <c r="AK27" s="52">
        <v>9.1153655588092616E-2</v>
      </c>
      <c r="AM27" s="28">
        <v>1.8642857142857141</v>
      </c>
      <c r="AN27" s="28">
        <v>3.1428571428571428</v>
      </c>
      <c r="AO27" s="28">
        <v>2.714285714285714</v>
      </c>
      <c r="AP27" s="28">
        <v>3.1</v>
      </c>
      <c r="AQ27" s="28">
        <v>0.17227722772277229</v>
      </c>
      <c r="AR27" s="28">
        <v>0.29042904290429039</v>
      </c>
      <c r="AS27" s="28">
        <v>0.25082508250825092</v>
      </c>
      <c r="AT27" s="28">
        <v>0.28646864686468648</v>
      </c>
      <c r="AU27" s="25">
        <v>1.6</v>
      </c>
      <c r="AV27" s="25">
        <v>3.44</v>
      </c>
      <c r="AW27" s="25">
        <v>1.84</v>
      </c>
      <c r="AX27" s="25">
        <v>2.9004285714285709</v>
      </c>
      <c r="AY27">
        <v>2.9004285714285718</v>
      </c>
      <c r="AZ27">
        <v>6.2640899342857157</v>
      </c>
      <c r="BA27" s="75">
        <v>0.51995616258071919</v>
      </c>
      <c r="BB27" s="75">
        <v>0.51988140722208986</v>
      </c>
      <c r="BF27">
        <v>4.5576827794046308E-2</v>
      </c>
      <c r="BH27">
        <v>9.1153655588092616E-2</v>
      </c>
      <c r="BI27">
        <v>4.5576827794046308E-2</v>
      </c>
      <c r="BJ27">
        <v>0.51991878490140453</v>
      </c>
      <c r="BX27" s="2">
        <v>30.303000000000001</v>
      </c>
    </row>
    <row r="28" spans="1:76" x14ac:dyDescent="0.3">
      <c r="A28" s="2" t="s">
        <v>25</v>
      </c>
      <c r="B28" s="13" t="s">
        <v>708</v>
      </c>
      <c r="C28" s="13"/>
      <c r="F28" s="2">
        <v>2.88</v>
      </c>
      <c r="G28" s="2" t="s">
        <v>213</v>
      </c>
      <c r="H28" s="9" t="s">
        <v>541</v>
      </c>
      <c r="I28" t="s">
        <v>621</v>
      </c>
      <c r="J28"/>
      <c r="L28" s="25">
        <v>1</v>
      </c>
      <c r="M28">
        <v>4</v>
      </c>
      <c r="N28">
        <v>0</v>
      </c>
      <c r="O28" s="2">
        <v>5.4960000000000004</v>
      </c>
      <c r="P28" s="2">
        <v>5.4960000000000004</v>
      </c>
      <c r="Q28" s="2">
        <v>25.55</v>
      </c>
      <c r="R28" s="2" t="s">
        <v>450</v>
      </c>
      <c r="T28" s="25">
        <v>12.868820120000001</v>
      </c>
      <c r="U28" s="25">
        <v>12.868820120000001</v>
      </c>
      <c r="V28" s="25">
        <v>12.868820120000001</v>
      </c>
      <c r="W28">
        <v>5.5453000000000001</v>
      </c>
      <c r="X28">
        <v>5.5453000000000001</v>
      </c>
      <c r="Y28">
        <v>25.686699999999998</v>
      </c>
      <c r="Z28">
        <v>0</v>
      </c>
      <c r="AC28" s="2">
        <v>4</v>
      </c>
      <c r="AD28">
        <v>18</v>
      </c>
      <c r="AE28" s="55">
        <f t="shared" si="0"/>
        <v>771.76370880000013</v>
      </c>
      <c r="AF28" s="57">
        <v>197.4403766939285</v>
      </c>
      <c r="AG28" s="55">
        <v>789.87506903020289</v>
      </c>
      <c r="AH28" s="55">
        <v>0</v>
      </c>
      <c r="AJ28" s="51">
        <v>9.1166762854710051E-2</v>
      </c>
      <c r="AK28" s="52">
        <v>9.1153655588092616E-2</v>
      </c>
      <c r="AM28" s="28">
        <v>1.857142857142857</v>
      </c>
      <c r="AN28" s="28">
        <v>3.1428571428571428</v>
      </c>
      <c r="AO28" s="28">
        <v>2.714285714285714</v>
      </c>
      <c r="AP28" s="28">
        <v>3</v>
      </c>
      <c r="AQ28" s="28">
        <v>0.17333333333333331</v>
      </c>
      <c r="AR28" s="28">
        <v>0.29333333333333328</v>
      </c>
      <c r="AS28" s="28">
        <v>0.25333333333333341</v>
      </c>
      <c r="AT28" s="28">
        <v>0.28000000000000003</v>
      </c>
      <c r="AU28" s="25">
        <v>1.6</v>
      </c>
      <c r="AV28" s="25">
        <v>3.44</v>
      </c>
      <c r="AW28" s="25">
        <v>1.84</v>
      </c>
      <c r="AX28" s="25">
        <v>2.895</v>
      </c>
      <c r="AY28">
        <v>2.895</v>
      </c>
      <c r="AZ28">
        <v>6.260504073571429</v>
      </c>
      <c r="BA28" s="75">
        <v>0.51995616258071919</v>
      </c>
      <c r="BB28" s="75">
        <v>0.51988140722208986</v>
      </c>
      <c r="BE28">
        <v>4.5583381427355033E-2</v>
      </c>
      <c r="BF28">
        <v>4.5576827794046308E-2</v>
      </c>
      <c r="BH28">
        <v>9.1160209221401334E-2</v>
      </c>
      <c r="BI28">
        <v>4.5580104610700667E-2</v>
      </c>
      <c r="BJ28">
        <v>0.51991878490140453</v>
      </c>
      <c r="BX28" s="2">
        <v>25.308</v>
      </c>
    </row>
    <row r="29" spans="1:76" x14ac:dyDescent="0.3">
      <c r="A29" s="2" t="s">
        <v>26</v>
      </c>
      <c r="B29" s="13" t="s">
        <v>879</v>
      </c>
      <c r="C29" s="13"/>
      <c r="F29" s="2">
        <v>2.91</v>
      </c>
      <c r="G29" s="2" t="s">
        <v>213</v>
      </c>
      <c r="H29" s="32" t="s">
        <v>541</v>
      </c>
      <c r="I29" t="s">
        <v>621</v>
      </c>
      <c r="J29"/>
      <c r="L29" s="25">
        <v>0</v>
      </c>
      <c r="M29">
        <v>4</v>
      </c>
      <c r="N29">
        <v>0</v>
      </c>
      <c r="T29" s="25">
        <v>0</v>
      </c>
      <c r="U29" s="25"/>
      <c r="V29" s="25"/>
      <c r="W29">
        <v>5.5453000000000001</v>
      </c>
      <c r="X29">
        <v>5.5453000000000001</v>
      </c>
      <c r="Y29">
        <v>25.686699999999998</v>
      </c>
      <c r="Z29">
        <v>0</v>
      </c>
      <c r="AC29" s="2" t="s">
        <v>464</v>
      </c>
      <c r="AD29">
        <v>18</v>
      </c>
      <c r="AE29" s="55">
        <f t="shared" si="0"/>
        <v>0</v>
      </c>
      <c r="AF29" s="57">
        <v>0</v>
      </c>
      <c r="AG29" s="55">
        <v>789.87506903020289</v>
      </c>
      <c r="AH29" s="55">
        <v>0</v>
      </c>
      <c r="AJ29" s="51"/>
      <c r="AK29" s="52">
        <v>9.1153655588092616E-2</v>
      </c>
      <c r="AM29" s="28">
        <v>1.8642857142857141</v>
      </c>
      <c r="AN29" s="28">
        <v>3.1428571428571428</v>
      </c>
      <c r="AO29" s="28">
        <v>2.7</v>
      </c>
      <c r="AP29" s="28">
        <v>3</v>
      </c>
      <c r="AQ29" s="28">
        <v>0.1741160773849233</v>
      </c>
      <c r="AR29" s="28">
        <v>0.29352901934623082</v>
      </c>
      <c r="AS29" s="28">
        <v>0.25216811207471651</v>
      </c>
      <c r="AT29" s="28">
        <v>0.28018679119412943</v>
      </c>
      <c r="AU29" s="25">
        <v>1.54</v>
      </c>
      <c r="AV29" s="25">
        <v>3.44</v>
      </c>
      <c r="AW29" s="25">
        <v>1.9</v>
      </c>
      <c r="AX29" s="25">
        <v>2.894571428571429</v>
      </c>
      <c r="AY29">
        <v>2.894571428571429</v>
      </c>
      <c r="AZ29">
        <v>6.2577448164285716</v>
      </c>
      <c r="BA29" s="75">
        <v>0.51995616258071919</v>
      </c>
      <c r="BB29" s="75">
        <v>0.51988140722208986</v>
      </c>
      <c r="BF29">
        <v>4.5576827794046308E-2</v>
      </c>
      <c r="BH29">
        <v>9.1153655588092616E-2</v>
      </c>
      <c r="BI29">
        <v>4.5576827794046308E-2</v>
      </c>
      <c r="BJ29">
        <v>0.51991878490140453</v>
      </c>
      <c r="BX29" s="2">
        <v>9.3239999999999998</v>
      </c>
    </row>
    <row r="30" spans="1:76" x14ac:dyDescent="0.3">
      <c r="A30" s="2" t="s">
        <v>8</v>
      </c>
      <c r="B30" s="13" t="s">
        <v>694</v>
      </c>
      <c r="C30" s="13"/>
      <c r="D30" s="2" t="s">
        <v>676</v>
      </c>
      <c r="E30" s="2" t="s">
        <v>1067</v>
      </c>
      <c r="F30" s="2">
        <v>2.73</v>
      </c>
      <c r="G30" s="2" t="s">
        <v>213</v>
      </c>
      <c r="H30" s="9" t="s">
        <v>530</v>
      </c>
      <c r="I30" t="s">
        <v>612</v>
      </c>
      <c r="J30"/>
      <c r="L30" s="25">
        <v>30</v>
      </c>
      <c r="M30">
        <v>4</v>
      </c>
      <c r="N30">
        <v>0</v>
      </c>
      <c r="T30" s="25">
        <v>10.59112378</v>
      </c>
      <c r="U30" s="25">
        <v>10.784736629999999</v>
      </c>
      <c r="V30" s="25">
        <v>10.486176179999999</v>
      </c>
      <c r="W30">
        <v>3.73</v>
      </c>
      <c r="X30">
        <v>3.73</v>
      </c>
      <c r="Y30">
        <v>9.3699999999999992</v>
      </c>
      <c r="Z30">
        <v>0</v>
      </c>
      <c r="AC30" s="2" t="s">
        <v>464</v>
      </c>
      <c r="AD30">
        <v>4</v>
      </c>
      <c r="AE30" s="55">
        <f t="shared" si="0"/>
        <v>0</v>
      </c>
      <c r="AF30" s="57">
        <v>1182.741260108548</v>
      </c>
      <c r="AG30" s="55">
        <v>130.36387300000001</v>
      </c>
      <c r="AH30" s="55">
        <v>0</v>
      </c>
      <c r="AJ30" s="51">
        <v>0.1014592151701775</v>
      </c>
      <c r="AK30" s="52">
        <v>0.1227333894874388</v>
      </c>
      <c r="AM30" s="28">
        <v>2</v>
      </c>
      <c r="AN30" s="28">
        <v>2.666666666666667</v>
      </c>
      <c r="AO30" s="28">
        <v>0.66666666666666663</v>
      </c>
      <c r="AP30" s="28">
        <v>0</v>
      </c>
      <c r="AQ30" s="28">
        <v>0.375</v>
      </c>
      <c r="AR30" s="28">
        <v>0.5</v>
      </c>
      <c r="AS30" s="28">
        <v>0.125</v>
      </c>
      <c r="AT30" s="28">
        <v>0</v>
      </c>
      <c r="AU30" s="25">
        <v>1.54</v>
      </c>
      <c r="AV30" s="25">
        <v>3.44</v>
      </c>
      <c r="AW30" s="25">
        <v>1.9</v>
      </c>
      <c r="AX30" s="25">
        <v>2.8066666666666671</v>
      </c>
      <c r="AY30">
        <v>2.8066666666666662</v>
      </c>
      <c r="AZ30">
        <v>6.1769976</v>
      </c>
      <c r="BA30" s="75">
        <v>0.46900407026869628</v>
      </c>
      <c r="BB30" s="75">
        <v>0.56734579634715776</v>
      </c>
      <c r="BE30">
        <v>5.072960758508873E-2</v>
      </c>
      <c r="BF30">
        <v>6.136669474371937E-2</v>
      </c>
      <c r="BH30">
        <v>0.1120963023288082</v>
      </c>
      <c r="BI30">
        <v>5.604815116440405E-2</v>
      </c>
      <c r="BJ30">
        <v>0.51817493330792708</v>
      </c>
    </row>
    <row r="31" spans="1:76" x14ac:dyDescent="0.3">
      <c r="A31" s="2" t="s">
        <v>10</v>
      </c>
      <c r="B31" s="13" t="s">
        <v>695</v>
      </c>
      <c r="C31" s="13"/>
      <c r="F31" s="2">
        <v>3.9</v>
      </c>
      <c r="G31" s="2" t="s">
        <v>134</v>
      </c>
      <c r="H31" s="9" t="s">
        <v>531</v>
      </c>
      <c r="I31">
        <v>-1</v>
      </c>
      <c r="J31"/>
      <c r="L31" s="25">
        <v>1</v>
      </c>
      <c r="M31">
        <v>0</v>
      </c>
      <c r="N31">
        <v>0</v>
      </c>
      <c r="O31" s="2">
        <v>3.8849999999999998</v>
      </c>
      <c r="P31" s="2">
        <v>3.8849999999999998</v>
      </c>
      <c r="Q31" s="2">
        <v>11.12</v>
      </c>
      <c r="R31" s="2" t="s">
        <v>439</v>
      </c>
      <c r="T31" s="25">
        <v>3.9103940000000001</v>
      </c>
      <c r="U31" s="25">
        <v>3.9103940000000001</v>
      </c>
      <c r="V31" s="25">
        <v>11.314458</v>
      </c>
      <c r="W31">
        <v>0</v>
      </c>
      <c r="Z31">
        <v>0</v>
      </c>
      <c r="AC31" s="2">
        <v>2</v>
      </c>
      <c r="AD31">
        <v>14</v>
      </c>
      <c r="AE31" s="55">
        <f t="shared" si="0"/>
        <v>167.83666199999996</v>
      </c>
      <c r="AF31" s="57">
        <v>173.0114278564659</v>
      </c>
      <c r="AG31" s="55">
        <v>0</v>
      </c>
      <c r="AH31" s="55">
        <v>0</v>
      </c>
      <c r="AJ31" s="51">
        <v>8.0919510193365449E-2</v>
      </c>
      <c r="AM31" s="28">
        <v>1.9090909090909089</v>
      </c>
      <c r="AN31" s="28">
        <v>2.545454545454545</v>
      </c>
      <c r="AO31" s="28">
        <v>0.63636363636363635</v>
      </c>
      <c r="AP31" s="28">
        <v>2.545454545454545</v>
      </c>
      <c r="AQ31" s="28">
        <v>0.25</v>
      </c>
      <c r="AR31" s="28">
        <v>0.33333333333333331</v>
      </c>
      <c r="AS31" s="28">
        <v>8.3333333333333329E-2</v>
      </c>
      <c r="AT31" s="28">
        <v>0.33333333333333331</v>
      </c>
      <c r="AU31" s="25">
        <v>0.82</v>
      </c>
      <c r="AV31" s="25">
        <v>3.44</v>
      </c>
      <c r="AW31" s="25">
        <v>2.62</v>
      </c>
      <c r="AX31" s="25">
        <v>2.6363636363636358</v>
      </c>
      <c r="AY31">
        <v>2.6363636363636371</v>
      </c>
      <c r="AZ31">
        <v>6.0044088459090901</v>
      </c>
      <c r="BA31" s="75">
        <v>0.5117218936152963</v>
      </c>
      <c r="BE31">
        <v>4.0459755096682717E-2</v>
      </c>
      <c r="BH31">
        <v>8.0919510193365449E-2</v>
      </c>
      <c r="BI31">
        <v>4.0459755096682717E-2</v>
      </c>
      <c r="BJ31">
        <v>0.5117218936152963</v>
      </c>
      <c r="BP31" s="2" t="s">
        <v>464</v>
      </c>
    </row>
    <row r="32" spans="1:76" x14ac:dyDescent="0.3">
      <c r="A32" s="2" t="s">
        <v>11</v>
      </c>
      <c r="B32" s="13" t="s">
        <v>696</v>
      </c>
      <c r="C32" s="13"/>
      <c r="F32" s="2">
        <v>3.5</v>
      </c>
      <c r="G32" s="2" t="s">
        <v>134</v>
      </c>
      <c r="H32" s="9">
        <v>-1</v>
      </c>
      <c r="I32">
        <v>-1</v>
      </c>
      <c r="J32" s="9" t="s">
        <v>1144</v>
      </c>
      <c r="L32" s="25">
        <v>0</v>
      </c>
      <c r="M32">
        <v>0</v>
      </c>
      <c r="N32">
        <v>1</v>
      </c>
      <c r="O32" s="2">
        <v>3.8839999999999999</v>
      </c>
      <c r="P32" s="2">
        <v>3.8839999999999999</v>
      </c>
      <c r="Q32" s="2">
        <v>11.12</v>
      </c>
      <c r="R32" s="2" t="s">
        <v>439</v>
      </c>
      <c r="T32" s="25">
        <v>0</v>
      </c>
      <c r="U32" s="25"/>
      <c r="V32" s="25"/>
      <c r="W32">
        <v>0</v>
      </c>
      <c r="Z32">
        <v>3.8653</v>
      </c>
      <c r="AA32">
        <v>3.8653</v>
      </c>
      <c r="AB32">
        <v>11.0131</v>
      </c>
      <c r="AC32" s="2">
        <v>2</v>
      </c>
      <c r="AD32">
        <v>14</v>
      </c>
      <c r="AE32" s="55">
        <f t="shared" si="0"/>
        <v>167.75027071999997</v>
      </c>
      <c r="AF32" s="57">
        <v>0</v>
      </c>
      <c r="AG32" s="55">
        <v>0</v>
      </c>
      <c r="AH32" s="55">
        <v>164.541706117579</v>
      </c>
      <c r="AJ32" s="51"/>
      <c r="AL32" s="52">
        <v>8.5084811202795069E-2</v>
      </c>
      <c r="AM32" s="28">
        <v>1.9090909090909089</v>
      </c>
      <c r="AN32" s="28">
        <v>2.545454545454545</v>
      </c>
      <c r="AO32" s="28">
        <v>0.54545454545454541</v>
      </c>
      <c r="AP32" s="28">
        <v>2.8181818181818179</v>
      </c>
      <c r="AQ32" s="28">
        <v>0.2441860465116279</v>
      </c>
      <c r="AR32" s="28">
        <v>0.32558139534883718</v>
      </c>
      <c r="AS32" s="28">
        <v>6.9767441860465115E-2</v>
      </c>
      <c r="AT32" s="28">
        <v>0.3604651162790698</v>
      </c>
      <c r="AU32" s="25">
        <v>0.82</v>
      </c>
      <c r="AV32" s="25">
        <v>3.44</v>
      </c>
      <c r="AW32" s="25">
        <v>2.62</v>
      </c>
      <c r="AX32" s="25">
        <v>2.6390909090909092</v>
      </c>
      <c r="AY32">
        <v>2.6390909090909092</v>
      </c>
      <c r="AZ32">
        <v>5.9791810459090904</v>
      </c>
      <c r="BC32" s="75">
        <v>0.53381265134868672</v>
      </c>
      <c r="BG32">
        <v>4.2542405601397527E-2</v>
      </c>
      <c r="BH32">
        <v>8.5084811202795069E-2</v>
      </c>
      <c r="BI32">
        <v>4.2542405601397527E-2</v>
      </c>
      <c r="BJ32">
        <v>0.53381265134868672</v>
      </c>
      <c r="BP32" s="2" t="s">
        <v>464</v>
      </c>
    </row>
    <row r="33" spans="1:68" x14ac:dyDescent="0.3">
      <c r="A33" s="2" t="s">
        <v>12</v>
      </c>
      <c r="B33" s="13" t="s">
        <v>697</v>
      </c>
      <c r="C33" s="13"/>
      <c r="F33" s="2">
        <v>3.8</v>
      </c>
      <c r="G33" s="2" t="s">
        <v>134</v>
      </c>
      <c r="H33" s="9">
        <v>-1</v>
      </c>
      <c r="I33">
        <v>-1</v>
      </c>
      <c r="J33" s="9" t="s">
        <v>1145</v>
      </c>
      <c r="L33" s="25">
        <v>0</v>
      </c>
      <c r="M33">
        <v>0</v>
      </c>
      <c r="N33">
        <v>1</v>
      </c>
      <c r="O33" s="2">
        <v>3.8460000000000001</v>
      </c>
      <c r="P33" s="2">
        <v>3.8460000000000001</v>
      </c>
      <c r="Q33" s="2">
        <v>11.1</v>
      </c>
      <c r="R33" s="2" t="s">
        <v>439</v>
      </c>
      <c r="T33" s="25">
        <v>0</v>
      </c>
      <c r="U33" s="25"/>
      <c r="V33" s="25"/>
      <c r="W33">
        <v>0</v>
      </c>
      <c r="Z33">
        <v>3.8445</v>
      </c>
      <c r="AA33">
        <v>3.8445</v>
      </c>
      <c r="AB33">
        <v>11.03</v>
      </c>
      <c r="AC33" s="2">
        <v>2</v>
      </c>
      <c r="AD33">
        <v>14</v>
      </c>
      <c r="AE33" s="55">
        <f t="shared" si="0"/>
        <v>164.1880476</v>
      </c>
      <c r="AF33" s="57">
        <v>0</v>
      </c>
      <c r="AG33" s="55">
        <v>0</v>
      </c>
      <c r="AH33" s="55">
        <v>163.0253881575</v>
      </c>
      <c r="AJ33" s="51"/>
      <c r="AL33" s="52">
        <v>8.5876194856683907E-2</v>
      </c>
      <c r="AM33" s="28">
        <v>1.9090909090909089</v>
      </c>
      <c r="AN33" s="28">
        <v>2.545454545454545</v>
      </c>
      <c r="AO33" s="28">
        <v>0.54545454545454541</v>
      </c>
      <c r="AP33" s="28">
        <v>2.9090909090909092</v>
      </c>
      <c r="AQ33" s="28">
        <v>0.2413793103448276</v>
      </c>
      <c r="AR33" s="28">
        <v>0.32183908045977011</v>
      </c>
      <c r="AS33" s="28">
        <v>6.8965517241379309E-2</v>
      </c>
      <c r="AT33" s="28">
        <v>0.36781609195402298</v>
      </c>
      <c r="AU33" s="25">
        <v>0.82</v>
      </c>
      <c r="AV33" s="25">
        <v>3.44</v>
      </c>
      <c r="AW33" s="25">
        <v>2.62</v>
      </c>
      <c r="AX33" s="25">
        <v>2.64</v>
      </c>
      <c r="AY33">
        <v>2.64</v>
      </c>
      <c r="AZ33">
        <v>5.9811382595454541</v>
      </c>
      <c r="BC33" s="75">
        <v>0.53809297903977493</v>
      </c>
      <c r="BG33">
        <v>4.2938097428341947E-2</v>
      </c>
      <c r="BH33">
        <v>8.5876194856683907E-2</v>
      </c>
      <c r="BI33">
        <v>4.2938097428341947E-2</v>
      </c>
      <c r="BJ33">
        <v>0.53809297903977493</v>
      </c>
      <c r="BP33" s="2" t="s">
        <v>464</v>
      </c>
    </row>
    <row r="34" spans="1:68" x14ac:dyDescent="0.3">
      <c r="A34" s="2" t="s">
        <v>13</v>
      </c>
      <c r="B34" s="13" t="s">
        <v>698</v>
      </c>
      <c r="C34" s="13"/>
      <c r="F34" s="2">
        <v>3.8</v>
      </c>
      <c r="G34" s="2" t="s">
        <v>134</v>
      </c>
      <c r="H34" s="9">
        <v>-1</v>
      </c>
      <c r="I34">
        <v>-1</v>
      </c>
      <c r="J34" t="s">
        <v>1147</v>
      </c>
      <c r="L34" s="25">
        <v>0</v>
      </c>
      <c r="M34">
        <v>0</v>
      </c>
      <c r="N34">
        <v>1</v>
      </c>
      <c r="O34" s="2">
        <v>3.8420000000000001</v>
      </c>
      <c r="P34" s="2">
        <v>3.8420000000000001</v>
      </c>
      <c r="Q34" s="2">
        <v>11.11</v>
      </c>
      <c r="R34" s="2" t="s">
        <v>439</v>
      </c>
      <c r="T34" s="25">
        <v>0</v>
      </c>
      <c r="U34" s="25"/>
      <c r="V34" s="25"/>
      <c r="W34">
        <v>0</v>
      </c>
      <c r="Z34">
        <v>3.8252000000000002</v>
      </c>
      <c r="AA34">
        <v>3.8252000000000002</v>
      </c>
      <c r="AB34">
        <v>11.013500000000001</v>
      </c>
      <c r="AC34" s="2">
        <v>2</v>
      </c>
      <c r="AD34">
        <v>14</v>
      </c>
      <c r="AE34" s="55">
        <f t="shared" si="0"/>
        <v>163.99431004000002</v>
      </c>
      <c r="AF34" s="57">
        <v>0</v>
      </c>
      <c r="AG34" s="55">
        <v>0</v>
      </c>
      <c r="AH34" s="55">
        <v>161.15123953304001</v>
      </c>
      <c r="AJ34" s="51"/>
      <c r="AL34" s="52">
        <v>8.6874913531953646E-2</v>
      </c>
      <c r="AM34" s="28">
        <v>1.9090909090909089</v>
      </c>
      <c r="AN34" s="28">
        <v>2.545454545454545</v>
      </c>
      <c r="AO34" s="28">
        <v>0.54545454545454541</v>
      </c>
      <c r="AP34" s="28">
        <v>3.0909090909090908</v>
      </c>
      <c r="AQ34" s="28">
        <v>0.2359550561797753</v>
      </c>
      <c r="AR34" s="28">
        <v>0.3146067415730337</v>
      </c>
      <c r="AS34" s="28">
        <v>6.7415730337078636E-2</v>
      </c>
      <c r="AT34" s="28">
        <v>0.38202247191011229</v>
      </c>
      <c r="AU34" s="25">
        <v>0.82</v>
      </c>
      <c r="AV34" s="25">
        <v>3.44</v>
      </c>
      <c r="AW34" s="25">
        <v>2.62</v>
      </c>
      <c r="AX34" s="25">
        <v>2.642727272727273</v>
      </c>
      <c r="AY34">
        <v>2.642727272727273</v>
      </c>
      <c r="AZ34">
        <v>5.9894662913636356</v>
      </c>
      <c r="BC34" s="75">
        <v>0.54194665977883461</v>
      </c>
      <c r="BG34">
        <v>4.3437456765976823E-2</v>
      </c>
      <c r="BH34">
        <v>8.6874913531953646E-2</v>
      </c>
      <c r="BI34">
        <v>4.3437456765976823E-2</v>
      </c>
      <c r="BJ34">
        <v>0.54194665977883461</v>
      </c>
      <c r="BP34" s="2" t="s">
        <v>464</v>
      </c>
    </row>
    <row r="35" spans="1:68" x14ac:dyDescent="0.3">
      <c r="A35" s="2" t="s">
        <v>30</v>
      </c>
      <c r="B35" s="13" t="s">
        <v>709</v>
      </c>
      <c r="C35" s="13"/>
      <c r="F35" s="2">
        <v>3.36</v>
      </c>
      <c r="G35" s="2" t="s">
        <v>29</v>
      </c>
      <c r="H35" s="9">
        <v>-1</v>
      </c>
      <c r="I35" t="s">
        <v>622</v>
      </c>
      <c r="J35"/>
      <c r="L35" s="25">
        <v>0</v>
      </c>
      <c r="M35">
        <v>4</v>
      </c>
      <c r="N35">
        <v>0</v>
      </c>
      <c r="O35" s="2">
        <v>5.4324000000000003</v>
      </c>
      <c r="P35" s="2">
        <v>5.4151999999999996</v>
      </c>
      <c r="Q35" s="2">
        <v>40.78</v>
      </c>
      <c r="T35" s="25">
        <v>0</v>
      </c>
      <c r="U35" s="25"/>
      <c r="V35" s="25"/>
      <c r="W35">
        <v>5.4234</v>
      </c>
      <c r="X35">
        <v>5.4020999999999999</v>
      </c>
      <c r="Y35">
        <v>40.593499999999999</v>
      </c>
      <c r="Z35">
        <v>0</v>
      </c>
      <c r="AC35" s="2" t="s">
        <v>464</v>
      </c>
      <c r="AD35">
        <v>30</v>
      </c>
      <c r="AE35" s="55">
        <f t="shared" si="0"/>
        <v>1199.6469745344</v>
      </c>
      <c r="AF35" s="57">
        <v>0</v>
      </c>
      <c r="AG35" s="55">
        <v>1189.2981797145901</v>
      </c>
      <c r="AH35" s="55">
        <v>0</v>
      </c>
      <c r="AJ35" s="51"/>
      <c r="AK35" s="52">
        <v>0.1008998433250758</v>
      </c>
      <c r="AM35" s="28">
        <v>2</v>
      </c>
      <c r="AN35" s="28">
        <v>3</v>
      </c>
      <c r="AO35" s="28">
        <v>2</v>
      </c>
      <c r="AP35" s="28">
        <v>2.333333333333333</v>
      </c>
      <c r="AQ35" s="28">
        <v>0.2142857142857143</v>
      </c>
      <c r="AR35" s="28">
        <v>0.3214285714285714</v>
      </c>
      <c r="AS35" s="28">
        <v>0.2142857142857143</v>
      </c>
      <c r="AT35" s="28">
        <v>0.25</v>
      </c>
      <c r="AU35" s="25">
        <v>1</v>
      </c>
      <c r="AV35" s="25">
        <v>3.44</v>
      </c>
      <c r="AW35" s="25">
        <v>2.44</v>
      </c>
      <c r="AX35" s="25">
        <v>2.7850000000000001</v>
      </c>
      <c r="AY35">
        <v>2.7850000000000001</v>
      </c>
      <c r="AZ35">
        <v>6.1010684060416667</v>
      </c>
      <c r="BF35">
        <v>5.0449921662537908E-2</v>
      </c>
      <c r="BH35">
        <v>0.1008998433250758</v>
      </c>
      <c r="BI35">
        <v>5.0449921662537908E-2</v>
      </c>
      <c r="BJ35">
        <v>0</v>
      </c>
    </row>
    <row r="36" spans="1:68" x14ac:dyDescent="0.3">
      <c r="A36" s="2" t="s">
        <v>31</v>
      </c>
      <c r="B36" s="13" t="s">
        <v>710</v>
      </c>
      <c r="C36" s="13"/>
      <c r="F36" s="2">
        <v>3.02</v>
      </c>
      <c r="G36" s="2" t="s">
        <v>29</v>
      </c>
      <c r="H36" s="9">
        <v>-1</v>
      </c>
      <c r="I36">
        <v>-1</v>
      </c>
      <c r="J36" t="s">
        <v>1148</v>
      </c>
      <c r="L36" s="25">
        <v>0</v>
      </c>
      <c r="M36">
        <v>0</v>
      </c>
      <c r="N36">
        <v>4</v>
      </c>
      <c r="O36" s="2" t="s">
        <v>464</v>
      </c>
      <c r="P36" s="2" t="s">
        <v>464</v>
      </c>
      <c r="Q36" s="2" t="s">
        <v>464</v>
      </c>
      <c r="T36" s="25">
        <v>0</v>
      </c>
      <c r="U36" s="25"/>
      <c r="V36" s="25"/>
      <c r="W36">
        <v>0</v>
      </c>
      <c r="Z36">
        <v>41.36</v>
      </c>
      <c r="AA36">
        <v>5.4370000000000003</v>
      </c>
      <c r="AB36">
        <v>5.55</v>
      </c>
      <c r="AC36" s="2" t="s">
        <v>464</v>
      </c>
      <c r="AD36">
        <v>30</v>
      </c>
      <c r="AE36" s="55" t="e">
        <f t="shared" si="0"/>
        <v>#VALUE!</v>
      </c>
      <c r="AF36" s="57">
        <v>0</v>
      </c>
      <c r="AG36" s="55">
        <v>0</v>
      </c>
      <c r="AH36" s="55">
        <v>1248.0524760000001</v>
      </c>
      <c r="AJ36" s="51"/>
      <c r="AL36" s="52">
        <v>9.6149803239523393E-2</v>
      </c>
      <c r="AM36" s="28">
        <v>2</v>
      </c>
      <c r="AN36" s="28">
        <v>3.083333333333333</v>
      </c>
      <c r="AO36" s="28">
        <v>2.416666666666667</v>
      </c>
      <c r="AP36" s="28">
        <v>2.916666666666667</v>
      </c>
      <c r="AQ36" s="28">
        <v>0.192</v>
      </c>
      <c r="AR36" s="28">
        <v>0.29599999999999999</v>
      </c>
      <c r="AS36" s="28">
        <v>0.23200000000000001</v>
      </c>
      <c r="AT36" s="28">
        <v>0.28000000000000003</v>
      </c>
      <c r="AU36" s="25">
        <v>1.54</v>
      </c>
      <c r="AV36" s="25">
        <v>3.44</v>
      </c>
      <c r="AW36" s="25">
        <v>1.9</v>
      </c>
      <c r="AX36" s="25">
        <v>2.840416666666667</v>
      </c>
      <c r="AY36">
        <v>2.840416666666667</v>
      </c>
      <c r="AZ36">
        <v>6.1351453775000007</v>
      </c>
      <c r="BG36">
        <v>4.8074901619761697E-2</v>
      </c>
      <c r="BH36">
        <v>9.6149803239523393E-2</v>
      </c>
      <c r="BI36">
        <v>4.8074901619761697E-2</v>
      </c>
      <c r="BJ36">
        <v>0</v>
      </c>
    </row>
    <row r="37" spans="1:68" x14ac:dyDescent="0.3">
      <c r="A37" s="2" t="s">
        <v>19</v>
      </c>
      <c r="B37" s="13" t="s">
        <v>705</v>
      </c>
      <c r="C37" s="13"/>
      <c r="F37" s="2">
        <v>3.18</v>
      </c>
      <c r="G37" s="2" t="s">
        <v>29</v>
      </c>
      <c r="H37" s="9" t="s">
        <v>538</v>
      </c>
      <c r="I37">
        <v>-1</v>
      </c>
      <c r="J37"/>
      <c r="L37" s="25">
        <v>1</v>
      </c>
      <c r="M37">
        <v>0</v>
      </c>
      <c r="N37">
        <v>0</v>
      </c>
      <c r="O37" s="2" t="s">
        <v>464</v>
      </c>
      <c r="P37" s="2" t="s">
        <v>464</v>
      </c>
      <c r="Q37" s="2" t="s">
        <v>464</v>
      </c>
      <c r="T37" s="25">
        <v>13.83861243</v>
      </c>
      <c r="U37" s="25">
        <v>13.83861243</v>
      </c>
      <c r="V37" s="25">
        <v>13.83861243</v>
      </c>
      <c r="W37">
        <v>0</v>
      </c>
      <c r="Z37">
        <v>0</v>
      </c>
      <c r="AC37" s="2">
        <v>2</v>
      </c>
      <c r="AD37">
        <v>18</v>
      </c>
      <c r="AE37" s="55" t="e">
        <f t="shared" si="0"/>
        <v>#VALUE!</v>
      </c>
      <c r="AF37" s="57">
        <v>208.2630581553295</v>
      </c>
      <c r="AG37" s="55">
        <v>0</v>
      </c>
      <c r="AH37" s="55">
        <v>0</v>
      </c>
      <c r="AJ37" s="51">
        <v>8.6429154356194082E-2</v>
      </c>
      <c r="AM37" s="28">
        <v>1.857142857142857</v>
      </c>
      <c r="AN37" s="28">
        <v>3</v>
      </c>
      <c r="AO37" s="28">
        <v>2</v>
      </c>
      <c r="AP37" s="28">
        <v>2</v>
      </c>
      <c r="AQ37" s="28">
        <v>0.20967741935483869</v>
      </c>
      <c r="AR37" s="28">
        <v>0.33870967741935482</v>
      </c>
      <c r="AS37" s="28">
        <v>0.22580645161290319</v>
      </c>
      <c r="AT37" s="28">
        <v>0.22580645161290319</v>
      </c>
      <c r="AU37" s="25">
        <v>1</v>
      </c>
      <c r="AV37" s="25">
        <v>3.44</v>
      </c>
      <c r="AW37" s="25">
        <v>2.44</v>
      </c>
      <c r="AX37" s="25">
        <v>2.8</v>
      </c>
      <c r="AY37">
        <v>2.8</v>
      </c>
      <c r="AZ37">
        <v>6.2020864082142868</v>
      </c>
      <c r="BA37" s="75">
        <v>0.47541563854575991</v>
      </c>
      <c r="BE37">
        <v>4.3214577178097048E-2</v>
      </c>
      <c r="BH37">
        <v>8.6429154356194082E-2</v>
      </c>
      <c r="BI37">
        <v>4.3214577178097048E-2</v>
      </c>
      <c r="BJ37">
        <v>0.47541563854575991</v>
      </c>
    </row>
    <row r="38" spans="1:68" x14ac:dyDescent="0.3">
      <c r="A38" s="2" t="s">
        <v>25</v>
      </c>
      <c r="B38" s="13" t="s">
        <v>708</v>
      </c>
      <c r="C38" s="13"/>
      <c r="F38" s="2">
        <v>2.88</v>
      </c>
      <c r="G38" s="2" t="s">
        <v>29</v>
      </c>
      <c r="H38" s="9" t="s">
        <v>541</v>
      </c>
      <c r="I38" t="s">
        <v>621</v>
      </c>
      <c r="J38"/>
      <c r="L38" s="25">
        <v>1</v>
      </c>
      <c r="M38">
        <v>4</v>
      </c>
      <c r="N38">
        <v>0</v>
      </c>
      <c r="O38" s="2" t="s">
        <v>464</v>
      </c>
      <c r="P38" s="2" t="s">
        <v>464</v>
      </c>
      <c r="Q38" s="2" t="s">
        <v>464</v>
      </c>
      <c r="T38" s="25">
        <v>12.868820120000001</v>
      </c>
      <c r="U38" s="25">
        <v>12.868820120000001</v>
      </c>
      <c r="V38" s="25">
        <v>12.868820120000001</v>
      </c>
      <c r="W38">
        <v>5.5453000000000001</v>
      </c>
      <c r="X38">
        <v>5.5453000000000001</v>
      </c>
      <c r="Y38">
        <v>25.686699999999998</v>
      </c>
      <c r="Z38">
        <v>0</v>
      </c>
      <c r="AC38" s="2">
        <v>2</v>
      </c>
      <c r="AD38">
        <v>18</v>
      </c>
      <c r="AE38" s="55" t="e">
        <f t="shared" si="0"/>
        <v>#VALUE!</v>
      </c>
      <c r="AF38" s="57">
        <v>197.4403766939285</v>
      </c>
      <c r="AG38" s="55">
        <v>789.87506903020289</v>
      </c>
      <c r="AH38" s="55">
        <v>0</v>
      </c>
      <c r="AJ38" s="51">
        <v>9.1166762854710051E-2</v>
      </c>
      <c r="AK38" s="52">
        <v>9.1153655588092616E-2</v>
      </c>
      <c r="AM38" s="28">
        <v>1.857142857142857</v>
      </c>
      <c r="AN38" s="28">
        <v>3.1428571428571428</v>
      </c>
      <c r="AO38" s="28">
        <v>2.714285714285714</v>
      </c>
      <c r="AP38" s="28">
        <v>3</v>
      </c>
      <c r="AQ38" s="28">
        <v>0.17333333333333331</v>
      </c>
      <c r="AR38" s="28">
        <v>0.29333333333333328</v>
      </c>
      <c r="AS38" s="28">
        <v>0.25333333333333341</v>
      </c>
      <c r="AT38" s="28">
        <v>0.28000000000000003</v>
      </c>
      <c r="AU38" s="25">
        <v>1.6</v>
      </c>
      <c r="AV38" s="25">
        <v>3.44</v>
      </c>
      <c r="AW38" s="25">
        <v>1.84</v>
      </c>
      <c r="AX38" s="25">
        <v>2.895</v>
      </c>
      <c r="AY38">
        <v>2.895</v>
      </c>
      <c r="AZ38">
        <v>6.260504073571429</v>
      </c>
      <c r="BA38" s="75">
        <v>0.51995616258071919</v>
      </c>
      <c r="BB38" s="75">
        <v>0.51988140722208986</v>
      </c>
      <c r="BE38">
        <v>4.5583381427355033E-2</v>
      </c>
      <c r="BF38">
        <v>4.5576827794046308E-2</v>
      </c>
      <c r="BH38">
        <v>9.1160209221401334E-2</v>
      </c>
      <c r="BI38">
        <v>4.5580104610700667E-2</v>
      </c>
      <c r="BJ38">
        <v>0.51991878490140453</v>
      </c>
    </row>
    <row r="39" spans="1:68" x14ac:dyDescent="0.3">
      <c r="A39" s="2" t="s">
        <v>32</v>
      </c>
      <c r="B39" s="13" t="s">
        <v>881</v>
      </c>
      <c r="C39" s="13"/>
      <c r="F39" s="2">
        <v>3.44</v>
      </c>
      <c r="G39" s="2" t="s">
        <v>29</v>
      </c>
      <c r="H39" s="9">
        <v>-1</v>
      </c>
      <c r="I39">
        <v>-1</v>
      </c>
      <c r="J39" t="s">
        <v>1149</v>
      </c>
      <c r="L39" s="25">
        <v>0</v>
      </c>
      <c r="M39">
        <v>0</v>
      </c>
      <c r="N39">
        <v>2</v>
      </c>
      <c r="O39" s="2">
        <v>3.9</v>
      </c>
      <c r="P39" s="2">
        <v>3.9</v>
      </c>
      <c r="Q39" s="2">
        <v>29.65</v>
      </c>
      <c r="R39" s="2" t="s">
        <v>472</v>
      </c>
      <c r="T39" s="25">
        <v>0</v>
      </c>
      <c r="U39" s="25"/>
      <c r="V39" s="25"/>
      <c r="W39">
        <v>0</v>
      </c>
      <c r="AC39" s="2" t="s">
        <v>464</v>
      </c>
      <c r="AD39">
        <v>20</v>
      </c>
      <c r="AE39" s="55">
        <f t="shared" si="0"/>
        <v>450.97649999999993</v>
      </c>
      <c r="AF39" s="57">
        <v>0</v>
      </c>
      <c r="AG39" s="55">
        <v>0</v>
      </c>
      <c r="AH39" s="55">
        <v>451.2</v>
      </c>
      <c r="AJ39" s="51"/>
      <c r="AL39" s="67">
        <f>N39*AD39/AH39</f>
        <v>8.8652482269503549E-2</v>
      </c>
      <c r="AM39" s="28">
        <v>1.774193548387097</v>
      </c>
      <c r="AN39" s="28">
        <v>2.580645161290323</v>
      </c>
      <c r="AO39" s="28">
        <v>0.80645161290322576</v>
      </c>
      <c r="AP39" s="28">
        <v>0</v>
      </c>
      <c r="AQ39" s="28">
        <v>0.34375</v>
      </c>
      <c r="AR39" s="28">
        <v>0.5</v>
      </c>
      <c r="AS39" s="28">
        <v>0.15625</v>
      </c>
      <c r="AT39" s="28">
        <v>0</v>
      </c>
      <c r="AU39" s="25">
        <v>0.82</v>
      </c>
      <c r="AV39" s="25">
        <v>3.44</v>
      </c>
      <c r="AW39" s="25">
        <v>2.62</v>
      </c>
      <c r="AX39" s="25">
        <v>2.6877419354838712</v>
      </c>
      <c r="AY39">
        <v>2.6877419354838712</v>
      </c>
      <c r="AZ39">
        <v>6.0811360720967738</v>
      </c>
      <c r="BC39" s="75">
        <v>0</v>
      </c>
      <c r="BG39">
        <v>4.4326241134751768E-2</v>
      </c>
      <c r="BH39">
        <v>8.8652482269503549E-2</v>
      </c>
      <c r="BI39">
        <v>4.4326241134751768E-2</v>
      </c>
      <c r="BJ39">
        <v>0</v>
      </c>
    </row>
    <row r="40" spans="1:68" x14ac:dyDescent="0.3">
      <c r="A40" s="5" t="s">
        <v>974</v>
      </c>
      <c r="B40" s="43" t="s">
        <v>975</v>
      </c>
      <c r="C40" s="39"/>
      <c r="D40" s="5"/>
      <c r="E40" s="5"/>
      <c r="F40" s="5">
        <v>3.09</v>
      </c>
      <c r="G40" s="5" t="s">
        <v>29</v>
      </c>
      <c r="H40" s="40">
        <v>-2</v>
      </c>
      <c r="I40" s="5">
        <v>-1</v>
      </c>
      <c r="J40" s="5"/>
      <c r="K40" s="5"/>
      <c r="L40" s="41">
        <v>0</v>
      </c>
      <c r="M40">
        <v>0</v>
      </c>
      <c r="N40">
        <v>0</v>
      </c>
      <c r="O40" s="5" t="s">
        <v>464</v>
      </c>
      <c r="P40" s="5" t="s">
        <v>464</v>
      </c>
      <c r="Q40" s="5" t="s">
        <v>464</v>
      </c>
      <c r="R40" s="5"/>
      <c r="S40" s="5"/>
      <c r="T40" s="41">
        <v>0</v>
      </c>
      <c r="U40" s="41"/>
      <c r="V40" s="41"/>
      <c r="W40">
        <v>0</v>
      </c>
      <c r="Z40">
        <v>0</v>
      </c>
      <c r="AC40" s="5" t="s">
        <v>464</v>
      </c>
      <c r="AD40" s="5">
        <v>20</v>
      </c>
      <c r="AE40" s="55" t="e">
        <f t="shared" si="0"/>
        <v>#VALUE!</v>
      </c>
      <c r="AF40" s="57">
        <v>0</v>
      </c>
      <c r="AG40" s="55">
        <v>0</v>
      </c>
      <c r="AH40" s="55">
        <v>0</v>
      </c>
      <c r="AJ40" s="51"/>
      <c r="AM40" s="5">
        <v>1.774193548387097</v>
      </c>
      <c r="AN40" s="5">
        <v>2.67741935483871</v>
      </c>
      <c r="AO40" s="5">
        <v>1.290322580645161</v>
      </c>
      <c r="AP40" s="5">
        <v>0.67741935483870963</v>
      </c>
      <c r="AQ40" s="5">
        <v>0.27638190954773872</v>
      </c>
      <c r="AR40" s="5">
        <v>0.41708542713567842</v>
      </c>
      <c r="AS40" s="5">
        <v>0.20100502512562821</v>
      </c>
      <c r="AT40" s="5">
        <v>0.1055276381909548</v>
      </c>
      <c r="AU40" s="41">
        <v>0.82</v>
      </c>
      <c r="AV40" s="41">
        <v>3.44</v>
      </c>
      <c r="AW40" s="41">
        <v>2.62</v>
      </c>
      <c r="AX40" s="41">
        <v>2.7520967741935478</v>
      </c>
      <c r="AY40" s="5">
        <v>2.7520967741935478</v>
      </c>
      <c r="AZ40" s="5">
        <v>6.1207093292741934</v>
      </c>
      <c r="BH40">
        <v>0</v>
      </c>
      <c r="BI40">
        <v>0</v>
      </c>
      <c r="BJ40">
        <v>0</v>
      </c>
      <c r="BP40" s="5"/>
    </row>
    <row r="41" spans="1:68" x14ac:dyDescent="0.3">
      <c r="A41" s="5" t="s">
        <v>33</v>
      </c>
      <c r="B41" s="39" t="s">
        <v>882</v>
      </c>
      <c r="C41" s="39"/>
      <c r="D41" s="5"/>
      <c r="E41" s="5"/>
      <c r="F41" s="5">
        <v>3.06</v>
      </c>
      <c r="G41" s="5" t="s">
        <v>29</v>
      </c>
      <c r="H41" s="40">
        <v>-2</v>
      </c>
      <c r="I41" s="5">
        <v>-1</v>
      </c>
      <c r="J41" s="5"/>
      <c r="K41" s="5"/>
      <c r="L41" s="41">
        <v>0</v>
      </c>
      <c r="M41">
        <v>0</v>
      </c>
      <c r="N41">
        <v>0</v>
      </c>
      <c r="O41" s="5" t="s">
        <v>464</v>
      </c>
      <c r="P41" s="5" t="s">
        <v>464</v>
      </c>
      <c r="Q41" s="5" t="s">
        <v>464</v>
      </c>
      <c r="R41" s="5"/>
      <c r="S41" s="5"/>
      <c r="T41" s="41">
        <v>0</v>
      </c>
      <c r="U41" s="41"/>
      <c r="V41" s="41"/>
      <c r="W41">
        <v>0</v>
      </c>
      <c r="Z41">
        <v>0</v>
      </c>
      <c r="AC41" s="5" t="s">
        <v>464</v>
      </c>
      <c r="AD41" s="5">
        <v>20</v>
      </c>
      <c r="AE41" s="55" t="e">
        <f t="shared" si="0"/>
        <v>#VALUE!</v>
      </c>
      <c r="AF41" s="57">
        <v>0</v>
      </c>
      <c r="AG41" s="55">
        <v>0</v>
      </c>
      <c r="AH41" s="55">
        <v>0</v>
      </c>
      <c r="AJ41" s="51"/>
      <c r="AM41" s="5">
        <v>1.774193548387097</v>
      </c>
      <c r="AN41" s="5">
        <v>2.725806451612903</v>
      </c>
      <c r="AO41" s="5">
        <v>1.435483870967742</v>
      </c>
      <c r="AP41" s="5">
        <v>0.90322580645161288</v>
      </c>
      <c r="AQ41" s="5">
        <v>0.25943396226415089</v>
      </c>
      <c r="AR41" s="5">
        <v>0.3985849056603773</v>
      </c>
      <c r="AS41" s="5">
        <v>0.2099056603773585</v>
      </c>
      <c r="AT41" s="5">
        <v>0.13207547169811321</v>
      </c>
      <c r="AU41" s="41">
        <v>0.82</v>
      </c>
      <c r="AV41" s="41">
        <v>3.44</v>
      </c>
      <c r="AW41" s="41">
        <v>2.62</v>
      </c>
      <c r="AX41" s="41">
        <v>2.7669354838709679</v>
      </c>
      <c r="AY41" s="5">
        <v>2.7669354838709679</v>
      </c>
      <c r="AZ41" s="5">
        <v>6.1375918448387097</v>
      </c>
      <c r="BH41">
        <v>0</v>
      </c>
      <c r="BI41">
        <v>0</v>
      </c>
      <c r="BJ41">
        <v>0</v>
      </c>
      <c r="BP41" s="5"/>
    </row>
    <row r="42" spans="1:68" x14ac:dyDescent="0.3">
      <c r="A42" s="2" t="s">
        <v>34</v>
      </c>
      <c r="B42" s="13" t="s">
        <v>711</v>
      </c>
      <c r="C42" s="13"/>
      <c r="F42" s="2">
        <v>3.31</v>
      </c>
      <c r="G42" s="2" t="s">
        <v>29</v>
      </c>
      <c r="H42" s="9" t="s">
        <v>542</v>
      </c>
      <c r="I42" t="s">
        <v>623</v>
      </c>
      <c r="J42"/>
      <c r="L42" s="25">
        <v>1</v>
      </c>
      <c r="M42">
        <v>2</v>
      </c>
      <c r="N42">
        <v>0</v>
      </c>
      <c r="O42" s="2">
        <v>3.9</v>
      </c>
      <c r="P42" s="2">
        <v>3.9</v>
      </c>
      <c r="Q42" s="2">
        <v>29.65</v>
      </c>
      <c r="R42" s="2" t="s">
        <v>440</v>
      </c>
      <c r="T42" s="25">
        <v>3.9086759899999999</v>
      </c>
      <c r="U42" s="25">
        <v>3.908676100000001</v>
      </c>
      <c r="V42" s="25">
        <v>10.552604730000001</v>
      </c>
      <c r="W42">
        <v>3.899</v>
      </c>
      <c r="X42">
        <v>3.899</v>
      </c>
      <c r="Y42">
        <v>20.399989999999999</v>
      </c>
      <c r="Z42">
        <v>0</v>
      </c>
      <c r="AC42" s="2" t="s">
        <v>464</v>
      </c>
      <c r="AD42">
        <v>14</v>
      </c>
      <c r="AE42" s="55">
        <f t="shared" si="0"/>
        <v>450.97649999999993</v>
      </c>
      <c r="AF42" s="57">
        <v>155.59136328639269</v>
      </c>
      <c r="AG42" s="55">
        <v>310.12474837798999</v>
      </c>
      <c r="AH42" s="55">
        <v>0</v>
      </c>
      <c r="AJ42" s="51">
        <v>8.9979287437893268E-2</v>
      </c>
      <c r="AK42" s="52">
        <v>9.0286248183820222E-2</v>
      </c>
      <c r="AM42" s="28">
        <v>2</v>
      </c>
      <c r="AN42" s="28">
        <v>2.333333333333333</v>
      </c>
      <c r="AO42" s="28">
        <v>0.33333333333333331</v>
      </c>
      <c r="AP42" s="28">
        <v>0</v>
      </c>
      <c r="AQ42" s="28">
        <v>0.42857142857142849</v>
      </c>
      <c r="AR42" s="28">
        <v>0.5</v>
      </c>
      <c r="AS42" s="28">
        <v>7.1428571428571425E-2</v>
      </c>
      <c r="AT42" s="28">
        <v>0</v>
      </c>
      <c r="AU42" s="25">
        <v>0.95</v>
      </c>
      <c r="AV42" s="25">
        <v>3.44</v>
      </c>
      <c r="AW42" s="25">
        <v>2.4900000000000002</v>
      </c>
      <c r="AX42" s="25">
        <v>2.500833333333333</v>
      </c>
      <c r="AY42">
        <v>2.500833333333333</v>
      </c>
      <c r="AZ42">
        <v>5.6917605187500007</v>
      </c>
      <c r="BA42" s="75">
        <v>0.58499657192886345</v>
      </c>
      <c r="BB42" s="75">
        <v>0.58699226437317098</v>
      </c>
      <c r="BE42">
        <v>4.4989643718946627E-2</v>
      </c>
      <c r="BF42">
        <v>4.5143124091910111E-2</v>
      </c>
      <c r="BH42">
        <v>9.0132767810856745E-2</v>
      </c>
      <c r="BI42">
        <v>4.5066383905428373E-2</v>
      </c>
      <c r="BJ42">
        <v>0.58599441815101727</v>
      </c>
    </row>
    <row r="43" spans="1:68" x14ac:dyDescent="0.3">
      <c r="A43" s="2" t="s">
        <v>35</v>
      </c>
      <c r="B43" s="13" t="s">
        <v>712</v>
      </c>
      <c r="C43" s="13"/>
      <c r="F43" s="2">
        <v>2.98</v>
      </c>
      <c r="G43" s="2" t="s">
        <v>29</v>
      </c>
      <c r="H43" s="9" t="s">
        <v>543</v>
      </c>
      <c r="I43" t="s">
        <v>624</v>
      </c>
      <c r="J43"/>
      <c r="L43" s="25">
        <v>1</v>
      </c>
      <c r="M43">
        <v>1</v>
      </c>
      <c r="N43">
        <v>0</v>
      </c>
      <c r="O43" s="2" t="s">
        <v>464</v>
      </c>
      <c r="P43" s="2" t="s">
        <v>464</v>
      </c>
      <c r="Q43" s="2" t="s">
        <v>464</v>
      </c>
      <c r="R43" s="2" t="s">
        <v>440</v>
      </c>
      <c r="T43" s="25">
        <v>3.969049</v>
      </c>
      <c r="U43" s="25">
        <v>3.969049</v>
      </c>
      <c r="V43" s="25">
        <v>3.969049</v>
      </c>
      <c r="W43">
        <v>4</v>
      </c>
      <c r="X43">
        <v>4.2110000000000003</v>
      </c>
      <c r="Y43">
        <v>3.875</v>
      </c>
      <c r="Z43">
        <v>0</v>
      </c>
      <c r="AC43" s="2" t="s">
        <v>464</v>
      </c>
      <c r="AD43">
        <v>6</v>
      </c>
      <c r="AE43" s="55" t="e">
        <f t="shared" si="0"/>
        <v>#VALUE!</v>
      </c>
      <c r="AF43" s="57">
        <v>62.525817922855822</v>
      </c>
      <c r="AG43" s="55">
        <v>65.270499999999998</v>
      </c>
      <c r="AH43" s="55">
        <v>0</v>
      </c>
      <c r="AJ43" s="51">
        <v>9.5960360045234158E-2</v>
      </c>
      <c r="AK43" s="52">
        <v>9.1925142292459849E-2</v>
      </c>
      <c r="AM43" s="28">
        <v>2</v>
      </c>
      <c r="AN43" s="28">
        <v>2.8</v>
      </c>
      <c r="AO43" s="28">
        <v>2.4</v>
      </c>
      <c r="AP43" s="28">
        <v>2.8</v>
      </c>
      <c r="AQ43" s="28">
        <v>0.2</v>
      </c>
      <c r="AR43" s="28">
        <v>0.28000000000000003</v>
      </c>
      <c r="AS43" s="28">
        <v>0.24</v>
      </c>
      <c r="AT43" s="28">
        <v>0.28000000000000003</v>
      </c>
      <c r="AU43" s="25">
        <v>1.54</v>
      </c>
      <c r="AV43" s="25">
        <v>3.44</v>
      </c>
      <c r="AW43" s="25">
        <v>1.9</v>
      </c>
      <c r="AX43" s="25">
        <v>2.8380000000000001</v>
      </c>
      <c r="AY43">
        <v>2.8380000000000001</v>
      </c>
      <c r="AZ43">
        <v>5.9914547000000002</v>
      </c>
      <c r="BA43" s="75">
        <v>0.58734468850194366</v>
      </c>
      <c r="BB43" s="75">
        <v>0.56264632646033053</v>
      </c>
      <c r="BE43">
        <v>4.7980180022617079E-2</v>
      </c>
      <c r="BF43">
        <v>4.5962571146229918E-2</v>
      </c>
      <c r="BH43">
        <v>9.3942751168847011E-2</v>
      </c>
      <c r="BI43">
        <v>4.6971375584423498E-2</v>
      </c>
      <c r="BJ43">
        <v>0.57499550748113704</v>
      </c>
    </row>
    <row r="44" spans="1:68" x14ac:dyDescent="0.3">
      <c r="A44" s="2" t="s">
        <v>37</v>
      </c>
      <c r="B44" s="13" t="s">
        <v>713</v>
      </c>
      <c r="C44" s="13"/>
      <c r="F44" s="2">
        <v>4.04</v>
      </c>
      <c r="G44" s="2" t="s">
        <v>36</v>
      </c>
      <c r="H44" s="9" t="s">
        <v>544</v>
      </c>
      <c r="I44" t="s">
        <v>625</v>
      </c>
      <c r="J44"/>
      <c r="L44" s="25">
        <v>1</v>
      </c>
      <c r="M44">
        <v>2</v>
      </c>
      <c r="N44">
        <v>0</v>
      </c>
      <c r="T44" s="25">
        <v>5.7458564399999998</v>
      </c>
      <c r="U44" s="25">
        <v>5.7458564399999998</v>
      </c>
      <c r="V44" s="25">
        <v>11.67169612</v>
      </c>
      <c r="W44">
        <v>5.6660000000000004</v>
      </c>
      <c r="X44">
        <v>5.6659999999999986</v>
      </c>
      <c r="Y44">
        <v>22.968</v>
      </c>
      <c r="Z44">
        <v>0</v>
      </c>
      <c r="AC44" s="2" t="s">
        <v>464</v>
      </c>
      <c r="AD44">
        <v>30</v>
      </c>
      <c r="AE44" s="55">
        <f t="shared" si="0"/>
        <v>0</v>
      </c>
      <c r="AF44" s="57">
        <v>333.30247418302179</v>
      </c>
      <c r="AG44" s="55">
        <v>638.56770625824583</v>
      </c>
      <c r="AH44" s="55">
        <v>0</v>
      </c>
      <c r="AJ44" s="51">
        <v>9.0008332742008132E-2</v>
      </c>
      <c r="AK44" s="52">
        <v>9.3960279249911127E-2</v>
      </c>
      <c r="AM44" s="28">
        <v>1.833333333333333</v>
      </c>
      <c r="AN44" s="28">
        <v>2.5</v>
      </c>
      <c r="AO44" s="28">
        <v>0.66666666666666663</v>
      </c>
      <c r="AP44" s="28">
        <v>0</v>
      </c>
      <c r="AQ44" s="28">
        <v>0.36666666666666659</v>
      </c>
      <c r="AR44" s="28">
        <v>0.5</v>
      </c>
      <c r="AS44" s="28">
        <v>0.1333333333333333</v>
      </c>
      <c r="AT44" s="28">
        <v>0</v>
      </c>
      <c r="AU44" s="25">
        <v>0.95</v>
      </c>
      <c r="AV44" s="25">
        <v>3.44</v>
      </c>
      <c r="AW44" s="25">
        <v>2.4900000000000002</v>
      </c>
      <c r="AX44" s="25">
        <v>2.614583333333333</v>
      </c>
      <c r="AY44">
        <v>2.614583333333333</v>
      </c>
      <c r="AZ44">
        <v>5.9505645781250003</v>
      </c>
      <c r="BA44" s="75">
        <v>0.54547732833861384</v>
      </c>
      <c r="BB44" s="75">
        <v>0.56942730227099381</v>
      </c>
      <c r="BE44">
        <v>4.5004166371004073E-2</v>
      </c>
      <c r="BF44">
        <v>4.6980139624955557E-2</v>
      </c>
      <c r="BH44">
        <v>9.1984305995959637E-2</v>
      </c>
      <c r="BI44">
        <v>4.5992152997979818E-2</v>
      </c>
      <c r="BJ44">
        <v>0.55745231530480388</v>
      </c>
      <c r="BP44" s="2">
        <v>1</v>
      </c>
    </row>
    <row r="45" spans="1:68" x14ac:dyDescent="0.3">
      <c r="A45" s="2" t="s">
        <v>38</v>
      </c>
      <c r="B45" s="13" t="s">
        <v>714</v>
      </c>
      <c r="C45" s="13"/>
      <c r="F45" s="2">
        <v>3.91</v>
      </c>
      <c r="G45" s="2" t="s">
        <v>36</v>
      </c>
      <c r="H45" s="9" t="s">
        <v>545</v>
      </c>
      <c r="I45" t="s">
        <v>626</v>
      </c>
      <c r="J45"/>
      <c r="L45" s="25">
        <v>1</v>
      </c>
      <c r="M45">
        <v>1</v>
      </c>
      <c r="N45">
        <v>0</v>
      </c>
      <c r="T45" s="25">
        <v>5.8532381300000003</v>
      </c>
      <c r="U45" s="25">
        <v>5.8532371599999999</v>
      </c>
      <c r="V45" s="25">
        <v>11.912811489999999</v>
      </c>
      <c r="W45">
        <v>5.7946</v>
      </c>
      <c r="X45">
        <v>5.7946</v>
      </c>
      <c r="Y45">
        <v>11.787599999999999</v>
      </c>
      <c r="Z45">
        <v>0</v>
      </c>
      <c r="AC45" s="2" t="s">
        <v>464</v>
      </c>
      <c r="AD45">
        <v>30</v>
      </c>
      <c r="AE45" s="55">
        <f t="shared" si="0"/>
        <v>0</v>
      </c>
      <c r="AF45" s="57">
        <v>353.45760058531442</v>
      </c>
      <c r="AG45" s="55">
        <v>342.77011164986573</v>
      </c>
      <c r="AH45" s="55">
        <v>0</v>
      </c>
      <c r="AJ45" s="51">
        <v>8.487580957467307E-2</v>
      </c>
      <c r="AK45" s="52">
        <v>8.752221672887435E-2</v>
      </c>
      <c r="AM45" s="28">
        <v>1.833333333333333</v>
      </c>
      <c r="AN45" s="28">
        <v>2.5</v>
      </c>
      <c r="AO45" s="28">
        <v>0.66666666666666663</v>
      </c>
      <c r="AP45" s="28">
        <v>0</v>
      </c>
      <c r="AQ45" s="28">
        <v>0.36666666666666659</v>
      </c>
      <c r="AR45" s="28">
        <v>0.5</v>
      </c>
      <c r="AS45" s="28">
        <v>0.1333333333333333</v>
      </c>
      <c r="AT45" s="28">
        <v>0</v>
      </c>
      <c r="AU45" s="25">
        <v>0.89</v>
      </c>
      <c r="AV45" s="25">
        <v>3.44</v>
      </c>
      <c r="AW45" s="25">
        <v>2.5499999999999998</v>
      </c>
      <c r="AX45" s="25">
        <v>2.6020833333333329</v>
      </c>
      <c r="AY45">
        <v>2.6020833333333329</v>
      </c>
      <c r="AZ45">
        <v>5.9098726145833336</v>
      </c>
      <c r="BA45" s="75">
        <v>0.57410011132036598</v>
      </c>
      <c r="BB45" s="75">
        <v>0.59200041353179045</v>
      </c>
      <c r="BE45">
        <v>4.2437904787336528E-2</v>
      </c>
      <c r="BF45">
        <v>4.3761108364437168E-2</v>
      </c>
      <c r="BH45">
        <v>8.619901315177371E-2</v>
      </c>
      <c r="BI45">
        <v>4.3099506575886848E-2</v>
      </c>
      <c r="BJ45">
        <v>0.58305026242607827</v>
      </c>
      <c r="BP45" s="2">
        <v>1</v>
      </c>
    </row>
    <row r="46" spans="1:68" x14ac:dyDescent="0.3">
      <c r="A46" s="2" t="s">
        <v>39</v>
      </c>
      <c r="B46" s="13" t="s">
        <v>715</v>
      </c>
      <c r="C46" s="13"/>
      <c r="F46" s="2">
        <v>3.79</v>
      </c>
      <c r="G46" s="2" t="s">
        <v>36</v>
      </c>
      <c r="H46" s="9">
        <v>-1</v>
      </c>
      <c r="I46">
        <v>-1</v>
      </c>
      <c r="J46" t="s">
        <v>1150</v>
      </c>
      <c r="L46" s="25">
        <v>0</v>
      </c>
      <c r="M46">
        <v>0</v>
      </c>
      <c r="N46">
        <v>1</v>
      </c>
      <c r="T46" s="25">
        <v>0</v>
      </c>
      <c r="U46" s="25"/>
      <c r="V46" s="25"/>
      <c r="W46">
        <v>0</v>
      </c>
      <c r="Z46">
        <v>5.532</v>
      </c>
      <c r="AA46">
        <v>5.532</v>
      </c>
      <c r="AB46">
        <v>11.016</v>
      </c>
      <c r="AC46" s="2" t="s">
        <v>464</v>
      </c>
      <c r="AD46">
        <v>30</v>
      </c>
      <c r="AE46" s="55">
        <f t="shared" si="0"/>
        <v>0</v>
      </c>
      <c r="AF46" s="57">
        <v>0</v>
      </c>
      <c r="AG46" s="55">
        <v>0</v>
      </c>
      <c r="AH46" s="55">
        <v>291.95700632233962</v>
      </c>
      <c r="AJ46" s="51"/>
      <c r="AL46" s="52">
        <v>0.1027548555107393</v>
      </c>
      <c r="AM46" s="28">
        <v>2</v>
      </c>
      <c r="AN46" s="28">
        <v>2.5</v>
      </c>
      <c r="AO46" s="28">
        <v>0.5</v>
      </c>
      <c r="AP46" s="28">
        <v>0</v>
      </c>
      <c r="AQ46" s="28">
        <v>0.4</v>
      </c>
      <c r="AR46" s="28">
        <v>0.5</v>
      </c>
      <c r="AS46" s="28">
        <v>0.1</v>
      </c>
      <c r="AT46" s="28">
        <v>0</v>
      </c>
      <c r="AU46" s="25">
        <v>1</v>
      </c>
      <c r="AV46" s="25">
        <v>3.44</v>
      </c>
      <c r="AW46" s="25">
        <v>2.44</v>
      </c>
      <c r="AX46" s="25">
        <v>2.6316666666666659</v>
      </c>
      <c r="AY46">
        <v>2.6316666666666668</v>
      </c>
      <c r="AZ46">
        <v>5.9266157452083332</v>
      </c>
      <c r="BC46" s="75">
        <v>0</v>
      </c>
      <c r="BG46">
        <v>5.1377427755369638E-2</v>
      </c>
      <c r="BH46">
        <v>0.1027548555107393</v>
      </c>
      <c r="BI46">
        <v>5.1377427755369638E-2</v>
      </c>
      <c r="BJ46">
        <v>0</v>
      </c>
      <c r="BP46" s="2">
        <v>1</v>
      </c>
    </row>
    <row r="47" spans="1:68" x14ac:dyDescent="0.3">
      <c r="A47" s="2" t="s">
        <v>40</v>
      </c>
      <c r="B47" s="13" t="s">
        <v>716</v>
      </c>
      <c r="C47" s="13"/>
      <c r="F47" s="2">
        <v>3.85</v>
      </c>
      <c r="G47" s="2" t="s">
        <v>36</v>
      </c>
      <c r="H47" s="9" t="s">
        <v>546</v>
      </c>
      <c r="I47" t="s">
        <v>627</v>
      </c>
      <c r="J47"/>
      <c r="L47" s="25">
        <v>2</v>
      </c>
      <c r="M47">
        <v>2</v>
      </c>
      <c r="N47">
        <v>0</v>
      </c>
      <c r="T47" s="25">
        <v>5.6269875200000001</v>
      </c>
      <c r="U47" s="25">
        <v>5.6269875200000001</v>
      </c>
      <c r="V47" s="25">
        <v>22.749475</v>
      </c>
      <c r="W47">
        <v>5.5670999999999999</v>
      </c>
      <c r="X47">
        <v>5.5670999999999999</v>
      </c>
      <c r="Y47">
        <v>22.4603</v>
      </c>
      <c r="Z47">
        <v>0</v>
      </c>
      <c r="AC47" s="2" t="s">
        <v>464</v>
      </c>
      <c r="AD47">
        <v>30</v>
      </c>
      <c r="AE47" s="55">
        <f t="shared" si="0"/>
        <v>0</v>
      </c>
      <c r="AF47" s="57">
        <v>623.81230762201892</v>
      </c>
      <c r="AG47" s="55">
        <v>602.84300974379039</v>
      </c>
      <c r="AH47" s="55">
        <v>0</v>
      </c>
      <c r="AJ47" s="51">
        <v>9.6182776881592519E-2</v>
      </c>
      <c r="AK47" s="52">
        <v>9.9528399650018556E-2</v>
      </c>
      <c r="AM47" s="28">
        <v>2</v>
      </c>
      <c r="AN47" s="28">
        <v>2.5</v>
      </c>
      <c r="AO47" s="28">
        <v>0.5</v>
      </c>
      <c r="AP47" s="28">
        <v>0</v>
      </c>
      <c r="AQ47" s="28">
        <v>0.4</v>
      </c>
      <c r="AR47" s="28">
        <v>0.5</v>
      </c>
      <c r="AS47" s="28">
        <v>0.1</v>
      </c>
      <c r="AT47" s="28">
        <v>0</v>
      </c>
      <c r="AU47" s="25">
        <v>0.89</v>
      </c>
      <c r="AV47" s="25">
        <v>3.44</v>
      </c>
      <c r="AW47" s="25">
        <v>2.5499999999999998</v>
      </c>
      <c r="AX47" s="25">
        <v>2.6270833333333332</v>
      </c>
      <c r="AY47">
        <v>2.6270833333333332</v>
      </c>
      <c r="AZ47">
        <v>5.9103362479166668</v>
      </c>
      <c r="BA47" s="75">
        <v>0.55608047790729209</v>
      </c>
      <c r="BB47" s="75">
        <v>0</v>
      </c>
      <c r="BE47">
        <v>4.8091388440796259E-2</v>
      </c>
      <c r="BF47">
        <v>4.9764199825009278E-2</v>
      </c>
      <c r="BH47">
        <v>9.7855588265805538E-2</v>
      </c>
      <c r="BI47">
        <v>4.8927794132902769E-2</v>
      </c>
      <c r="BJ47">
        <v>0.27804023895364599</v>
      </c>
      <c r="BP47" s="2">
        <v>1</v>
      </c>
    </row>
    <row r="48" spans="1:68" x14ac:dyDescent="0.3">
      <c r="A48" s="2" t="s">
        <v>41</v>
      </c>
      <c r="B48" s="13" t="s">
        <v>717</v>
      </c>
      <c r="C48" s="13"/>
      <c r="F48" s="2">
        <v>3.95</v>
      </c>
      <c r="G48" s="2" t="s">
        <v>36</v>
      </c>
      <c r="H48" s="9" t="s">
        <v>547</v>
      </c>
      <c r="I48" t="s">
        <v>628</v>
      </c>
      <c r="J48"/>
      <c r="L48" s="25">
        <v>1</v>
      </c>
      <c r="M48">
        <v>3</v>
      </c>
      <c r="N48">
        <v>0</v>
      </c>
      <c r="T48" s="25">
        <v>9.3662349099999993</v>
      </c>
      <c r="U48" s="25">
        <v>9.3662349099999993</v>
      </c>
      <c r="V48" s="25">
        <v>9.3662351000000008</v>
      </c>
      <c r="W48">
        <v>5.5609999999999999</v>
      </c>
      <c r="X48">
        <v>5.5609999999999999</v>
      </c>
      <c r="Y48">
        <v>26.24</v>
      </c>
      <c r="Z48">
        <v>0</v>
      </c>
      <c r="AC48" s="2" t="s">
        <v>464</v>
      </c>
      <c r="AD48">
        <v>24</v>
      </c>
      <c r="AE48" s="55">
        <f t="shared" si="0"/>
        <v>0</v>
      </c>
      <c r="AF48" s="57">
        <v>238.908881754341</v>
      </c>
      <c r="AG48" s="55">
        <v>702.74902632242595</v>
      </c>
      <c r="AH48" s="55">
        <v>0</v>
      </c>
      <c r="AJ48" s="51">
        <v>0.10045670895014321</v>
      </c>
      <c r="AK48" s="52">
        <v>0.1024547844296349</v>
      </c>
      <c r="AM48" s="28">
        <v>2</v>
      </c>
      <c r="AN48" s="28">
        <v>2.5263157894736841</v>
      </c>
      <c r="AO48" s="28">
        <v>0.52631578947368418</v>
      </c>
      <c r="AP48" s="28">
        <v>0</v>
      </c>
      <c r="AQ48" s="28">
        <v>0.39583333333333343</v>
      </c>
      <c r="AR48" s="28">
        <v>0.5</v>
      </c>
      <c r="AS48" s="28">
        <v>0.1041666666666667</v>
      </c>
      <c r="AT48" s="28">
        <v>0</v>
      </c>
      <c r="AU48" s="25">
        <v>1.1000000000000001</v>
      </c>
      <c r="AV48" s="25">
        <v>3.44</v>
      </c>
      <c r="AW48" s="25">
        <v>2.34</v>
      </c>
      <c r="AX48" s="25">
        <v>2.647368421052632</v>
      </c>
      <c r="AY48">
        <v>2.6473684210526311</v>
      </c>
      <c r="AZ48">
        <v>5.9525974578947363</v>
      </c>
      <c r="BA48" s="75">
        <v>0.55552189395192297</v>
      </c>
      <c r="BB48" s="75">
        <v>0.56657117763069742</v>
      </c>
      <c r="BE48">
        <v>5.0228354475071582E-2</v>
      </c>
      <c r="BF48">
        <v>5.1227392214817473E-2</v>
      </c>
      <c r="BH48">
        <v>0.10145574668988901</v>
      </c>
      <c r="BI48">
        <v>5.0727873344944517E-2</v>
      </c>
      <c r="BJ48">
        <v>0.56104653579131014</v>
      </c>
      <c r="BP48" s="2">
        <v>1</v>
      </c>
    </row>
    <row r="49" spans="1:68" x14ac:dyDescent="0.3">
      <c r="A49" s="2" t="s">
        <v>39</v>
      </c>
      <c r="B49" s="13" t="s">
        <v>715</v>
      </c>
      <c r="C49" s="13"/>
      <c r="F49" s="2">
        <v>3.79</v>
      </c>
      <c r="G49" s="2" t="s">
        <v>36</v>
      </c>
      <c r="H49" s="9">
        <v>-1</v>
      </c>
      <c r="I49">
        <v>-1</v>
      </c>
      <c r="J49" t="s">
        <v>1150</v>
      </c>
      <c r="L49" s="25">
        <v>0</v>
      </c>
      <c r="M49">
        <v>0</v>
      </c>
      <c r="N49">
        <v>1</v>
      </c>
      <c r="T49" s="25">
        <v>0</v>
      </c>
      <c r="U49" s="25"/>
      <c r="V49" s="25"/>
      <c r="W49">
        <v>0</v>
      </c>
      <c r="Z49">
        <v>5.532</v>
      </c>
      <c r="AA49">
        <v>5.532</v>
      </c>
      <c r="AB49">
        <v>11.016</v>
      </c>
      <c r="AC49" s="2" t="s">
        <v>464</v>
      </c>
      <c r="AD49">
        <v>30</v>
      </c>
      <c r="AE49" s="55">
        <f t="shared" si="0"/>
        <v>0</v>
      </c>
      <c r="AF49" s="57">
        <v>0</v>
      </c>
      <c r="AG49" s="55">
        <v>0</v>
      </c>
      <c r="AH49" s="55">
        <v>291.95700632233962</v>
      </c>
      <c r="AJ49" s="51"/>
      <c r="AL49" s="52">
        <v>0.1027548555107393</v>
      </c>
      <c r="AM49" s="28">
        <v>2</v>
      </c>
      <c r="AN49" s="28">
        <v>2.5</v>
      </c>
      <c r="AO49" s="28">
        <v>0.5</v>
      </c>
      <c r="AP49" s="28">
        <v>0</v>
      </c>
      <c r="AQ49" s="28">
        <v>0.4</v>
      </c>
      <c r="AR49" s="28">
        <v>0.5</v>
      </c>
      <c r="AS49" s="28">
        <v>0.1</v>
      </c>
      <c r="AT49" s="28">
        <v>0</v>
      </c>
      <c r="AU49" s="25">
        <v>1</v>
      </c>
      <c r="AV49" s="25">
        <v>3.44</v>
      </c>
      <c r="AW49" s="25">
        <v>2.44</v>
      </c>
      <c r="AX49" s="25">
        <v>2.6316666666666659</v>
      </c>
      <c r="AY49">
        <v>2.6316666666666668</v>
      </c>
      <c r="AZ49">
        <v>5.9266157452083332</v>
      </c>
      <c r="BC49" s="75">
        <v>0</v>
      </c>
      <c r="BG49">
        <v>5.1377427755369638E-2</v>
      </c>
      <c r="BH49">
        <v>0.1027548555107393</v>
      </c>
      <c r="BI49">
        <v>5.1377427755369638E-2</v>
      </c>
      <c r="BJ49">
        <v>0</v>
      </c>
      <c r="BP49" s="2">
        <v>1</v>
      </c>
    </row>
    <row r="50" spans="1:68" x14ac:dyDescent="0.3">
      <c r="A50" s="2" t="s">
        <v>42</v>
      </c>
      <c r="B50" s="13" t="s">
        <v>718</v>
      </c>
      <c r="C50" s="13"/>
      <c r="F50" s="2">
        <v>3.82</v>
      </c>
      <c r="G50" s="2" t="s">
        <v>36</v>
      </c>
      <c r="H50" s="9">
        <v>-1</v>
      </c>
      <c r="I50">
        <v>-1</v>
      </c>
      <c r="J50" t="s">
        <v>1151</v>
      </c>
      <c r="L50" s="25">
        <v>0</v>
      </c>
      <c r="M50">
        <v>0</v>
      </c>
      <c r="N50">
        <v>1</v>
      </c>
      <c r="T50" s="25">
        <v>0</v>
      </c>
      <c r="U50" s="25"/>
      <c r="V50" s="25"/>
      <c r="W50">
        <v>0</v>
      </c>
      <c r="Z50">
        <v>5.55</v>
      </c>
      <c r="AA50">
        <v>5.55</v>
      </c>
      <c r="AB50">
        <v>11.066000000000001</v>
      </c>
      <c r="AC50" s="2" t="s">
        <v>464</v>
      </c>
      <c r="AD50">
        <v>30</v>
      </c>
      <c r="AE50" s="55">
        <f t="shared" si="0"/>
        <v>0</v>
      </c>
      <c r="AF50" s="57">
        <v>0</v>
      </c>
      <c r="AG50" s="55">
        <v>0</v>
      </c>
      <c r="AH50" s="55">
        <v>295.19382183577648</v>
      </c>
      <c r="AJ50" s="51"/>
      <c r="AL50" s="52">
        <v>0.1016281432092089</v>
      </c>
      <c r="AM50" s="28">
        <v>2</v>
      </c>
      <c r="AN50" s="28">
        <v>2.5</v>
      </c>
      <c r="AO50" s="28">
        <v>0.5</v>
      </c>
      <c r="AP50" s="28">
        <v>0</v>
      </c>
      <c r="AQ50" s="28">
        <v>0.4</v>
      </c>
      <c r="AR50" s="28">
        <v>0.5</v>
      </c>
      <c r="AS50" s="28">
        <v>0.1</v>
      </c>
      <c r="AT50" s="28">
        <v>0</v>
      </c>
      <c r="AU50" s="25">
        <v>0.95</v>
      </c>
      <c r="AV50" s="25">
        <v>3.44</v>
      </c>
      <c r="AW50" s="25">
        <v>2.4900000000000002</v>
      </c>
      <c r="AX50" s="25">
        <v>2.6295833333333332</v>
      </c>
      <c r="AY50">
        <v>2.6295833333333332</v>
      </c>
      <c r="AZ50">
        <v>5.9184746406250008</v>
      </c>
      <c r="BC50" s="75">
        <v>0</v>
      </c>
      <c r="BG50">
        <v>5.0814071604604473E-2</v>
      </c>
      <c r="BH50">
        <v>0.1016281432092089</v>
      </c>
      <c r="BI50">
        <v>5.0814071604604473E-2</v>
      </c>
      <c r="BJ50">
        <v>0</v>
      </c>
      <c r="BP50" s="2">
        <v>1</v>
      </c>
    </row>
    <row r="51" spans="1:68" x14ac:dyDescent="0.3">
      <c r="A51" s="2" t="s">
        <v>40</v>
      </c>
      <c r="B51" s="13" t="s">
        <v>716</v>
      </c>
      <c r="C51" s="13"/>
      <c r="F51" s="2">
        <v>3.85</v>
      </c>
      <c r="G51" s="2" t="s">
        <v>36</v>
      </c>
      <c r="H51" s="9" t="s">
        <v>546</v>
      </c>
      <c r="I51" t="s">
        <v>627</v>
      </c>
      <c r="J51"/>
      <c r="L51" s="25">
        <v>2</v>
      </c>
      <c r="M51">
        <v>2</v>
      </c>
      <c r="N51">
        <v>0</v>
      </c>
      <c r="T51" s="25">
        <v>5.6269875200000001</v>
      </c>
      <c r="U51" s="25">
        <v>5.6269875200000001</v>
      </c>
      <c r="V51" s="25">
        <v>22.749475</v>
      </c>
      <c r="W51">
        <v>5.5670999999999999</v>
      </c>
      <c r="X51">
        <v>5.5670999999999999</v>
      </c>
      <c r="Y51">
        <v>22.4603</v>
      </c>
      <c r="Z51">
        <v>0</v>
      </c>
      <c r="AC51" s="2" t="s">
        <v>464</v>
      </c>
      <c r="AD51">
        <v>30</v>
      </c>
      <c r="AE51" s="55">
        <f t="shared" si="0"/>
        <v>0</v>
      </c>
      <c r="AF51" s="57">
        <v>623.81230762201892</v>
      </c>
      <c r="AG51" s="55">
        <v>602.84300974379039</v>
      </c>
      <c r="AH51" s="55">
        <v>0</v>
      </c>
      <c r="AJ51" s="51">
        <v>9.6182776881592519E-2</v>
      </c>
      <c r="AK51" s="52">
        <v>9.9528399650018556E-2</v>
      </c>
      <c r="AM51" s="28">
        <v>2</v>
      </c>
      <c r="AN51" s="28">
        <v>2.5</v>
      </c>
      <c r="AO51" s="28">
        <v>0.5</v>
      </c>
      <c r="AP51" s="28">
        <v>0</v>
      </c>
      <c r="AQ51" s="28">
        <v>0.4</v>
      </c>
      <c r="AR51" s="28">
        <v>0.5</v>
      </c>
      <c r="AS51" s="28">
        <v>0.1</v>
      </c>
      <c r="AT51" s="28">
        <v>0</v>
      </c>
      <c r="AU51" s="25">
        <v>0.89</v>
      </c>
      <c r="AV51" s="25">
        <v>3.44</v>
      </c>
      <c r="AW51" s="25">
        <v>2.5499999999999998</v>
      </c>
      <c r="AX51" s="25">
        <v>2.6270833333333332</v>
      </c>
      <c r="AY51">
        <v>2.6270833333333332</v>
      </c>
      <c r="AZ51">
        <v>5.9103362479166668</v>
      </c>
      <c r="BA51" s="75">
        <v>0.55608047790729209</v>
      </c>
      <c r="BB51" s="75">
        <v>0</v>
      </c>
      <c r="BE51">
        <v>4.8091388440796259E-2</v>
      </c>
      <c r="BF51">
        <v>4.9764199825009278E-2</v>
      </c>
      <c r="BH51">
        <v>9.7855588265805538E-2</v>
      </c>
      <c r="BI51">
        <v>4.8927794132902769E-2</v>
      </c>
      <c r="BJ51">
        <v>0.27804023895364599</v>
      </c>
      <c r="BP51" s="2">
        <v>1</v>
      </c>
    </row>
    <row r="52" spans="1:68" x14ac:dyDescent="0.3">
      <c r="A52" s="2" t="s">
        <v>43</v>
      </c>
      <c r="B52" s="13" t="s">
        <v>719</v>
      </c>
      <c r="C52" s="13"/>
      <c r="F52" s="2">
        <v>4.07</v>
      </c>
      <c r="G52" s="2" t="s">
        <v>36</v>
      </c>
      <c r="H52" s="9" t="s">
        <v>548</v>
      </c>
      <c r="I52">
        <v>-1</v>
      </c>
      <c r="J52"/>
      <c r="L52" s="25">
        <v>1</v>
      </c>
      <c r="M52">
        <v>0</v>
      </c>
      <c r="N52">
        <v>0</v>
      </c>
      <c r="T52" s="25">
        <v>9.9321903099999993</v>
      </c>
      <c r="U52" s="25">
        <v>9.9321903099999993</v>
      </c>
      <c r="V52" s="25">
        <v>9.9321899499999997</v>
      </c>
      <c r="W52">
        <v>0</v>
      </c>
      <c r="Z52">
        <v>0</v>
      </c>
      <c r="AC52" s="2" t="s">
        <v>464</v>
      </c>
      <c r="AD52">
        <v>24</v>
      </c>
      <c r="AE52" s="55">
        <f t="shared" si="0"/>
        <v>0</v>
      </c>
      <c r="AF52" s="57">
        <v>275.17611786249188</v>
      </c>
      <c r="AG52" s="55">
        <v>0</v>
      </c>
      <c r="AH52" s="55">
        <v>0</v>
      </c>
      <c r="AJ52" s="51">
        <v>8.7216871094871057E-2</v>
      </c>
      <c r="AM52" s="28">
        <v>1.8421052631578949</v>
      </c>
      <c r="AN52" s="28">
        <v>2.5263157894736841</v>
      </c>
      <c r="AO52" s="28">
        <v>0.68421052631578949</v>
      </c>
      <c r="AP52" s="28">
        <v>0</v>
      </c>
      <c r="AQ52" s="28">
        <v>0.36458333333333343</v>
      </c>
      <c r="AR52" s="28">
        <v>0.5</v>
      </c>
      <c r="AS52" s="28">
        <v>0.13541666666666671</v>
      </c>
      <c r="AT52" s="28">
        <v>0</v>
      </c>
      <c r="AU52" s="25">
        <v>0.89</v>
      </c>
      <c r="AV52" s="25">
        <v>3.44</v>
      </c>
      <c r="AW52" s="25">
        <v>2.5499999999999998</v>
      </c>
      <c r="AX52" s="25">
        <v>2.6236842105263158</v>
      </c>
      <c r="AY52">
        <v>2.623684210526315</v>
      </c>
      <c r="AZ52">
        <v>5.9521582263157891</v>
      </c>
      <c r="BA52" s="75">
        <v>0.56264133404440497</v>
      </c>
      <c r="BE52">
        <v>4.3608435547435528E-2</v>
      </c>
      <c r="BH52">
        <v>8.7216871094871057E-2</v>
      </c>
      <c r="BI52">
        <v>4.3608435547435528E-2</v>
      </c>
      <c r="BJ52">
        <v>0.56264133404440497</v>
      </c>
      <c r="BP52" s="2">
        <v>1</v>
      </c>
    </row>
    <row r="53" spans="1:68" x14ac:dyDescent="0.3">
      <c r="A53" s="2" t="s">
        <v>37</v>
      </c>
      <c r="B53" s="13" t="s">
        <v>713</v>
      </c>
      <c r="C53" s="13"/>
      <c r="F53" s="2">
        <v>4.04</v>
      </c>
      <c r="G53" s="2" t="s">
        <v>36</v>
      </c>
      <c r="H53" s="9" t="s">
        <v>544</v>
      </c>
      <c r="I53" t="s">
        <v>625</v>
      </c>
      <c r="J53"/>
      <c r="L53" s="25">
        <v>1</v>
      </c>
      <c r="M53">
        <v>2</v>
      </c>
      <c r="N53">
        <v>0</v>
      </c>
      <c r="T53" s="25">
        <v>5.7458564399999998</v>
      </c>
      <c r="U53" s="25">
        <v>5.7458564399999998</v>
      </c>
      <c r="V53" s="25">
        <v>11.67169612</v>
      </c>
      <c r="W53">
        <v>5.6660000000000004</v>
      </c>
      <c r="X53">
        <v>5.6659999999999986</v>
      </c>
      <c r="Y53">
        <v>22.968</v>
      </c>
      <c r="Z53">
        <v>0</v>
      </c>
      <c r="AC53" s="2" t="s">
        <v>464</v>
      </c>
      <c r="AD53">
        <v>30</v>
      </c>
      <c r="AE53" s="55">
        <f t="shared" si="0"/>
        <v>0</v>
      </c>
      <c r="AF53" s="57">
        <v>333.30247418302179</v>
      </c>
      <c r="AG53" s="55">
        <v>638.56770625824583</v>
      </c>
      <c r="AH53" s="55">
        <v>0</v>
      </c>
      <c r="AJ53" s="51">
        <v>9.0008332742008132E-2</v>
      </c>
      <c r="AK53" s="52">
        <v>9.3960279249911127E-2</v>
      </c>
      <c r="AM53" s="28">
        <v>1.833333333333333</v>
      </c>
      <c r="AN53" s="28">
        <v>2.5</v>
      </c>
      <c r="AO53" s="28">
        <v>0.66666666666666663</v>
      </c>
      <c r="AP53" s="28">
        <v>0</v>
      </c>
      <c r="AQ53" s="28">
        <v>0.36666666666666659</v>
      </c>
      <c r="AR53" s="28">
        <v>0.5</v>
      </c>
      <c r="AS53" s="28">
        <v>0.1333333333333333</v>
      </c>
      <c r="AT53" s="28">
        <v>0</v>
      </c>
      <c r="AU53" s="25">
        <v>0.95</v>
      </c>
      <c r="AV53" s="25">
        <v>3.44</v>
      </c>
      <c r="AW53" s="25">
        <v>2.4900000000000002</v>
      </c>
      <c r="AX53" s="25">
        <v>2.614583333333333</v>
      </c>
      <c r="AY53">
        <v>2.614583333333333</v>
      </c>
      <c r="AZ53">
        <v>5.9505645781250003</v>
      </c>
      <c r="BA53" s="75">
        <v>0.54547732833861384</v>
      </c>
      <c r="BB53" s="75">
        <v>0.56942730227099381</v>
      </c>
      <c r="BE53">
        <v>4.5004166371004073E-2</v>
      </c>
      <c r="BF53">
        <v>4.6980139624955557E-2</v>
      </c>
      <c r="BH53">
        <v>9.1984305995959637E-2</v>
      </c>
      <c r="BI53">
        <v>4.5992152997979818E-2</v>
      </c>
      <c r="BJ53">
        <v>0.55745231530480388</v>
      </c>
      <c r="BP53" s="2">
        <v>1</v>
      </c>
    </row>
    <row r="54" spans="1:68" x14ac:dyDescent="0.3">
      <c r="A54" s="2" t="s">
        <v>38</v>
      </c>
      <c r="B54" s="13" t="s">
        <v>714</v>
      </c>
      <c r="C54" s="13"/>
      <c r="F54" s="2">
        <v>3.87</v>
      </c>
      <c r="G54" s="2" t="s">
        <v>36</v>
      </c>
      <c r="H54" s="9" t="s">
        <v>545</v>
      </c>
      <c r="I54" t="s">
        <v>626</v>
      </c>
      <c r="J54"/>
      <c r="L54" s="25">
        <v>1</v>
      </c>
      <c r="M54">
        <v>1</v>
      </c>
      <c r="N54">
        <v>0</v>
      </c>
      <c r="T54" s="25">
        <v>5.8532381300000003</v>
      </c>
      <c r="U54" s="25">
        <v>5.8532371599999999</v>
      </c>
      <c r="V54" s="25">
        <v>11.912811489999999</v>
      </c>
      <c r="W54">
        <v>5.7946</v>
      </c>
      <c r="X54">
        <v>5.7946</v>
      </c>
      <c r="Y54">
        <v>11.787599999999999</v>
      </c>
      <c r="Z54">
        <v>0</v>
      </c>
      <c r="AC54" s="2" t="s">
        <v>464</v>
      </c>
      <c r="AD54">
        <v>30</v>
      </c>
      <c r="AE54" s="55">
        <f t="shared" si="0"/>
        <v>0</v>
      </c>
      <c r="AF54" s="57">
        <v>353.45760058531442</v>
      </c>
      <c r="AG54" s="55">
        <v>342.77011164986573</v>
      </c>
      <c r="AH54" s="55">
        <v>0</v>
      </c>
      <c r="AJ54" s="51">
        <v>8.487580957467307E-2</v>
      </c>
      <c r="AK54" s="52">
        <v>8.752221672887435E-2</v>
      </c>
      <c r="AM54" s="28">
        <v>1.833333333333333</v>
      </c>
      <c r="AN54" s="28">
        <v>2.5</v>
      </c>
      <c r="AO54" s="28">
        <v>0.66666666666666663</v>
      </c>
      <c r="AP54" s="28">
        <v>0</v>
      </c>
      <c r="AQ54" s="28">
        <v>0.36666666666666659</v>
      </c>
      <c r="AR54" s="28">
        <v>0.5</v>
      </c>
      <c r="AS54" s="28">
        <v>0.1333333333333333</v>
      </c>
      <c r="AT54" s="28">
        <v>0</v>
      </c>
      <c r="AU54" s="25">
        <v>0.89</v>
      </c>
      <c r="AV54" s="25">
        <v>3.44</v>
      </c>
      <c r="AW54" s="25">
        <v>2.5499999999999998</v>
      </c>
      <c r="AX54" s="25">
        <v>2.6020833333333329</v>
      </c>
      <c r="AY54">
        <v>2.6020833333333329</v>
      </c>
      <c r="AZ54">
        <v>5.9098726145833336</v>
      </c>
      <c r="BA54" s="75">
        <v>0.57410011132036598</v>
      </c>
      <c r="BB54" s="75">
        <v>0.59200041353179045</v>
      </c>
      <c r="BE54">
        <v>4.2437904787336528E-2</v>
      </c>
      <c r="BF54">
        <v>4.3761108364437168E-2</v>
      </c>
      <c r="BH54">
        <v>8.619901315177371E-2</v>
      </c>
      <c r="BI54">
        <v>4.3099506575886848E-2</v>
      </c>
      <c r="BJ54">
        <v>0.58305026242607827</v>
      </c>
      <c r="BP54" s="2">
        <v>1</v>
      </c>
    </row>
    <row r="55" spans="1:68" x14ac:dyDescent="0.3">
      <c r="A55" s="2" t="s">
        <v>44</v>
      </c>
      <c r="B55" s="13" t="s">
        <v>720</v>
      </c>
      <c r="C55" s="13"/>
      <c r="F55" s="2">
        <v>3.4</v>
      </c>
      <c r="G55" s="2" t="s">
        <v>36</v>
      </c>
      <c r="H55" s="9" t="s">
        <v>549</v>
      </c>
      <c r="I55">
        <v>-1</v>
      </c>
      <c r="J55"/>
      <c r="L55" s="25">
        <v>1</v>
      </c>
      <c r="M55">
        <v>0</v>
      </c>
      <c r="N55">
        <v>0</v>
      </c>
      <c r="T55" s="25">
        <v>15.28115725</v>
      </c>
      <c r="U55" s="25">
        <v>15.28115725</v>
      </c>
      <c r="V55" s="25">
        <v>15.28115725</v>
      </c>
      <c r="W55">
        <v>0</v>
      </c>
      <c r="Z55">
        <v>0</v>
      </c>
      <c r="AC55" s="2" t="s">
        <v>464</v>
      </c>
      <c r="AD55">
        <v>20</v>
      </c>
      <c r="AE55" s="55">
        <f t="shared" si="0"/>
        <v>0</v>
      </c>
      <c r="AF55" s="57">
        <v>229.90248606119221</v>
      </c>
      <c r="AG55" s="55">
        <v>0</v>
      </c>
      <c r="AH55" s="55">
        <v>0</v>
      </c>
      <c r="AJ55" s="51">
        <v>8.6993404650164072E-2</v>
      </c>
      <c r="AM55" s="28">
        <v>1.882352941176471</v>
      </c>
      <c r="AN55" s="28">
        <v>2.3529411764705879</v>
      </c>
      <c r="AO55" s="28">
        <v>0.47058823529411759</v>
      </c>
      <c r="AP55" s="28">
        <v>0</v>
      </c>
      <c r="AQ55" s="28">
        <v>0.4</v>
      </c>
      <c r="AR55" s="28">
        <v>0.5</v>
      </c>
      <c r="AS55" s="28">
        <v>9.9999999999999992E-2</v>
      </c>
      <c r="AT55" s="28">
        <v>0</v>
      </c>
      <c r="AU55" s="25">
        <v>0.82</v>
      </c>
      <c r="AV55" s="25">
        <v>3.44</v>
      </c>
      <c r="AW55" s="25">
        <v>2.62</v>
      </c>
      <c r="AX55" s="25">
        <v>2.5211764705882351</v>
      </c>
      <c r="AY55">
        <v>2.521176470588236</v>
      </c>
      <c r="AZ55">
        <v>5.6898745917647062</v>
      </c>
      <c r="BA55" s="75">
        <v>0.57369840599679445</v>
      </c>
      <c r="BE55">
        <v>4.3496702325082043E-2</v>
      </c>
      <c r="BH55">
        <v>8.6993404650164072E-2</v>
      </c>
      <c r="BI55">
        <v>4.3496702325082043E-2</v>
      </c>
      <c r="BJ55">
        <v>0.57369840599679445</v>
      </c>
      <c r="BP55" s="2">
        <v>1</v>
      </c>
    </row>
    <row r="56" spans="1:68" x14ac:dyDescent="0.3">
      <c r="A56" s="2" t="s">
        <v>34</v>
      </c>
      <c r="B56" s="13" t="s">
        <v>711</v>
      </c>
      <c r="C56" s="13"/>
      <c r="F56" s="2">
        <v>3.2</v>
      </c>
      <c r="G56" s="2" t="s">
        <v>36</v>
      </c>
      <c r="H56" s="9" t="s">
        <v>542</v>
      </c>
      <c r="I56" t="s">
        <v>623</v>
      </c>
      <c r="J56"/>
      <c r="L56" s="25">
        <v>1</v>
      </c>
      <c r="M56">
        <v>2</v>
      </c>
      <c r="N56">
        <v>0</v>
      </c>
      <c r="T56" s="25">
        <v>3.9086759899999999</v>
      </c>
      <c r="U56" s="25">
        <v>3.908676100000001</v>
      </c>
      <c r="V56" s="25">
        <v>10.552604730000001</v>
      </c>
      <c r="W56">
        <v>3.899</v>
      </c>
      <c r="X56">
        <v>3.899</v>
      </c>
      <c r="Y56">
        <v>20.399989999999999</v>
      </c>
      <c r="Z56">
        <v>0</v>
      </c>
      <c r="AC56" s="2" t="s">
        <v>464</v>
      </c>
      <c r="AD56">
        <v>14</v>
      </c>
      <c r="AE56" s="55">
        <f t="shared" si="0"/>
        <v>0</v>
      </c>
      <c r="AF56" s="57">
        <v>155.59136328639269</v>
      </c>
      <c r="AG56" s="55">
        <v>310.12474837798999</v>
      </c>
      <c r="AH56" s="55">
        <v>0</v>
      </c>
      <c r="AJ56" s="51">
        <v>8.9979287437893268E-2</v>
      </c>
      <c r="AK56" s="52">
        <v>9.0286248183820222E-2</v>
      </c>
      <c r="AM56" s="28">
        <v>2</v>
      </c>
      <c r="AN56" s="28">
        <v>2.333333333333333</v>
      </c>
      <c r="AO56" s="28">
        <v>0.33333333333333331</v>
      </c>
      <c r="AP56" s="28">
        <v>0</v>
      </c>
      <c r="AQ56" s="28">
        <v>0.42857142857142849</v>
      </c>
      <c r="AR56" s="28">
        <v>0.5</v>
      </c>
      <c r="AS56" s="28">
        <v>7.1428571428571425E-2</v>
      </c>
      <c r="AT56" s="28">
        <v>0</v>
      </c>
      <c r="AU56" s="25">
        <v>0.95</v>
      </c>
      <c r="AV56" s="25">
        <v>3.44</v>
      </c>
      <c r="AW56" s="25">
        <v>2.4900000000000002</v>
      </c>
      <c r="AX56" s="25">
        <v>2.500833333333333</v>
      </c>
      <c r="AY56">
        <v>2.500833333333333</v>
      </c>
      <c r="AZ56">
        <v>5.6917605187500007</v>
      </c>
      <c r="BA56" s="75">
        <v>0.58499657192886345</v>
      </c>
      <c r="BB56" s="75">
        <v>0.58699226437317098</v>
      </c>
      <c r="BE56">
        <v>4.4989643718946627E-2</v>
      </c>
      <c r="BF56">
        <v>4.5143124091910111E-2</v>
      </c>
      <c r="BH56">
        <v>9.0132767810856745E-2</v>
      </c>
      <c r="BI56">
        <v>4.5066383905428373E-2</v>
      </c>
      <c r="BJ56">
        <v>0.58599441815101727</v>
      </c>
      <c r="BP56" s="2">
        <v>1</v>
      </c>
    </row>
    <row r="57" spans="1:68" x14ac:dyDescent="0.3">
      <c r="A57" s="2" t="s">
        <v>45</v>
      </c>
      <c r="B57" s="13" t="s">
        <v>721</v>
      </c>
      <c r="C57" s="13"/>
      <c r="F57" s="2">
        <v>3.3</v>
      </c>
      <c r="G57" s="2" t="s">
        <v>36</v>
      </c>
      <c r="H57" s="9" t="s">
        <v>550</v>
      </c>
      <c r="I57">
        <v>-1</v>
      </c>
      <c r="J57"/>
      <c r="L57" s="25">
        <v>1</v>
      </c>
      <c r="M57">
        <v>0</v>
      </c>
      <c r="N57">
        <v>0</v>
      </c>
      <c r="T57" s="25">
        <v>3.91068857</v>
      </c>
      <c r="U57" s="25">
        <v>3.9106874500000002</v>
      </c>
      <c r="V57" s="25">
        <v>14.360376649999999</v>
      </c>
      <c r="W57">
        <v>0</v>
      </c>
      <c r="Z57">
        <v>0</v>
      </c>
      <c r="AC57" s="2" t="s">
        <v>464</v>
      </c>
      <c r="AD57">
        <v>20</v>
      </c>
      <c r="AE57" s="55">
        <f t="shared" si="0"/>
        <v>0</v>
      </c>
      <c r="AF57" s="57">
        <v>215.5098899352688</v>
      </c>
      <c r="AG57" s="55">
        <v>0</v>
      </c>
      <c r="AH57" s="55">
        <v>0</v>
      </c>
      <c r="AJ57" s="51">
        <v>9.2803165580972902E-2</v>
      </c>
      <c r="AM57" s="28">
        <v>2</v>
      </c>
      <c r="AN57" s="28">
        <v>2.3529411764705879</v>
      </c>
      <c r="AO57" s="28">
        <v>0.35294117647058831</v>
      </c>
      <c r="AP57" s="28">
        <v>0</v>
      </c>
      <c r="AQ57" s="28">
        <v>0.42499999999999999</v>
      </c>
      <c r="AR57" s="28">
        <v>0.5</v>
      </c>
      <c r="AS57" s="28">
        <v>7.4999999999999997E-2</v>
      </c>
      <c r="AT57" s="28">
        <v>0</v>
      </c>
      <c r="AU57" s="25">
        <v>0.95</v>
      </c>
      <c r="AV57" s="25">
        <v>3.44</v>
      </c>
      <c r="AW57" s="25">
        <v>2.4900000000000002</v>
      </c>
      <c r="AX57" s="25">
        <v>2.518823529411764</v>
      </c>
      <c r="AY57">
        <v>2.5188235294117649</v>
      </c>
      <c r="AZ57">
        <v>5.720303876470588</v>
      </c>
      <c r="BA57" s="75">
        <v>0.59173155274922506</v>
      </c>
      <c r="BE57">
        <v>4.6401582790486458E-2</v>
      </c>
      <c r="BH57">
        <v>9.2803165580972902E-2</v>
      </c>
      <c r="BI57">
        <v>4.6401582790486458E-2</v>
      </c>
      <c r="BJ57">
        <v>0.59173155274922506</v>
      </c>
      <c r="BP57" s="2">
        <v>1</v>
      </c>
    </row>
    <row r="58" spans="1:68" x14ac:dyDescent="0.3">
      <c r="A58" s="2" t="s">
        <v>46</v>
      </c>
      <c r="B58" s="13" t="s">
        <v>722</v>
      </c>
      <c r="C58" s="13"/>
      <c r="F58" s="2">
        <v>3.8</v>
      </c>
      <c r="G58" s="2" t="s">
        <v>36</v>
      </c>
      <c r="H58" s="9" t="s">
        <v>551</v>
      </c>
      <c r="I58" t="s">
        <v>629</v>
      </c>
      <c r="J58"/>
      <c r="L58" s="25">
        <v>2</v>
      </c>
      <c r="M58">
        <v>4</v>
      </c>
      <c r="N58">
        <v>0</v>
      </c>
      <c r="T58" s="25">
        <v>7.41544296</v>
      </c>
      <c r="U58" s="25">
        <v>7.4154429599999991</v>
      </c>
      <c r="V58" s="25">
        <v>7.41544296</v>
      </c>
      <c r="W58">
        <v>7.8</v>
      </c>
      <c r="X58">
        <v>13.010999999999999</v>
      </c>
      <c r="Y58">
        <v>5.5460000000000003</v>
      </c>
      <c r="Z58">
        <v>0</v>
      </c>
      <c r="AC58" s="2" t="s">
        <v>464</v>
      </c>
      <c r="AD58">
        <v>14</v>
      </c>
      <c r="AE58" s="55">
        <f t="shared" si="0"/>
        <v>0</v>
      </c>
      <c r="AF58" s="57">
        <v>288.33429290182369</v>
      </c>
      <c r="AG58" s="55">
        <v>556.51188553357167</v>
      </c>
      <c r="AH58" s="55">
        <v>0</v>
      </c>
      <c r="AJ58" s="51">
        <v>9.7109503410799117E-2</v>
      </c>
      <c r="AK58" s="52">
        <v>0.10062678166578309</v>
      </c>
      <c r="AM58" s="28">
        <v>2</v>
      </c>
      <c r="AN58" s="28">
        <v>2.545454545454545</v>
      </c>
      <c r="AO58" s="28">
        <v>0.54545454545454541</v>
      </c>
      <c r="AP58" s="28">
        <v>0</v>
      </c>
      <c r="AQ58" s="28">
        <v>0.39285714285714279</v>
      </c>
      <c r="AR58" s="28">
        <v>0.5</v>
      </c>
      <c r="AS58" s="28">
        <v>0.1071428571428571</v>
      </c>
      <c r="AT58" s="28">
        <v>0</v>
      </c>
      <c r="AU58" s="25">
        <v>1.1000000000000001</v>
      </c>
      <c r="AV58" s="25">
        <v>3.44</v>
      </c>
      <c r="AW58" s="25">
        <v>2.34</v>
      </c>
      <c r="AX58" s="25">
        <v>2.669090909090909</v>
      </c>
      <c r="AY58">
        <v>2.669090909090909</v>
      </c>
      <c r="AZ58">
        <v>5.9831974772727277</v>
      </c>
      <c r="BA58" s="75">
        <v>0.52442413903612473</v>
      </c>
      <c r="BB58" s="75">
        <v>0.54341863036636606</v>
      </c>
      <c r="BE58">
        <v>4.8554751705399558E-2</v>
      </c>
      <c r="BF58">
        <v>5.0313390832891547E-2</v>
      </c>
      <c r="BH58">
        <v>9.8868142538291098E-2</v>
      </c>
      <c r="BI58">
        <v>4.9434071269145549E-2</v>
      </c>
      <c r="BJ58">
        <v>0.53392138470124539</v>
      </c>
      <c r="BP58" s="2">
        <v>1</v>
      </c>
    </row>
    <row r="59" spans="1:68" x14ac:dyDescent="0.3">
      <c r="A59" s="2" t="s">
        <v>47</v>
      </c>
      <c r="B59" s="13" t="s">
        <v>723</v>
      </c>
      <c r="C59" s="13"/>
      <c r="F59" s="2">
        <v>3.8</v>
      </c>
      <c r="G59" s="2" t="s">
        <v>36</v>
      </c>
      <c r="H59" s="9">
        <v>-1</v>
      </c>
      <c r="I59">
        <v>-1</v>
      </c>
      <c r="J59" t="s">
        <v>1152</v>
      </c>
      <c r="L59" s="25">
        <v>0</v>
      </c>
      <c r="M59">
        <v>0</v>
      </c>
      <c r="N59">
        <v>2</v>
      </c>
      <c r="T59" s="25">
        <v>0</v>
      </c>
      <c r="U59" s="25"/>
      <c r="V59" s="25"/>
      <c r="W59">
        <v>0</v>
      </c>
      <c r="Z59">
        <v>5.5170000000000003</v>
      </c>
      <c r="AA59">
        <v>31.274999999999999</v>
      </c>
      <c r="AB59">
        <v>3.8942000000000001</v>
      </c>
      <c r="AC59" s="2" t="s">
        <v>464</v>
      </c>
      <c r="AD59">
        <v>34</v>
      </c>
      <c r="AE59" s="55">
        <f t="shared" si="0"/>
        <v>0</v>
      </c>
      <c r="AF59" s="57">
        <v>0</v>
      </c>
      <c r="AG59" s="55">
        <v>0</v>
      </c>
      <c r="AH59" s="55">
        <v>671.92152628500003</v>
      </c>
      <c r="AJ59" s="51"/>
      <c r="AL59" s="52">
        <v>0.1012022942261822</v>
      </c>
      <c r="AM59" s="28">
        <v>2</v>
      </c>
      <c r="AN59" s="28">
        <v>2.518518518518519</v>
      </c>
      <c r="AO59" s="28">
        <v>0.51851851851851849</v>
      </c>
      <c r="AP59" s="28">
        <v>0</v>
      </c>
      <c r="AQ59" s="28">
        <v>0.39705882352941169</v>
      </c>
      <c r="AR59" s="28">
        <v>0.5</v>
      </c>
      <c r="AS59" s="28">
        <v>0.1029411764705882</v>
      </c>
      <c r="AT59" s="28">
        <v>0</v>
      </c>
      <c r="AU59" s="25">
        <v>1</v>
      </c>
      <c r="AV59" s="25">
        <v>3.44</v>
      </c>
      <c r="AW59" s="25">
        <v>2.44</v>
      </c>
      <c r="AX59" s="25">
        <v>2.6511111111111112</v>
      </c>
      <c r="AY59">
        <v>2.6511111111111112</v>
      </c>
      <c r="AZ59">
        <v>5.9544359512962952</v>
      </c>
      <c r="BG59">
        <v>5.0601147113091112E-2</v>
      </c>
      <c r="BH59">
        <v>0.1012022942261822</v>
      </c>
      <c r="BI59">
        <v>5.0601147113091112E-2</v>
      </c>
      <c r="BJ59">
        <v>0</v>
      </c>
      <c r="BP59" s="2">
        <v>1</v>
      </c>
    </row>
    <row r="60" spans="1:68" x14ac:dyDescent="0.3">
      <c r="A60" s="2" t="s">
        <v>40</v>
      </c>
      <c r="B60" s="13" t="s">
        <v>716</v>
      </c>
      <c r="C60" s="13"/>
      <c r="F60" s="2">
        <v>3.85</v>
      </c>
      <c r="G60" s="2" t="s">
        <v>36</v>
      </c>
      <c r="H60" s="9" t="s">
        <v>546</v>
      </c>
      <c r="I60" t="s">
        <v>627</v>
      </c>
      <c r="J60"/>
      <c r="L60" s="25">
        <v>2</v>
      </c>
      <c r="M60">
        <v>2</v>
      </c>
      <c r="N60">
        <v>0</v>
      </c>
      <c r="T60" s="25">
        <v>5.6269875200000001</v>
      </c>
      <c r="U60" s="25">
        <v>5.6269875200000001</v>
      </c>
      <c r="V60" s="25">
        <v>22.749475</v>
      </c>
      <c r="W60">
        <v>5.5670999999999999</v>
      </c>
      <c r="X60">
        <v>5.5670999999999999</v>
      </c>
      <c r="Y60">
        <v>22.4603</v>
      </c>
      <c r="Z60">
        <v>0</v>
      </c>
      <c r="AC60" s="2" t="s">
        <v>464</v>
      </c>
      <c r="AD60">
        <v>30</v>
      </c>
      <c r="AE60" s="55">
        <f t="shared" si="0"/>
        <v>0</v>
      </c>
      <c r="AF60" s="57">
        <v>623.81230762201892</v>
      </c>
      <c r="AG60" s="55">
        <v>602.84300974379039</v>
      </c>
      <c r="AH60" s="55">
        <v>0</v>
      </c>
      <c r="AJ60" s="51">
        <v>9.6182776881592519E-2</v>
      </c>
      <c r="AK60" s="52">
        <v>9.9528399650018556E-2</v>
      </c>
      <c r="AM60" s="28">
        <v>2</v>
      </c>
      <c r="AN60" s="28">
        <v>2.5</v>
      </c>
      <c r="AO60" s="28">
        <v>0.5</v>
      </c>
      <c r="AP60" s="28">
        <v>0</v>
      </c>
      <c r="AQ60" s="28">
        <v>0.4</v>
      </c>
      <c r="AR60" s="28">
        <v>0.5</v>
      </c>
      <c r="AS60" s="28">
        <v>0.1</v>
      </c>
      <c r="AT60" s="28">
        <v>0</v>
      </c>
      <c r="AU60" s="25">
        <v>0.89</v>
      </c>
      <c r="AV60" s="25">
        <v>3.44</v>
      </c>
      <c r="AW60" s="25">
        <v>2.5499999999999998</v>
      </c>
      <c r="AX60" s="25">
        <v>2.6270833333333332</v>
      </c>
      <c r="AY60">
        <v>2.6270833333333332</v>
      </c>
      <c r="AZ60">
        <v>5.9103362479166668</v>
      </c>
      <c r="BA60" s="75">
        <v>0.55608047790729209</v>
      </c>
      <c r="BB60" s="75">
        <v>0</v>
      </c>
      <c r="BE60">
        <v>4.8091388440796259E-2</v>
      </c>
      <c r="BF60">
        <v>4.9764199825009278E-2</v>
      </c>
      <c r="BH60">
        <v>9.7855588265805538E-2</v>
      </c>
      <c r="BI60">
        <v>4.8927794132902769E-2</v>
      </c>
      <c r="BJ60">
        <v>0.27804023895364599</v>
      </c>
      <c r="BP60" s="2">
        <v>1</v>
      </c>
    </row>
    <row r="61" spans="1:68" x14ac:dyDescent="0.3">
      <c r="A61" s="2" t="s">
        <v>48</v>
      </c>
      <c r="B61" s="13" t="s">
        <v>724</v>
      </c>
      <c r="C61" s="13"/>
      <c r="F61" s="2">
        <v>4.3</v>
      </c>
      <c r="G61" s="2" t="s">
        <v>36</v>
      </c>
      <c r="H61" s="9" t="s">
        <v>552</v>
      </c>
      <c r="I61" t="s">
        <v>630</v>
      </c>
      <c r="J61"/>
      <c r="L61" s="25">
        <v>2</v>
      </c>
      <c r="M61">
        <v>8</v>
      </c>
      <c r="N61">
        <v>0</v>
      </c>
      <c r="T61" s="25">
        <v>7.4836094600000003</v>
      </c>
      <c r="U61" s="25">
        <v>7.4836094600000003</v>
      </c>
      <c r="V61" s="25">
        <v>7.4836094600000003</v>
      </c>
      <c r="W61">
        <v>10.34</v>
      </c>
      <c r="X61">
        <v>10.34</v>
      </c>
      <c r="Y61">
        <v>10.34</v>
      </c>
      <c r="Z61">
        <v>0</v>
      </c>
      <c r="AC61" s="2" t="s">
        <v>464</v>
      </c>
      <c r="AD61">
        <v>14</v>
      </c>
      <c r="AE61" s="55">
        <f t="shared" si="0"/>
        <v>0</v>
      </c>
      <c r="AF61" s="57">
        <v>296.35915518228359</v>
      </c>
      <c r="AG61" s="55">
        <v>1105.507304</v>
      </c>
      <c r="AH61" s="55">
        <v>0</v>
      </c>
      <c r="AJ61" s="51">
        <v>9.4479956196318104E-2</v>
      </c>
      <c r="AK61" s="52">
        <v>0.1013109543417363</v>
      </c>
      <c r="AM61" s="28">
        <v>1.8181818181818179</v>
      </c>
      <c r="AN61" s="28">
        <v>2.545454545454545</v>
      </c>
      <c r="AO61" s="28">
        <v>0.72727272727272729</v>
      </c>
      <c r="AP61" s="28">
        <v>0</v>
      </c>
      <c r="AQ61" s="28">
        <v>0.35714285714285721</v>
      </c>
      <c r="AR61" s="28">
        <v>0.5</v>
      </c>
      <c r="AS61" s="28">
        <v>0.1428571428571429</v>
      </c>
      <c r="AT61" s="28">
        <v>0</v>
      </c>
      <c r="AU61" s="25">
        <v>1</v>
      </c>
      <c r="AV61" s="25">
        <v>3.44</v>
      </c>
      <c r="AW61" s="25">
        <v>2.44</v>
      </c>
      <c r="AX61" s="25">
        <v>2.6618181818181821</v>
      </c>
      <c r="AY61">
        <v>2.6618181818181821</v>
      </c>
      <c r="AZ61">
        <v>6.0537295018181814</v>
      </c>
      <c r="BA61" s="75">
        <v>0.50642227837041764</v>
      </c>
      <c r="BB61" s="75">
        <v>0.5430371307011983</v>
      </c>
      <c r="BE61">
        <v>4.7239978098159073E-2</v>
      </c>
      <c r="BF61">
        <v>5.0655477170868157E-2</v>
      </c>
      <c r="BH61">
        <v>9.789545526902721E-2</v>
      </c>
      <c r="BI61">
        <v>4.8947727634513619E-2</v>
      </c>
      <c r="BJ61">
        <v>0.52472970453580792</v>
      </c>
      <c r="BP61" s="2">
        <v>1</v>
      </c>
    </row>
    <row r="62" spans="1:68" x14ac:dyDescent="0.3">
      <c r="A62" s="2" t="s">
        <v>49</v>
      </c>
      <c r="B62" s="13" t="s">
        <v>725</v>
      </c>
      <c r="C62" s="13"/>
      <c r="F62" s="2">
        <v>4</v>
      </c>
      <c r="G62" s="2" t="s">
        <v>36</v>
      </c>
      <c r="H62" s="9" t="s">
        <v>553</v>
      </c>
      <c r="I62" t="s">
        <v>631</v>
      </c>
      <c r="J62"/>
      <c r="L62" s="25">
        <v>8</v>
      </c>
      <c r="M62">
        <v>8</v>
      </c>
      <c r="N62">
        <v>0</v>
      </c>
      <c r="T62" s="25">
        <v>5.8017180100000001</v>
      </c>
      <c r="U62" s="25">
        <v>7.9756520899999996</v>
      </c>
      <c r="V62" s="25">
        <v>27.352093400000001</v>
      </c>
      <c r="W62">
        <v>26.646989999999999</v>
      </c>
      <c r="X62">
        <v>7.9359999999999999</v>
      </c>
      <c r="Y62">
        <v>5.7050000000000001</v>
      </c>
      <c r="Z62">
        <v>0</v>
      </c>
      <c r="AC62" s="2" t="s">
        <v>464</v>
      </c>
      <c r="AD62">
        <v>14</v>
      </c>
      <c r="AE62" s="55">
        <f t="shared" si="0"/>
        <v>0</v>
      </c>
      <c r="AF62" s="57">
        <v>1265.6493143942739</v>
      </c>
      <c r="AG62" s="55">
        <v>1206.4392746112001</v>
      </c>
      <c r="AH62" s="55">
        <v>0</v>
      </c>
      <c r="AJ62" s="51">
        <v>8.8492127105210025E-2</v>
      </c>
      <c r="AK62" s="52">
        <v>9.2835174017436004E-2</v>
      </c>
      <c r="AM62" s="28">
        <v>1.8181818181818179</v>
      </c>
      <c r="AN62" s="28">
        <v>2.545454545454545</v>
      </c>
      <c r="AO62" s="28">
        <v>0.72727272727272729</v>
      </c>
      <c r="AP62" s="28">
        <v>0</v>
      </c>
      <c r="AQ62" s="28">
        <v>0.35714285714285721</v>
      </c>
      <c r="AR62" s="28">
        <v>0.5</v>
      </c>
      <c r="AS62" s="28">
        <v>0.1428571428571429</v>
      </c>
      <c r="AT62" s="28">
        <v>0</v>
      </c>
      <c r="AU62" s="25">
        <v>0.95</v>
      </c>
      <c r="AV62" s="25">
        <v>3.44</v>
      </c>
      <c r="AW62" s="25">
        <v>2.4900000000000002</v>
      </c>
      <c r="AX62" s="25">
        <v>2.6527272727272719</v>
      </c>
      <c r="AY62">
        <v>2.6527272727272728</v>
      </c>
      <c r="AZ62">
        <v>6.0182046818181814</v>
      </c>
      <c r="BA62" s="75">
        <v>0.5176653673612065</v>
      </c>
      <c r="BB62" s="75">
        <v>0.54307152550012683</v>
      </c>
      <c r="BE62">
        <v>4.4246063552605013E-2</v>
      </c>
      <c r="BF62">
        <v>4.6417587008717988E-2</v>
      </c>
      <c r="BH62">
        <v>9.0663650561323014E-2</v>
      </c>
      <c r="BI62">
        <v>4.53318252806615E-2</v>
      </c>
      <c r="BJ62">
        <v>0.53036844643066661</v>
      </c>
      <c r="BP62" s="2">
        <v>1</v>
      </c>
    </row>
    <row r="63" spans="1:68" x14ac:dyDescent="0.3">
      <c r="A63" s="2" t="s">
        <v>38</v>
      </c>
      <c r="B63" s="13" t="s">
        <v>714</v>
      </c>
      <c r="C63" s="13"/>
      <c r="F63" s="2">
        <v>3.91</v>
      </c>
      <c r="G63" s="2" t="s">
        <v>36</v>
      </c>
      <c r="H63" s="9" t="s">
        <v>545</v>
      </c>
      <c r="I63" t="s">
        <v>626</v>
      </c>
      <c r="J63"/>
      <c r="L63" s="25">
        <v>1</v>
      </c>
      <c r="M63">
        <v>1</v>
      </c>
      <c r="N63">
        <v>0</v>
      </c>
      <c r="T63" s="25">
        <v>5.8532381300000003</v>
      </c>
      <c r="U63" s="25">
        <v>5.8532371599999999</v>
      </c>
      <c r="V63" s="25">
        <v>11.912811489999999</v>
      </c>
      <c r="W63">
        <v>5.7946</v>
      </c>
      <c r="X63">
        <v>5.7946</v>
      </c>
      <c r="Y63">
        <v>11.787599999999999</v>
      </c>
      <c r="Z63">
        <v>0</v>
      </c>
      <c r="AC63" s="2" t="s">
        <v>464</v>
      </c>
      <c r="AD63">
        <v>30</v>
      </c>
      <c r="AE63" s="55">
        <f t="shared" si="0"/>
        <v>0</v>
      </c>
      <c r="AF63" s="57">
        <v>353.45760058531442</v>
      </c>
      <c r="AG63" s="55">
        <v>342.77011164986573</v>
      </c>
      <c r="AH63" s="55">
        <v>0</v>
      </c>
      <c r="AJ63" s="51">
        <v>8.487580957467307E-2</v>
      </c>
      <c r="AK63" s="52">
        <v>8.752221672887435E-2</v>
      </c>
      <c r="AM63" s="28">
        <v>1.833333333333333</v>
      </c>
      <c r="AN63" s="28">
        <v>2.5</v>
      </c>
      <c r="AO63" s="28">
        <v>0.66666666666666663</v>
      </c>
      <c r="AP63" s="28">
        <v>0</v>
      </c>
      <c r="AQ63" s="28">
        <v>0.36666666666666659</v>
      </c>
      <c r="AR63" s="28">
        <v>0.5</v>
      </c>
      <c r="AS63" s="28">
        <v>0.1333333333333333</v>
      </c>
      <c r="AT63" s="28">
        <v>0</v>
      </c>
      <c r="AU63" s="25">
        <v>0.89</v>
      </c>
      <c r="AV63" s="25">
        <v>3.44</v>
      </c>
      <c r="AW63" s="25">
        <v>2.5499999999999998</v>
      </c>
      <c r="AX63" s="25">
        <v>2.6020833333333329</v>
      </c>
      <c r="AY63">
        <v>2.6020833333333329</v>
      </c>
      <c r="AZ63">
        <v>5.9098726145833336</v>
      </c>
      <c r="BA63" s="75">
        <v>0.57410011132036598</v>
      </c>
      <c r="BB63" s="75">
        <v>0.59200041353179045</v>
      </c>
      <c r="BE63">
        <v>4.2437904787336528E-2</v>
      </c>
      <c r="BF63">
        <v>4.3761108364437168E-2</v>
      </c>
      <c r="BH63">
        <v>8.619901315177371E-2</v>
      </c>
      <c r="BI63">
        <v>4.3099506575886848E-2</v>
      </c>
      <c r="BJ63">
        <v>0.58305026242607827</v>
      </c>
      <c r="BP63" s="2">
        <v>1</v>
      </c>
    </row>
    <row r="64" spans="1:68" x14ac:dyDescent="0.3">
      <c r="A64" s="2" t="s">
        <v>51</v>
      </c>
      <c r="B64" s="13" t="s">
        <v>703</v>
      </c>
      <c r="C64" s="13"/>
      <c r="F64" s="2">
        <v>5.5</v>
      </c>
      <c r="G64" s="2" t="s">
        <v>52</v>
      </c>
      <c r="H64" s="9" t="s">
        <v>536</v>
      </c>
      <c r="I64" t="s">
        <v>617</v>
      </c>
      <c r="J64"/>
      <c r="L64" s="25">
        <v>1</v>
      </c>
      <c r="M64">
        <v>4</v>
      </c>
      <c r="N64">
        <v>0</v>
      </c>
      <c r="T64" s="25">
        <v>12.88926011</v>
      </c>
      <c r="U64" s="25">
        <v>12.88926011</v>
      </c>
      <c r="V64" s="25">
        <v>12.88926011</v>
      </c>
      <c r="W64">
        <v>5.5223699999999996</v>
      </c>
      <c r="X64">
        <v>5.5240799999999997</v>
      </c>
      <c r="Y64">
        <v>25.026399999999999</v>
      </c>
      <c r="Z64">
        <v>0</v>
      </c>
      <c r="AC64" s="2" t="s">
        <v>464</v>
      </c>
      <c r="AD64">
        <v>18</v>
      </c>
      <c r="AE64" s="55">
        <f t="shared" si="0"/>
        <v>0</v>
      </c>
      <c r="AF64" s="57">
        <v>195.03203980213701</v>
      </c>
      <c r="AG64" s="55">
        <v>763.45570050087724</v>
      </c>
      <c r="AH64" s="55">
        <v>0</v>
      </c>
      <c r="AJ64" s="51">
        <v>9.2292528029042184E-2</v>
      </c>
      <c r="AK64" s="52">
        <v>9.4308025930991482E-2</v>
      </c>
      <c r="AM64" s="28">
        <v>2</v>
      </c>
      <c r="AN64" s="28">
        <v>3</v>
      </c>
      <c r="AO64" s="28">
        <v>1.857142857142857</v>
      </c>
      <c r="AP64" s="28">
        <v>4</v>
      </c>
      <c r="AQ64" s="28">
        <v>0.18421052631578949</v>
      </c>
      <c r="AR64" s="28">
        <v>0.27631578947368418</v>
      </c>
      <c r="AS64" s="28">
        <v>0.1710526315789474</v>
      </c>
      <c r="AT64" s="28">
        <v>0.36842105263157893</v>
      </c>
      <c r="AU64" s="25">
        <v>0.95</v>
      </c>
      <c r="AV64" s="25">
        <v>3.44</v>
      </c>
      <c r="AW64" s="25">
        <v>2.4900000000000002</v>
      </c>
      <c r="AX64" s="25">
        <v>2.782142857142857</v>
      </c>
      <c r="AY64">
        <v>2.7821428571428579</v>
      </c>
      <c r="AZ64">
        <v>6.2021612289285706</v>
      </c>
      <c r="BA64" s="75">
        <v>0.52524560229640982</v>
      </c>
      <c r="BB64" s="75">
        <v>0.53671599358424449</v>
      </c>
      <c r="BE64">
        <v>4.6146264014521092E-2</v>
      </c>
      <c r="BF64">
        <v>4.7154012965495741E-2</v>
      </c>
      <c r="BH64">
        <v>9.3300276980016833E-2</v>
      </c>
      <c r="BI64">
        <v>4.6650138490008423E-2</v>
      </c>
      <c r="BJ64">
        <v>0.53098079794032715</v>
      </c>
    </row>
    <row r="65" spans="1:68" x14ac:dyDescent="0.3">
      <c r="A65" s="2" t="s">
        <v>53</v>
      </c>
      <c r="B65" s="13" t="s">
        <v>726</v>
      </c>
      <c r="C65" s="13"/>
      <c r="F65" s="2">
        <v>1.96</v>
      </c>
      <c r="G65" s="2" t="s">
        <v>54</v>
      </c>
      <c r="H65" s="9" t="s">
        <v>554</v>
      </c>
      <c r="I65">
        <v>-1</v>
      </c>
      <c r="J65"/>
      <c r="L65" s="25">
        <v>1</v>
      </c>
      <c r="M65">
        <v>0</v>
      </c>
      <c r="N65">
        <v>0</v>
      </c>
      <c r="R65" s="2" t="s">
        <v>444</v>
      </c>
      <c r="T65" s="25">
        <v>5.6904349999999999</v>
      </c>
      <c r="U65" s="25">
        <v>5.6904349999999999</v>
      </c>
      <c r="V65" s="25">
        <v>4.0362910000000003</v>
      </c>
      <c r="W65">
        <v>0</v>
      </c>
      <c r="Z65">
        <v>0</v>
      </c>
      <c r="AC65" s="2" t="s">
        <v>464</v>
      </c>
      <c r="AD65">
        <v>12</v>
      </c>
      <c r="AE65" s="55">
        <f t="shared" si="0"/>
        <v>0</v>
      </c>
      <c r="AF65" s="57">
        <v>130.69934266020451</v>
      </c>
      <c r="AG65" s="55">
        <v>0</v>
      </c>
      <c r="AH65" s="55">
        <v>0</v>
      </c>
      <c r="AJ65" s="51">
        <v>9.1813774696617348E-2</v>
      </c>
      <c r="AM65" s="28">
        <v>2</v>
      </c>
      <c r="AN65" s="28">
        <v>2.6</v>
      </c>
      <c r="AO65" s="28">
        <v>1.6</v>
      </c>
      <c r="AP65" s="28">
        <v>0</v>
      </c>
      <c r="AQ65" s="28">
        <v>0.32258064516129031</v>
      </c>
      <c r="AR65" s="28">
        <v>0.41935483870967738</v>
      </c>
      <c r="AS65" s="28">
        <v>0.25806451612903231</v>
      </c>
      <c r="AT65" s="28">
        <v>0</v>
      </c>
      <c r="AU65" s="25">
        <v>0.95</v>
      </c>
      <c r="AV65" s="25">
        <v>3.44</v>
      </c>
      <c r="AW65" s="25">
        <v>2.4900000000000002</v>
      </c>
      <c r="AX65" s="25">
        <v>2.633</v>
      </c>
      <c r="AY65">
        <v>2.633</v>
      </c>
      <c r="AZ65">
        <v>5.9240260669999998</v>
      </c>
      <c r="BA65" s="75">
        <v>0</v>
      </c>
      <c r="BE65">
        <v>4.5906887348308653E-2</v>
      </c>
      <c r="BH65">
        <v>9.1813774696617348E-2</v>
      </c>
      <c r="BI65">
        <v>4.5906887348308653E-2</v>
      </c>
      <c r="BJ65">
        <v>0</v>
      </c>
    </row>
    <row r="66" spans="1:68" x14ac:dyDescent="0.3">
      <c r="A66" s="2" t="s">
        <v>44</v>
      </c>
      <c r="B66" s="13" t="s">
        <v>720</v>
      </c>
      <c r="C66" s="13"/>
      <c r="F66" s="2">
        <v>3.63</v>
      </c>
      <c r="G66" s="2" t="s">
        <v>55</v>
      </c>
      <c r="H66" s="9" t="s">
        <v>549</v>
      </c>
      <c r="I66">
        <v>-1</v>
      </c>
      <c r="J66"/>
      <c r="L66" s="25">
        <v>1</v>
      </c>
      <c r="M66">
        <v>0</v>
      </c>
      <c r="N66">
        <v>0</v>
      </c>
      <c r="O66" s="2">
        <v>3.8769</v>
      </c>
      <c r="P66" s="2">
        <v>3.8769</v>
      </c>
      <c r="Q66" s="2">
        <v>29.824000000000002</v>
      </c>
      <c r="R66" s="2" t="s">
        <v>440</v>
      </c>
      <c r="T66" s="25">
        <v>15.28115725</v>
      </c>
      <c r="U66" s="25">
        <v>15.28115725</v>
      </c>
      <c r="V66" s="25">
        <v>15.28115725</v>
      </c>
      <c r="W66">
        <v>0</v>
      </c>
      <c r="Z66">
        <v>0</v>
      </c>
      <c r="AC66" s="2" t="s">
        <v>464</v>
      </c>
      <c r="AD66">
        <v>20</v>
      </c>
      <c r="AE66" s="55">
        <f t="shared" si="0"/>
        <v>448.26526606464006</v>
      </c>
      <c r="AF66" s="57">
        <v>229.90248606119221</v>
      </c>
      <c r="AG66" s="55">
        <v>0</v>
      </c>
      <c r="AH66" s="55">
        <v>0</v>
      </c>
      <c r="AJ66" s="51">
        <v>8.6993404650164072E-2</v>
      </c>
      <c r="AM66" s="28">
        <v>1.882352941176471</v>
      </c>
      <c r="AN66" s="28">
        <v>2.3529411764705879</v>
      </c>
      <c r="AO66" s="28">
        <v>0.47058823529411759</v>
      </c>
      <c r="AP66" s="28">
        <v>0</v>
      </c>
      <c r="AQ66" s="28">
        <v>0.4</v>
      </c>
      <c r="AR66" s="28">
        <v>0.5</v>
      </c>
      <c r="AS66" s="28">
        <v>9.9999999999999992E-2</v>
      </c>
      <c r="AT66" s="28">
        <v>0</v>
      </c>
      <c r="AU66" s="25">
        <v>0.82</v>
      </c>
      <c r="AV66" s="25">
        <v>3.44</v>
      </c>
      <c r="AW66" s="25">
        <v>2.62</v>
      </c>
      <c r="AX66" s="25">
        <v>2.5211764705882351</v>
      </c>
      <c r="AY66">
        <v>2.521176470588236</v>
      </c>
      <c r="AZ66">
        <v>5.6898745917647062</v>
      </c>
      <c r="BA66" s="75">
        <v>0.57369840599679445</v>
      </c>
      <c r="BE66">
        <v>4.3496702325082043E-2</v>
      </c>
      <c r="BH66">
        <v>8.6993404650164072E-2</v>
      </c>
      <c r="BI66">
        <v>4.3496702325082043E-2</v>
      </c>
      <c r="BJ66">
        <v>0.57369840599679445</v>
      </c>
    </row>
    <row r="67" spans="1:68" x14ac:dyDescent="0.3">
      <c r="A67" s="2" t="s">
        <v>677</v>
      </c>
      <c r="B67" s="17" t="s">
        <v>893</v>
      </c>
      <c r="C67" s="13"/>
      <c r="F67" s="2">
        <v>2.67</v>
      </c>
      <c r="G67" s="2" t="s">
        <v>55</v>
      </c>
      <c r="H67" s="9">
        <v>-1</v>
      </c>
      <c r="I67">
        <v>-1</v>
      </c>
      <c r="J67"/>
      <c r="K67" s="2">
        <v>2</v>
      </c>
      <c r="L67" s="25">
        <v>0</v>
      </c>
      <c r="M67">
        <v>0</v>
      </c>
      <c r="N67">
        <v>0</v>
      </c>
      <c r="O67" s="2">
        <v>3.8079999999999998</v>
      </c>
      <c r="P67" s="2">
        <v>3.8079999999999998</v>
      </c>
      <c r="Q67" s="2">
        <v>28.87</v>
      </c>
      <c r="R67" s="2" t="s">
        <v>440</v>
      </c>
      <c r="T67" s="25">
        <v>0</v>
      </c>
      <c r="U67" s="25"/>
      <c r="V67" s="25"/>
      <c r="W67">
        <v>0</v>
      </c>
      <c r="Z67">
        <v>0</v>
      </c>
      <c r="AC67" s="2" t="s">
        <v>464</v>
      </c>
      <c r="AD67">
        <v>20</v>
      </c>
      <c r="AE67" s="55">
        <f t="shared" ref="AE67:AE130" si="2">O67*P67*Q67</f>
        <v>418.63994367999999</v>
      </c>
      <c r="AF67" s="57">
        <v>0</v>
      </c>
      <c r="AG67" s="55">
        <v>0</v>
      </c>
      <c r="AH67" s="55">
        <v>0</v>
      </c>
      <c r="AI67" s="52">
        <f>K67*AD67/AE67</f>
        <v>9.5547499955176765E-2</v>
      </c>
      <c r="AJ67" s="51"/>
      <c r="AM67" s="28">
        <v>1.933534743202417</v>
      </c>
      <c r="AN67" s="28">
        <v>2.4712990936555901</v>
      </c>
      <c r="AO67" s="28">
        <v>0.75528700906344426</v>
      </c>
      <c r="AP67" s="28">
        <v>0</v>
      </c>
      <c r="AQ67" s="28">
        <v>0.37470725995316168</v>
      </c>
      <c r="AR67" s="28">
        <v>0.47892271662763469</v>
      </c>
      <c r="AS67" s="28">
        <v>0.1463700234192038</v>
      </c>
      <c r="AT67" s="28">
        <v>0</v>
      </c>
      <c r="AU67" s="25">
        <v>0.82</v>
      </c>
      <c r="AV67" s="25">
        <v>3.44</v>
      </c>
      <c r="AW67" s="25">
        <v>2.62</v>
      </c>
      <c r="AX67" s="25">
        <v>2.673474320241692</v>
      </c>
      <c r="AY67">
        <v>2.673474320241692</v>
      </c>
      <c r="AZ67">
        <v>6.086490604281928</v>
      </c>
      <c r="BD67">
        <v>4.7773749977588383E-2</v>
      </c>
      <c r="BH67">
        <v>9.5547499955176765E-2</v>
      </c>
      <c r="BI67">
        <v>4.7773749977588383E-2</v>
      </c>
      <c r="BJ67">
        <v>0</v>
      </c>
    </row>
    <row r="68" spans="1:68" x14ac:dyDescent="0.3">
      <c r="A68" s="2" t="s">
        <v>44</v>
      </c>
      <c r="B68" s="17" t="s">
        <v>720</v>
      </c>
      <c r="C68" s="13"/>
      <c r="D68" s="2" t="s">
        <v>676</v>
      </c>
      <c r="E68" s="2" t="s">
        <v>1067</v>
      </c>
      <c r="F68" s="2">
        <v>3.59</v>
      </c>
      <c r="G68" s="2" t="s">
        <v>55</v>
      </c>
      <c r="H68" s="9" t="s">
        <v>549</v>
      </c>
      <c r="I68">
        <v>-1</v>
      </c>
      <c r="J68"/>
      <c r="L68" s="25">
        <v>1</v>
      </c>
      <c r="M68">
        <v>0</v>
      </c>
      <c r="N68">
        <v>0</v>
      </c>
      <c r="O68" s="2">
        <f xml:space="preserve"> 3.857</f>
        <v>3.8570000000000002</v>
      </c>
      <c r="P68" s="2">
        <f xml:space="preserve"> 3.857</f>
        <v>3.8570000000000002</v>
      </c>
      <c r="Q68" s="2">
        <v>14.692</v>
      </c>
      <c r="R68" s="2" t="s">
        <v>439</v>
      </c>
      <c r="T68" s="25">
        <v>15.28115725</v>
      </c>
      <c r="U68" s="25">
        <v>15.28115725</v>
      </c>
      <c r="V68" s="25">
        <v>15.28115725</v>
      </c>
      <c r="W68">
        <v>0</v>
      </c>
      <c r="Z68">
        <v>0</v>
      </c>
      <c r="AC68" s="2" t="s">
        <v>464</v>
      </c>
      <c r="AD68">
        <v>20</v>
      </c>
      <c r="AE68" s="55">
        <f t="shared" si="2"/>
        <v>218.56478870800001</v>
      </c>
      <c r="AF68" s="57">
        <v>229.90248606119221</v>
      </c>
      <c r="AG68" s="55">
        <v>0</v>
      </c>
      <c r="AH68" s="55">
        <v>0</v>
      </c>
      <c r="AJ68" s="51">
        <v>8.6993404650164072E-2</v>
      </c>
      <c r="AM68" s="28">
        <v>1.882352941176471</v>
      </c>
      <c r="AN68" s="28">
        <v>2.3529411764705879</v>
      </c>
      <c r="AO68" s="28">
        <v>0.47058823529411759</v>
      </c>
      <c r="AP68" s="28">
        <v>0</v>
      </c>
      <c r="AQ68" s="28">
        <v>0.4</v>
      </c>
      <c r="AR68" s="28">
        <v>0.5</v>
      </c>
      <c r="AS68" s="28">
        <v>9.9999999999999992E-2</v>
      </c>
      <c r="AT68" s="28">
        <v>0</v>
      </c>
      <c r="AU68" s="25">
        <v>0.82</v>
      </c>
      <c r="AV68" s="25">
        <v>3.44</v>
      </c>
      <c r="AW68" s="25">
        <v>2.62</v>
      </c>
      <c r="AX68" s="25">
        <v>2.5211764705882351</v>
      </c>
      <c r="AY68">
        <v>2.521176470588236</v>
      </c>
      <c r="AZ68">
        <v>5.6898745917647062</v>
      </c>
      <c r="BA68" s="75">
        <v>0.57369840599679445</v>
      </c>
      <c r="BE68">
        <v>4.3496702325082043E-2</v>
      </c>
      <c r="BH68">
        <v>8.6993404650164072E-2</v>
      </c>
      <c r="BI68">
        <v>4.3496702325082043E-2</v>
      </c>
      <c r="BJ68">
        <v>0.57369840599679445</v>
      </c>
    </row>
    <row r="69" spans="1:68" x14ac:dyDescent="0.3">
      <c r="A69" s="2" t="s">
        <v>107</v>
      </c>
      <c r="B69" s="13" t="s">
        <v>728</v>
      </c>
      <c r="C69" s="13"/>
      <c r="F69" s="2">
        <v>2.34</v>
      </c>
      <c r="G69" s="2" t="s">
        <v>447</v>
      </c>
      <c r="H69" s="9" t="s">
        <v>555</v>
      </c>
      <c r="I69" t="s">
        <v>632</v>
      </c>
      <c r="J69"/>
      <c r="L69" s="25">
        <v>0</v>
      </c>
      <c r="M69">
        <v>4</v>
      </c>
      <c r="N69">
        <v>0</v>
      </c>
      <c r="T69" s="25">
        <v>0</v>
      </c>
      <c r="U69" s="25"/>
      <c r="V69" s="25"/>
      <c r="W69">
        <v>32.83</v>
      </c>
      <c r="X69">
        <v>5.4109999999999996</v>
      </c>
      <c r="Y69">
        <v>5.4480000000000004</v>
      </c>
      <c r="Z69">
        <v>0</v>
      </c>
      <c r="AD69">
        <v>20</v>
      </c>
      <c r="AE69" s="55">
        <f t="shared" si="2"/>
        <v>0</v>
      </c>
      <c r="AF69" s="57">
        <v>0</v>
      </c>
      <c r="AG69" s="55">
        <v>967.79977224000004</v>
      </c>
      <c r="AH69" s="55">
        <v>0</v>
      </c>
      <c r="AJ69" s="51"/>
      <c r="AK69" s="52">
        <v>8.2661726417684239E-2</v>
      </c>
      <c r="AM69" s="28">
        <v>2</v>
      </c>
      <c r="AN69" s="28">
        <v>3.0666666666666669</v>
      </c>
      <c r="AO69" s="28">
        <v>1.7333333333333329</v>
      </c>
      <c r="AP69" s="28">
        <v>1.8666666666666669</v>
      </c>
      <c r="AQ69" s="28">
        <v>0.23076923076923081</v>
      </c>
      <c r="AR69" s="28">
        <v>0.35384615384615392</v>
      </c>
      <c r="AS69" s="28">
        <v>0.2</v>
      </c>
      <c r="AT69" s="28">
        <v>0.2153846153846154</v>
      </c>
      <c r="AU69" s="25">
        <v>1.54</v>
      </c>
      <c r="AV69" s="25">
        <v>3.44</v>
      </c>
      <c r="AW69" s="25">
        <v>1.9</v>
      </c>
      <c r="AX69" s="25">
        <v>2.8706666666666658</v>
      </c>
      <c r="AY69">
        <v>2.8706666666666671</v>
      </c>
      <c r="AZ69">
        <v>6.2652784753333339</v>
      </c>
      <c r="BA69" s="75">
        <v>0.52818907539878324</v>
      </c>
      <c r="BB69" s="75">
        <v>0.54796980145127927</v>
      </c>
      <c r="BF69">
        <v>4.133086320884212E-2</v>
      </c>
      <c r="BH69">
        <v>8.2661726417684239E-2</v>
      </c>
      <c r="BI69">
        <v>4.133086320884212E-2</v>
      </c>
      <c r="BJ69">
        <v>0.53807943842503125</v>
      </c>
    </row>
    <row r="70" spans="1:68" x14ac:dyDescent="0.3">
      <c r="A70" s="2" t="s">
        <v>107</v>
      </c>
      <c r="B70" s="17" t="s">
        <v>728</v>
      </c>
      <c r="C70" s="13"/>
      <c r="D70" s="2" t="s">
        <v>678</v>
      </c>
      <c r="E70" s="2" t="s">
        <v>1067</v>
      </c>
      <c r="F70" s="2">
        <v>1.64</v>
      </c>
      <c r="G70" s="2" t="s">
        <v>447</v>
      </c>
      <c r="H70" s="9" t="s">
        <v>555</v>
      </c>
      <c r="I70" t="s">
        <v>632</v>
      </c>
      <c r="J70"/>
      <c r="L70" s="25">
        <v>0</v>
      </c>
      <c r="M70">
        <v>4</v>
      </c>
      <c r="N70">
        <v>0</v>
      </c>
      <c r="T70" s="25">
        <v>0</v>
      </c>
      <c r="U70" s="25"/>
      <c r="V70" s="25"/>
      <c r="W70">
        <v>32.83</v>
      </c>
      <c r="X70">
        <v>5.4109999999999996</v>
      </c>
      <c r="Y70">
        <v>5.4480000000000004</v>
      </c>
      <c r="Z70">
        <v>0</v>
      </c>
      <c r="AD70">
        <v>20</v>
      </c>
      <c r="AE70" s="55">
        <f t="shared" si="2"/>
        <v>0</v>
      </c>
      <c r="AF70" s="57">
        <v>0</v>
      </c>
      <c r="AG70" s="55">
        <v>967.79977224000004</v>
      </c>
      <c r="AH70" s="55">
        <v>0</v>
      </c>
      <c r="AJ70" s="51"/>
      <c r="AK70" s="52">
        <v>8.2661726417684239E-2</v>
      </c>
      <c r="AM70" s="28">
        <v>2</v>
      </c>
      <c r="AN70" s="28">
        <v>3.0666666666666669</v>
      </c>
      <c r="AO70" s="28">
        <v>1.7333333333333329</v>
      </c>
      <c r="AP70" s="28">
        <v>1.8666666666666669</v>
      </c>
      <c r="AQ70" s="28">
        <v>0.23076923076923081</v>
      </c>
      <c r="AR70" s="28">
        <v>0.35384615384615392</v>
      </c>
      <c r="AS70" s="28">
        <v>0.2</v>
      </c>
      <c r="AT70" s="28">
        <v>0.2153846153846154</v>
      </c>
      <c r="AU70" s="25">
        <v>1.54</v>
      </c>
      <c r="AV70" s="25">
        <v>3.44</v>
      </c>
      <c r="AW70" s="25">
        <v>1.9</v>
      </c>
      <c r="AX70" s="25">
        <v>2.8706666666666658</v>
      </c>
      <c r="AY70">
        <v>2.8706666666666671</v>
      </c>
      <c r="AZ70">
        <v>6.2652784753333339</v>
      </c>
      <c r="BA70" s="75">
        <v>0.52818907539878324</v>
      </c>
      <c r="BB70" s="75">
        <v>0.54796980145127927</v>
      </c>
      <c r="BF70">
        <v>4.133086320884212E-2</v>
      </c>
      <c r="BH70">
        <v>8.2661726417684239E-2</v>
      </c>
      <c r="BI70">
        <v>4.133086320884212E-2</v>
      </c>
      <c r="BJ70">
        <v>0.53807943842503125</v>
      </c>
    </row>
    <row r="71" spans="1:68" x14ac:dyDescent="0.3">
      <c r="A71" s="2" t="s">
        <v>185</v>
      </c>
      <c r="B71" s="13" t="s">
        <v>729</v>
      </c>
      <c r="C71" s="13"/>
      <c r="F71" s="2">
        <v>4.5999999999999996</v>
      </c>
      <c r="G71" s="2" t="s">
        <v>57</v>
      </c>
      <c r="H71" s="9" t="s">
        <v>556</v>
      </c>
      <c r="I71" t="s">
        <v>633</v>
      </c>
      <c r="J71"/>
      <c r="L71" s="25">
        <v>2</v>
      </c>
      <c r="M71">
        <v>4</v>
      </c>
      <c r="N71">
        <v>0</v>
      </c>
      <c r="T71" s="25">
        <v>13.81974189</v>
      </c>
      <c r="U71" s="25">
        <v>13.81974189</v>
      </c>
      <c r="V71" s="25">
        <v>5.7110870199999999</v>
      </c>
      <c r="W71">
        <v>3.94</v>
      </c>
      <c r="X71">
        <v>27.15</v>
      </c>
      <c r="Y71">
        <v>5.6920000000000002</v>
      </c>
      <c r="Z71">
        <v>0</v>
      </c>
      <c r="AD71">
        <v>14</v>
      </c>
      <c r="AE71" s="55">
        <f t="shared" si="2"/>
        <v>0</v>
      </c>
      <c r="AF71" s="57">
        <v>309.44138863753989</v>
      </c>
      <c r="AG71" s="55">
        <v>608.87893199999996</v>
      </c>
      <c r="AH71" s="55">
        <v>0</v>
      </c>
      <c r="AJ71" s="51">
        <v>9.0485633235046756E-2</v>
      </c>
      <c r="AK71" s="52">
        <v>9.1972306901891634E-2</v>
      </c>
      <c r="AM71" s="28">
        <v>2</v>
      </c>
      <c r="AN71" s="28">
        <v>2.545454545454545</v>
      </c>
      <c r="AO71" s="28">
        <v>0.54545454545454541</v>
      </c>
      <c r="AP71" s="28">
        <v>2.545454545454545</v>
      </c>
      <c r="AQ71" s="28">
        <v>0.26190476190476192</v>
      </c>
      <c r="AR71" s="28">
        <v>0.33333333333333331</v>
      </c>
      <c r="AS71" s="28">
        <v>7.1428571428571425E-2</v>
      </c>
      <c r="AT71" s="28">
        <v>0.33333333333333331</v>
      </c>
      <c r="AU71" s="25">
        <v>0.95</v>
      </c>
      <c r="AV71" s="25">
        <v>3.44</v>
      </c>
      <c r="AW71" s="25">
        <v>2.4900000000000002</v>
      </c>
      <c r="AX71" s="25">
        <v>2.6345454545454539</v>
      </c>
      <c r="AY71">
        <v>2.6345454545454552</v>
      </c>
      <c r="AZ71">
        <v>6.036062318181818</v>
      </c>
      <c r="BA71" s="75">
        <v>0.52932707238284982</v>
      </c>
      <c r="BB71" s="75">
        <v>0.53802388525275069</v>
      </c>
      <c r="BE71">
        <v>4.5242816617523378E-2</v>
      </c>
      <c r="BF71">
        <v>4.5986153450945817E-2</v>
      </c>
      <c r="BH71">
        <v>9.1228970068469195E-2</v>
      </c>
      <c r="BI71">
        <v>4.5614485034234598E-2</v>
      </c>
      <c r="BJ71">
        <v>0.5336754788178002</v>
      </c>
      <c r="BP71" s="2">
        <v>0.9</v>
      </c>
    </row>
    <row r="72" spans="1:68" x14ac:dyDescent="0.3">
      <c r="A72" s="2" t="s">
        <v>49</v>
      </c>
      <c r="B72" s="13" t="s">
        <v>725</v>
      </c>
      <c r="C72" s="13"/>
      <c r="F72" s="2">
        <v>3.9</v>
      </c>
      <c r="G72" s="2" t="s">
        <v>57</v>
      </c>
      <c r="H72" s="9" t="s">
        <v>553</v>
      </c>
      <c r="I72" t="s">
        <v>631</v>
      </c>
      <c r="J72"/>
      <c r="L72" s="25">
        <v>8</v>
      </c>
      <c r="M72">
        <v>8</v>
      </c>
      <c r="N72">
        <v>0</v>
      </c>
      <c r="T72" s="25">
        <v>5.8017180100000001</v>
      </c>
      <c r="U72" s="25">
        <v>7.9756520899999996</v>
      </c>
      <c r="V72" s="25">
        <v>27.352093400000001</v>
      </c>
      <c r="W72">
        <v>26.646989999999999</v>
      </c>
      <c r="X72">
        <v>7.9359999999999999</v>
      </c>
      <c r="Y72">
        <v>5.7050000000000001</v>
      </c>
      <c r="Z72">
        <v>0</v>
      </c>
      <c r="AD72">
        <v>14</v>
      </c>
      <c r="AE72" s="55">
        <f t="shared" si="2"/>
        <v>0</v>
      </c>
      <c r="AF72" s="57">
        <v>1265.6493143942739</v>
      </c>
      <c r="AG72" s="55">
        <v>1206.4392746112001</v>
      </c>
      <c r="AH72" s="55">
        <v>0</v>
      </c>
      <c r="AJ72" s="51">
        <v>8.8492127105210025E-2</v>
      </c>
      <c r="AK72" s="52">
        <v>9.2835174017436004E-2</v>
      </c>
      <c r="AM72" s="28">
        <v>1.8181818181818179</v>
      </c>
      <c r="AN72" s="28">
        <v>2.545454545454545</v>
      </c>
      <c r="AO72" s="28">
        <v>0.72727272727272729</v>
      </c>
      <c r="AP72" s="28">
        <v>0</v>
      </c>
      <c r="AQ72" s="28">
        <v>0.35714285714285721</v>
      </c>
      <c r="AR72" s="28">
        <v>0.5</v>
      </c>
      <c r="AS72" s="28">
        <v>0.1428571428571429</v>
      </c>
      <c r="AT72" s="28">
        <v>0</v>
      </c>
      <c r="AU72" s="25">
        <v>0.95</v>
      </c>
      <c r="AV72" s="25">
        <v>3.44</v>
      </c>
      <c r="AW72" s="25">
        <v>2.4900000000000002</v>
      </c>
      <c r="AX72" s="25">
        <v>2.6527272727272719</v>
      </c>
      <c r="AY72">
        <v>2.6527272727272728</v>
      </c>
      <c r="AZ72">
        <v>6.0182046818181814</v>
      </c>
      <c r="BA72" s="75">
        <v>0.5176653673612065</v>
      </c>
      <c r="BB72" s="75">
        <v>0.54307152550012683</v>
      </c>
      <c r="BE72">
        <v>4.4246063552605013E-2</v>
      </c>
      <c r="BF72">
        <v>4.6417587008717988E-2</v>
      </c>
      <c r="BH72">
        <v>9.0663650561323014E-2</v>
      </c>
      <c r="BI72">
        <v>4.53318252806615E-2</v>
      </c>
      <c r="BJ72">
        <v>0.53036844643066661</v>
      </c>
      <c r="BP72" s="2">
        <v>0.7</v>
      </c>
    </row>
    <row r="73" spans="1:68" x14ac:dyDescent="0.3">
      <c r="A73" s="2" t="s">
        <v>56</v>
      </c>
      <c r="B73" s="13" t="s">
        <v>730</v>
      </c>
      <c r="C73" s="13"/>
      <c r="F73" s="2">
        <v>3.6</v>
      </c>
      <c r="G73" s="2" t="s">
        <v>57</v>
      </c>
      <c r="H73" s="9" t="s">
        <v>557</v>
      </c>
      <c r="I73" t="s">
        <v>634</v>
      </c>
      <c r="J73"/>
      <c r="L73" s="25">
        <v>1</v>
      </c>
      <c r="M73">
        <v>4</v>
      </c>
      <c r="N73">
        <v>0</v>
      </c>
      <c r="T73" s="25">
        <v>2.92483936</v>
      </c>
      <c r="U73" s="25">
        <v>2.92483936</v>
      </c>
      <c r="V73" s="25">
        <v>3.4422619999999999</v>
      </c>
      <c r="W73">
        <v>4.1684000000000001</v>
      </c>
      <c r="X73">
        <v>4.1684000000000001</v>
      </c>
      <c r="Y73">
        <v>4.1684000000000001</v>
      </c>
      <c r="Z73">
        <v>0</v>
      </c>
      <c r="AD73">
        <v>2</v>
      </c>
      <c r="AE73" s="55">
        <f t="shared" si="2"/>
        <v>0</v>
      </c>
      <c r="AF73" s="57">
        <v>25.502259160055111</v>
      </c>
      <c r="AG73" s="55">
        <v>72.428278301504008</v>
      </c>
      <c r="AH73" s="55">
        <v>0</v>
      </c>
      <c r="AJ73" s="51">
        <v>7.8424424575398208E-2</v>
      </c>
      <c r="AK73" s="52">
        <v>0.1104540959360879</v>
      </c>
      <c r="AM73" s="28">
        <v>2</v>
      </c>
      <c r="AN73" s="28">
        <v>2</v>
      </c>
      <c r="AO73" s="28">
        <v>4</v>
      </c>
      <c r="AP73" s="28">
        <v>0</v>
      </c>
      <c r="AQ73" s="28">
        <v>0.25</v>
      </c>
      <c r="AR73" s="28">
        <v>0.25</v>
      </c>
      <c r="AS73" s="28">
        <v>0.5</v>
      </c>
      <c r="AT73" s="28">
        <v>0</v>
      </c>
      <c r="AU73" s="25">
        <v>1.91</v>
      </c>
      <c r="AV73" s="25">
        <v>3.44</v>
      </c>
      <c r="AW73" s="25">
        <v>1.53</v>
      </c>
      <c r="AX73" s="25">
        <v>2.6749999999999998</v>
      </c>
      <c r="AY73">
        <v>2.6749999999999998</v>
      </c>
      <c r="AZ73">
        <v>5.9690498749999996</v>
      </c>
      <c r="BA73" s="75">
        <v>0.32856522012819489</v>
      </c>
      <c r="BB73" s="75">
        <v>0.46275601691422702</v>
      </c>
      <c r="BE73">
        <v>3.9212212287699097E-2</v>
      </c>
      <c r="BF73">
        <v>5.5227047968043973E-2</v>
      </c>
      <c r="BH73">
        <v>9.4439260255743063E-2</v>
      </c>
      <c r="BI73">
        <v>4.7219630127871531E-2</v>
      </c>
      <c r="BJ73">
        <v>0.39566061852121093</v>
      </c>
    </row>
    <row r="74" spans="1:68" x14ac:dyDescent="0.3">
      <c r="A74" s="2" t="s">
        <v>58</v>
      </c>
      <c r="B74" s="13" t="s">
        <v>731</v>
      </c>
      <c r="C74" s="13"/>
      <c r="F74" s="2">
        <v>4.2</v>
      </c>
      <c r="G74" s="2" t="s">
        <v>57</v>
      </c>
      <c r="H74" s="9">
        <v>-1</v>
      </c>
      <c r="I74">
        <v>-1</v>
      </c>
      <c r="J74"/>
      <c r="K74" s="2">
        <v>4</v>
      </c>
      <c r="L74" s="25">
        <v>0</v>
      </c>
      <c r="M74">
        <v>0</v>
      </c>
      <c r="N74">
        <v>0</v>
      </c>
      <c r="O74" s="2">
        <v>44.2</v>
      </c>
      <c r="P74" s="2">
        <v>7.92</v>
      </c>
      <c r="Q74" s="2">
        <v>6.46</v>
      </c>
      <c r="S74" s="2" t="s">
        <v>1142</v>
      </c>
      <c r="T74" s="25">
        <v>0</v>
      </c>
      <c r="U74" s="25"/>
      <c r="V74" s="25"/>
      <c r="W74">
        <v>0</v>
      </c>
      <c r="Z74">
        <v>0</v>
      </c>
      <c r="AD74">
        <v>34</v>
      </c>
      <c r="AE74" s="55">
        <f t="shared" si="2"/>
        <v>2261.4134400000003</v>
      </c>
      <c r="AF74" s="57">
        <v>0</v>
      </c>
      <c r="AG74" s="55">
        <v>0</v>
      </c>
      <c r="AH74" s="55">
        <v>0</v>
      </c>
      <c r="AI74" s="52">
        <f>K74*AD74/AE74</f>
        <v>6.0139379024827931E-2</v>
      </c>
      <c r="AJ74" s="51"/>
      <c r="AM74" s="28">
        <v>1.8518518518518521</v>
      </c>
      <c r="AN74" s="28">
        <v>2.518518518518519</v>
      </c>
      <c r="AO74" s="28">
        <v>0.66666666666666663</v>
      </c>
      <c r="AP74" s="28">
        <v>3.1111111111111112</v>
      </c>
      <c r="AQ74" s="28">
        <v>0.22727272727272729</v>
      </c>
      <c r="AR74" s="28">
        <v>0.30909090909090908</v>
      </c>
      <c r="AS74" s="28">
        <v>8.1818181818181804E-2</v>
      </c>
      <c r="AT74" s="28">
        <v>0.38181818181818178</v>
      </c>
      <c r="AU74" s="25">
        <v>0.82</v>
      </c>
      <c r="AV74" s="25">
        <v>3.44</v>
      </c>
      <c r="AW74" s="25">
        <v>2.62</v>
      </c>
      <c r="AX74" s="25">
        <v>2.6207407407407399</v>
      </c>
      <c r="AY74">
        <v>2.6207407407407408</v>
      </c>
      <c r="AZ74">
        <v>5.9672971914814816</v>
      </c>
      <c r="BD74">
        <v>3.0069689512413969E-2</v>
      </c>
      <c r="BH74">
        <v>6.0139379024827931E-2</v>
      </c>
      <c r="BI74">
        <v>3.0069689512413969E-2</v>
      </c>
      <c r="BJ74">
        <v>0</v>
      </c>
    </row>
    <row r="75" spans="1:68" x14ac:dyDescent="0.3">
      <c r="A75" s="2" t="s">
        <v>59</v>
      </c>
      <c r="B75" s="13" t="s">
        <v>732</v>
      </c>
      <c r="C75" s="13"/>
      <c r="F75" s="2">
        <v>3.55</v>
      </c>
      <c r="G75" s="2" t="s">
        <v>57</v>
      </c>
      <c r="H75" s="9">
        <v>-1</v>
      </c>
      <c r="I75">
        <v>-1</v>
      </c>
      <c r="J75" t="s">
        <v>1153</v>
      </c>
      <c r="L75" s="25">
        <v>0</v>
      </c>
      <c r="M75">
        <v>0</v>
      </c>
      <c r="N75">
        <v>4</v>
      </c>
      <c r="T75" s="25">
        <v>0</v>
      </c>
      <c r="U75" s="25"/>
      <c r="V75" s="25"/>
      <c r="W75">
        <v>0</v>
      </c>
      <c r="Z75">
        <v>34.1</v>
      </c>
      <c r="AA75">
        <v>7.85</v>
      </c>
      <c r="AB75">
        <v>6.52</v>
      </c>
      <c r="AD75">
        <v>34</v>
      </c>
      <c r="AE75" s="55">
        <f t="shared" si="2"/>
        <v>0</v>
      </c>
      <c r="AF75" s="57">
        <v>0</v>
      </c>
      <c r="AG75" s="55">
        <v>0</v>
      </c>
      <c r="AH75" s="55">
        <v>1745.3062</v>
      </c>
      <c r="AJ75" s="51"/>
      <c r="AL75" s="52">
        <v>7.7923289334559179E-2</v>
      </c>
      <c r="AM75" s="28">
        <v>1.62962962962963</v>
      </c>
      <c r="AN75" s="28">
        <v>2.518518518518519</v>
      </c>
      <c r="AO75" s="28">
        <v>0.88888888888888884</v>
      </c>
      <c r="AP75" s="28">
        <v>0</v>
      </c>
      <c r="AQ75" s="28">
        <v>0.32352941176470579</v>
      </c>
      <c r="AR75" s="28">
        <v>0.5</v>
      </c>
      <c r="AS75" s="28">
        <v>0.1764705882352941</v>
      </c>
      <c r="AT75" s="28">
        <v>0</v>
      </c>
      <c r="AU75" s="25">
        <v>0.82</v>
      </c>
      <c r="AV75" s="25">
        <v>3.44</v>
      </c>
      <c r="AW75" s="25">
        <v>2.62</v>
      </c>
      <c r="AX75" s="25">
        <v>2.642962962962963</v>
      </c>
      <c r="AY75">
        <v>2.642962962962963</v>
      </c>
      <c r="AZ75">
        <v>5.9454711914814808</v>
      </c>
      <c r="BC75" s="75">
        <v>0.52945551775309363</v>
      </c>
      <c r="BG75">
        <v>3.8961644667279589E-2</v>
      </c>
      <c r="BH75">
        <v>7.7923289334559179E-2</v>
      </c>
      <c r="BI75">
        <v>3.8961644667279589E-2</v>
      </c>
      <c r="BJ75">
        <v>0.52945551775309363</v>
      </c>
    </row>
    <row r="76" spans="1:68" x14ac:dyDescent="0.3">
      <c r="A76" s="2" t="s">
        <v>60</v>
      </c>
      <c r="B76" s="13" t="s">
        <v>733</v>
      </c>
      <c r="C76" s="13"/>
      <c r="F76" s="2">
        <v>2.54</v>
      </c>
      <c r="G76" s="2" t="s">
        <v>62</v>
      </c>
      <c r="H76" s="9" t="s">
        <v>558</v>
      </c>
      <c r="I76" t="s">
        <v>635</v>
      </c>
      <c r="J76"/>
      <c r="L76" s="25">
        <v>1</v>
      </c>
      <c r="M76">
        <v>2</v>
      </c>
      <c r="N76">
        <v>0</v>
      </c>
      <c r="O76" s="2">
        <v>3.8860999999999999</v>
      </c>
      <c r="P76" s="2">
        <v>3.8860999999999999</v>
      </c>
      <c r="Q76" s="2">
        <v>12.5922</v>
      </c>
      <c r="R76" s="2" t="s">
        <v>440</v>
      </c>
      <c r="T76" s="25">
        <v>3.8962357000000001</v>
      </c>
      <c r="U76" s="25">
        <v>3.8962353200000002</v>
      </c>
      <c r="V76" s="25">
        <v>6.87349342</v>
      </c>
      <c r="W76">
        <v>3.8839999999999999</v>
      </c>
      <c r="X76">
        <v>3.8839999999999999</v>
      </c>
      <c r="Y76">
        <v>12.6</v>
      </c>
      <c r="Z76">
        <v>0</v>
      </c>
      <c r="AD76">
        <v>8</v>
      </c>
      <c r="AE76" s="55">
        <f t="shared" si="2"/>
        <v>190.164548614962</v>
      </c>
      <c r="AF76" s="57">
        <v>95.595427689592043</v>
      </c>
      <c r="AG76" s="55">
        <v>190.07674560000001</v>
      </c>
      <c r="AH76" s="55">
        <v>0</v>
      </c>
      <c r="AJ76" s="51">
        <v>8.3686010862117841E-2</v>
      </c>
      <c r="AK76" s="52">
        <v>8.4176525379230829E-2</v>
      </c>
      <c r="AM76" s="28">
        <v>2</v>
      </c>
      <c r="AN76" s="28">
        <v>2.285714285714286</v>
      </c>
      <c r="AO76" s="28">
        <v>0.2857142857142857</v>
      </c>
      <c r="AP76" s="28">
        <v>0</v>
      </c>
      <c r="AQ76" s="28">
        <v>0.4375</v>
      </c>
      <c r="AR76" s="28">
        <v>0.5</v>
      </c>
      <c r="AS76" s="28">
        <v>6.25E-2</v>
      </c>
      <c r="AT76" s="28">
        <v>0</v>
      </c>
      <c r="AU76" s="25">
        <v>0.95</v>
      </c>
      <c r="AV76" s="25">
        <v>3.44</v>
      </c>
      <c r="AW76" s="25">
        <v>2.4900000000000002</v>
      </c>
      <c r="AX76" s="25">
        <v>2.4571428571428569</v>
      </c>
      <c r="AY76">
        <v>2.4571428571428569</v>
      </c>
      <c r="AZ76">
        <v>5.6224409357142857</v>
      </c>
      <c r="BA76" s="75">
        <v>0.57028696666713652</v>
      </c>
      <c r="BB76" s="75">
        <v>0.57362962851932398</v>
      </c>
      <c r="BE76">
        <v>4.184300543105892E-2</v>
      </c>
      <c r="BF76">
        <v>4.2088262689615408E-2</v>
      </c>
      <c r="BH76">
        <v>8.3931268120674335E-2</v>
      </c>
      <c r="BI76">
        <v>4.1965634060337167E-2</v>
      </c>
      <c r="BJ76">
        <v>0.57195829759323025</v>
      </c>
      <c r="BP76" s="2">
        <v>0.4</v>
      </c>
    </row>
    <row r="77" spans="1:68" x14ac:dyDescent="0.3">
      <c r="A77" s="2" t="s">
        <v>61</v>
      </c>
      <c r="B77" s="17" t="s">
        <v>894</v>
      </c>
      <c r="C77" s="13"/>
      <c r="F77" s="2">
        <v>2.3199999999999998</v>
      </c>
      <c r="G77" s="2" t="s">
        <v>62</v>
      </c>
      <c r="H77" s="32" t="s">
        <v>558</v>
      </c>
      <c r="I77" s="1" t="s">
        <v>635</v>
      </c>
      <c r="J77"/>
      <c r="L77" s="25">
        <v>0</v>
      </c>
      <c r="M77">
        <v>2</v>
      </c>
      <c r="N77">
        <v>0</v>
      </c>
      <c r="O77" s="2">
        <v>3.8915000000000002</v>
      </c>
      <c r="P77" s="2">
        <v>3.8915000000000002</v>
      </c>
      <c r="Q77" s="2">
        <v>12.589499999999999</v>
      </c>
      <c r="R77" s="2" t="s">
        <v>440</v>
      </c>
      <c r="T77" s="25">
        <v>0</v>
      </c>
      <c r="U77" s="25"/>
      <c r="V77" s="25"/>
      <c r="W77">
        <v>3.8839999999999999</v>
      </c>
      <c r="X77">
        <v>3.8839999999999999</v>
      </c>
      <c r="Y77">
        <v>12.6</v>
      </c>
      <c r="Z77">
        <v>0</v>
      </c>
      <c r="AD77">
        <v>8</v>
      </c>
      <c r="AE77" s="55">
        <f t="shared" si="2"/>
        <v>190.65252074137501</v>
      </c>
      <c r="AF77" s="57">
        <v>0</v>
      </c>
      <c r="AG77" s="55">
        <v>190.07674560000001</v>
      </c>
      <c r="AH77" s="55">
        <v>0</v>
      </c>
      <c r="AJ77" s="51"/>
      <c r="AK77" s="52">
        <v>8.4176525379230829E-2</v>
      </c>
      <c r="AM77" s="28">
        <v>2</v>
      </c>
      <c r="AN77" s="28">
        <v>2.285714285714286</v>
      </c>
      <c r="AO77" s="28">
        <v>0.3</v>
      </c>
      <c r="AP77" s="28">
        <v>0</v>
      </c>
      <c r="AQ77" s="28">
        <v>0.43613707165109028</v>
      </c>
      <c r="AR77" s="28">
        <v>0.49844236760124599</v>
      </c>
      <c r="AS77" s="28">
        <v>6.5420560747663545E-2</v>
      </c>
      <c r="AT77" s="28">
        <v>0</v>
      </c>
      <c r="AU77" s="25">
        <v>0.95</v>
      </c>
      <c r="AV77" s="25">
        <v>3.44</v>
      </c>
      <c r="AW77" s="25">
        <v>2.4900000000000002</v>
      </c>
      <c r="AX77" s="25">
        <v>2.4592857142857141</v>
      </c>
      <c r="AY77">
        <v>2.459285714285715</v>
      </c>
      <c r="AZ77">
        <v>5.625208883928571</v>
      </c>
      <c r="BA77" s="75">
        <v>0.57028696666713652</v>
      </c>
      <c r="BB77" s="75">
        <v>0.57362962851932398</v>
      </c>
      <c r="BF77">
        <v>4.2088262689615408E-2</v>
      </c>
      <c r="BH77">
        <v>8.4176525379230829E-2</v>
      </c>
      <c r="BI77">
        <v>4.2088262689615408E-2</v>
      </c>
      <c r="BJ77">
        <v>0.57195829759323025</v>
      </c>
      <c r="BP77" s="2">
        <v>1.3</v>
      </c>
    </row>
    <row r="78" spans="1:68" x14ac:dyDescent="0.3">
      <c r="A78" s="2" t="s">
        <v>883</v>
      </c>
      <c r="B78" s="17" t="s">
        <v>895</v>
      </c>
      <c r="C78" s="13"/>
      <c r="F78" s="2">
        <v>2.2200000000000002</v>
      </c>
      <c r="G78" s="2" t="s">
        <v>62</v>
      </c>
      <c r="H78" s="32" t="s">
        <v>558</v>
      </c>
      <c r="I78" s="1" t="s">
        <v>635</v>
      </c>
      <c r="J78"/>
      <c r="L78" s="25">
        <v>0</v>
      </c>
      <c r="M78">
        <v>2</v>
      </c>
      <c r="N78">
        <v>0</v>
      </c>
      <c r="O78" s="2">
        <v>3.8965000000000001</v>
      </c>
      <c r="P78" s="2">
        <v>3.8965000000000001</v>
      </c>
      <c r="Q78" s="2">
        <v>12.6137</v>
      </c>
      <c r="R78" s="2" t="s">
        <v>440</v>
      </c>
      <c r="T78" s="25">
        <v>0</v>
      </c>
      <c r="U78" s="25"/>
      <c r="V78" s="25"/>
      <c r="W78">
        <v>3.8839999999999999</v>
      </c>
      <c r="X78">
        <v>3.8839999999999999</v>
      </c>
      <c r="Y78">
        <v>12.6</v>
      </c>
      <c r="Z78">
        <v>0</v>
      </c>
      <c r="AD78">
        <v>8</v>
      </c>
      <c r="AE78" s="55">
        <f t="shared" si="2"/>
        <v>191.51017750782501</v>
      </c>
      <c r="AF78" s="57">
        <v>0</v>
      </c>
      <c r="AG78" s="55">
        <v>190.07674560000001</v>
      </c>
      <c r="AH78" s="55">
        <v>0</v>
      </c>
      <c r="AJ78" s="51"/>
      <c r="AK78" s="52">
        <v>8.4176525379230829E-2</v>
      </c>
      <c r="AM78" s="28">
        <v>2</v>
      </c>
      <c r="AN78" s="28">
        <v>2.285714285714286</v>
      </c>
      <c r="AO78" s="28">
        <v>0.31428571428571428</v>
      </c>
      <c r="AP78" s="28">
        <v>0</v>
      </c>
      <c r="AQ78" s="28">
        <v>0.43478260869565211</v>
      </c>
      <c r="AR78" s="28">
        <v>0.49689440993788808</v>
      </c>
      <c r="AS78" s="28">
        <v>6.8322981366459631E-2</v>
      </c>
      <c r="AT78" s="28">
        <v>0</v>
      </c>
      <c r="AU78" s="25">
        <v>0.95</v>
      </c>
      <c r="AV78" s="25">
        <v>3.44</v>
      </c>
      <c r="AW78" s="25">
        <v>2.4900000000000002</v>
      </c>
      <c r="AX78" s="25">
        <v>2.4614285714285709</v>
      </c>
      <c r="AY78">
        <v>2.4614285714285709</v>
      </c>
      <c r="AZ78">
        <v>5.627976832142858</v>
      </c>
      <c r="BA78" s="75">
        <v>0.57028696666713652</v>
      </c>
      <c r="BB78" s="75">
        <v>0.57362962851932398</v>
      </c>
      <c r="BF78">
        <v>4.2088262689615408E-2</v>
      </c>
      <c r="BH78">
        <v>8.4176525379230829E-2</v>
      </c>
      <c r="BI78">
        <v>4.2088262689615408E-2</v>
      </c>
      <c r="BJ78">
        <v>0.57195829759323025</v>
      </c>
      <c r="BP78" s="2">
        <v>3.2</v>
      </c>
    </row>
    <row r="79" spans="1:68" x14ac:dyDescent="0.3">
      <c r="A79" s="2" t="s">
        <v>884</v>
      </c>
      <c r="B79" s="17" t="s">
        <v>896</v>
      </c>
      <c r="C79" s="13"/>
      <c r="F79" s="2">
        <v>2.16</v>
      </c>
      <c r="G79" s="2" t="s">
        <v>62</v>
      </c>
      <c r="H79" s="32" t="s">
        <v>558</v>
      </c>
      <c r="I79" s="1" t="s">
        <v>635</v>
      </c>
      <c r="J79"/>
      <c r="L79" s="25">
        <v>0</v>
      </c>
      <c r="M79">
        <v>2</v>
      </c>
      <c r="N79">
        <v>0</v>
      </c>
      <c r="O79" s="2">
        <v>3.9016999999999999</v>
      </c>
      <c r="P79" s="2">
        <v>3.9016999999999999</v>
      </c>
      <c r="Q79" s="2">
        <v>12.593500000000001</v>
      </c>
      <c r="R79" s="2" t="s">
        <v>440</v>
      </c>
      <c r="T79" s="25">
        <v>0</v>
      </c>
      <c r="U79" s="25"/>
      <c r="V79" s="25"/>
      <c r="W79">
        <v>3.8839999999999999</v>
      </c>
      <c r="X79">
        <v>3.8839999999999999</v>
      </c>
      <c r="Y79">
        <v>12.6</v>
      </c>
      <c r="Z79">
        <v>0</v>
      </c>
      <c r="AD79">
        <v>8</v>
      </c>
      <c r="AE79" s="55">
        <f t="shared" si="2"/>
        <v>191.71416120521499</v>
      </c>
      <c r="AF79" s="57">
        <v>0</v>
      </c>
      <c r="AG79" s="55">
        <v>190.07674560000001</v>
      </c>
      <c r="AH79" s="55">
        <v>0</v>
      </c>
      <c r="AJ79" s="51"/>
      <c r="AK79" s="52">
        <v>8.4176525379230829E-2</v>
      </c>
      <c r="AM79" s="28">
        <v>2</v>
      </c>
      <c r="AN79" s="28">
        <v>2.285714285714286</v>
      </c>
      <c r="AO79" s="28">
        <v>0.32857142857142863</v>
      </c>
      <c r="AP79" s="28">
        <v>0</v>
      </c>
      <c r="AQ79" s="28">
        <v>0.43343653250774</v>
      </c>
      <c r="AR79" s="28">
        <v>0.49535603715170279</v>
      </c>
      <c r="AS79" s="28">
        <v>7.1207430340557279E-2</v>
      </c>
      <c r="AT79" s="28">
        <v>0</v>
      </c>
      <c r="AU79" s="25">
        <v>0.95</v>
      </c>
      <c r="AV79" s="25">
        <v>3.44</v>
      </c>
      <c r="AW79" s="25">
        <v>2.4900000000000002</v>
      </c>
      <c r="AX79" s="25">
        <v>2.463571428571429</v>
      </c>
      <c r="AY79">
        <v>2.463571428571429</v>
      </c>
      <c r="AZ79">
        <v>5.6307447803571433</v>
      </c>
      <c r="BA79" s="75">
        <v>0.57028696666713652</v>
      </c>
      <c r="BB79" s="75">
        <v>0.57362962851932398</v>
      </c>
      <c r="BF79">
        <v>4.2088262689615408E-2</v>
      </c>
      <c r="BH79">
        <v>8.4176525379230829E-2</v>
      </c>
      <c r="BI79">
        <v>4.2088262689615408E-2</v>
      </c>
      <c r="BJ79">
        <v>0.57195829759323025</v>
      </c>
      <c r="BP79" s="2">
        <v>3.4</v>
      </c>
    </row>
    <row r="80" spans="1:68" x14ac:dyDescent="0.3">
      <c r="A80" s="2" t="s">
        <v>885</v>
      </c>
      <c r="B80" s="17" t="s">
        <v>897</v>
      </c>
      <c r="C80" s="13"/>
      <c r="F80" s="2">
        <v>2.1</v>
      </c>
      <c r="G80" s="2" t="s">
        <v>62</v>
      </c>
      <c r="H80" s="32" t="s">
        <v>558</v>
      </c>
      <c r="I80" s="1" t="s">
        <v>635</v>
      </c>
      <c r="J80"/>
      <c r="L80" s="25">
        <v>0</v>
      </c>
      <c r="M80">
        <v>2</v>
      </c>
      <c r="N80">
        <v>0</v>
      </c>
      <c r="O80" s="2">
        <v>3.9022000000000001</v>
      </c>
      <c r="P80" s="2">
        <v>3.9022000000000001</v>
      </c>
      <c r="Q80" s="2">
        <v>12.6189</v>
      </c>
      <c r="R80" s="2" t="s">
        <v>440</v>
      </c>
      <c r="T80" s="25">
        <v>0</v>
      </c>
      <c r="U80" s="25"/>
      <c r="V80" s="25"/>
      <c r="W80">
        <v>3.8839999999999999</v>
      </c>
      <c r="X80">
        <v>3.8839999999999999</v>
      </c>
      <c r="Y80">
        <v>12.6</v>
      </c>
      <c r="Z80">
        <v>0</v>
      </c>
      <c r="AD80">
        <v>8</v>
      </c>
      <c r="AE80" s="55">
        <f t="shared" si="2"/>
        <v>192.15007039947599</v>
      </c>
      <c r="AF80" s="57">
        <v>0</v>
      </c>
      <c r="AG80" s="55">
        <v>190.07674560000001</v>
      </c>
      <c r="AH80" s="55">
        <v>0</v>
      </c>
      <c r="AJ80" s="51"/>
      <c r="AK80" s="52">
        <v>8.4176525379230829E-2</v>
      </c>
      <c r="AM80" s="28">
        <v>2</v>
      </c>
      <c r="AN80" s="28">
        <v>2.285714285714286</v>
      </c>
      <c r="AO80" s="28">
        <v>0.34285714285714292</v>
      </c>
      <c r="AP80" s="28">
        <v>0</v>
      </c>
      <c r="AQ80" s="28">
        <v>0.4320987654320988</v>
      </c>
      <c r="AR80" s="28">
        <v>0.49382716049382719</v>
      </c>
      <c r="AS80" s="28">
        <v>7.4074074074074084E-2</v>
      </c>
      <c r="AT80" s="28">
        <v>0</v>
      </c>
      <c r="AU80" s="25">
        <v>0.95</v>
      </c>
      <c r="AV80" s="25">
        <v>3.44</v>
      </c>
      <c r="AW80" s="25">
        <v>2.4900000000000002</v>
      </c>
      <c r="AX80" s="25">
        <v>2.4657142857142849</v>
      </c>
      <c r="AY80">
        <v>2.4657142857142862</v>
      </c>
      <c r="AZ80">
        <v>5.6335127285714286</v>
      </c>
      <c r="BA80" s="75">
        <v>0.57028696666713652</v>
      </c>
      <c r="BB80" s="75">
        <v>0.57362962851932398</v>
      </c>
      <c r="BF80">
        <v>4.2088262689615408E-2</v>
      </c>
      <c r="BH80">
        <v>8.4176525379230829E-2</v>
      </c>
      <c r="BI80">
        <v>4.2088262689615408E-2</v>
      </c>
      <c r="BJ80">
        <v>0.57195829759323025</v>
      </c>
      <c r="BP80" s="2">
        <v>3.8</v>
      </c>
    </row>
    <row r="81" spans="1:68" x14ac:dyDescent="0.3">
      <c r="A81" s="2" t="s">
        <v>886</v>
      </c>
      <c r="B81" s="17" t="s">
        <v>898</v>
      </c>
      <c r="C81" s="13"/>
      <c r="F81" s="2">
        <v>2.08</v>
      </c>
      <c r="G81" s="2" t="s">
        <v>62</v>
      </c>
      <c r="H81" s="32" t="s">
        <v>558</v>
      </c>
      <c r="I81" s="1" t="s">
        <v>635</v>
      </c>
      <c r="J81"/>
      <c r="L81" s="25">
        <v>0</v>
      </c>
      <c r="M81">
        <v>2</v>
      </c>
      <c r="N81">
        <v>0</v>
      </c>
      <c r="O81" s="2">
        <v>3.9043999999999999</v>
      </c>
      <c r="P81" s="2">
        <v>3.9043999999999999</v>
      </c>
      <c r="Q81" s="2">
        <v>12.6092</v>
      </c>
      <c r="R81" s="2" t="s">
        <v>440</v>
      </c>
      <c r="T81" s="25">
        <v>0</v>
      </c>
      <c r="U81" s="25"/>
      <c r="V81" s="25"/>
      <c r="W81">
        <v>3.8839999999999999</v>
      </c>
      <c r="X81">
        <v>3.8839999999999999</v>
      </c>
      <c r="Y81">
        <v>12.6</v>
      </c>
      <c r="Z81">
        <v>0</v>
      </c>
      <c r="AD81">
        <v>8</v>
      </c>
      <c r="AE81" s="55">
        <f t="shared" si="2"/>
        <v>192.21892385811199</v>
      </c>
      <c r="AF81" s="57">
        <v>0</v>
      </c>
      <c r="AG81" s="55">
        <v>190.07674560000001</v>
      </c>
      <c r="AH81" s="55">
        <v>0</v>
      </c>
      <c r="AJ81" s="51"/>
      <c r="AK81" s="52">
        <v>8.4176525379230829E-2</v>
      </c>
      <c r="AM81" s="28">
        <v>2</v>
      </c>
      <c r="AN81" s="28">
        <v>2.285714285714286</v>
      </c>
      <c r="AO81" s="28">
        <v>0.35714285714285721</v>
      </c>
      <c r="AP81" s="28">
        <v>0</v>
      </c>
      <c r="AQ81" s="28">
        <v>0.43076923076923068</v>
      </c>
      <c r="AR81" s="28">
        <v>0.49230769230769222</v>
      </c>
      <c r="AS81" s="28">
        <v>7.6923076923076913E-2</v>
      </c>
      <c r="AT81" s="28">
        <v>0</v>
      </c>
      <c r="AU81" s="25">
        <v>0.95</v>
      </c>
      <c r="AV81" s="25">
        <v>3.44</v>
      </c>
      <c r="AW81" s="25">
        <v>2.4900000000000002</v>
      </c>
      <c r="AX81" s="25">
        <v>2.467857142857143</v>
      </c>
      <c r="AY81">
        <v>2.467857142857143</v>
      </c>
      <c r="AZ81">
        <v>5.6362806767857148</v>
      </c>
      <c r="BA81" s="75">
        <v>0.57028696666713652</v>
      </c>
      <c r="BB81" s="75">
        <v>0.57362962851932398</v>
      </c>
      <c r="BF81">
        <v>4.2088262689615408E-2</v>
      </c>
      <c r="BH81">
        <v>8.4176525379230829E-2</v>
      </c>
      <c r="BI81">
        <v>4.2088262689615408E-2</v>
      </c>
      <c r="BJ81">
        <v>0.57195829759323025</v>
      </c>
      <c r="BP81" s="2">
        <v>4.2</v>
      </c>
    </row>
    <row r="82" spans="1:68" x14ac:dyDescent="0.3">
      <c r="A82" s="2" t="s">
        <v>215</v>
      </c>
      <c r="B82" s="17" t="s">
        <v>734</v>
      </c>
      <c r="C82" s="13"/>
      <c r="F82" s="2">
        <v>4.0999999999999996</v>
      </c>
      <c r="G82" s="2" t="s">
        <v>64</v>
      </c>
      <c r="H82" s="9" t="s">
        <v>587</v>
      </c>
      <c r="I82" t="s">
        <v>636</v>
      </c>
      <c r="J82"/>
      <c r="L82" s="25">
        <v>1</v>
      </c>
      <c r="M82">
        <v>1</v>
      </c>
      <c r="N82">
        <v>0</v>
      </c>
      <c r="O82" s="2">
        <v>3.87</v>
      </c>
      <c r="P82" s="2">
        <v>3.87</v>
      </c>
      <c r="Q82" s="2">
        <v>15.1</v>
      </c>
      <c r="R82" s="2" t="s">
        <v>439</v>
      </c>
      <c r="T82" s="25">
        <v>3.950634</v>
      </c>
      <c r="U82" s="25">
        <v>3.950634</v>
      </c>
      <c r="V82" s="25">
        <v>15.513552000000001</v>
      </c>
      <c r="W82">
        <v>3.8658999999999999</v>
      </c>
      <c r="X82">
        <v>3.8658999999999999</v>
      </c>
      <c r="Y82">
        <v>15.2538</v>
      </c>
      <c r="Z82">
        <v>0</v>
      </c>
      <c r="AD82">
        <v>20</v>
      </c>
      <c r="AE82" s="55">
        <f t="shared" si="2"/>
        <v>226.15119000000001</v>
      </c>
      <c r="AF82" s="57">
        <v>242.1279024923125</v>
      </c>
      <c r="AG82" s="55">
        <v>227.970829547178</v>
      </c>
      <c r="AH82" s="55">
        <v>0</v>
      </c>
      <c r="AJ82" s="51">
        <v>8.2600971611006269E-2</v>
      </c>
      <c r="AK82" s="52">
        <v>8.7730522539775438E-2</v>
      </c>
      <c r="AM82" s="28">
        <v>1.9375</v>
      </c>
      <c r="AN82" s="28">
        <v>2.5</v>
      </c>
      <c r="AO82" s="28">
        <v>0.5625</v>
      </c>
      <c r="AP82" s="28">
        <v>2.625</v>
      </c>
      <c r="AQ82" s="28">
        <v>0.25409836065573771</v>
      </c>
      <c r="AR82" s="28">
        <v>0.32786885245901642</v>
      </c>
      <c r="AS82" s="28">
        <v>7.3770491803278687E-2</v>
      </c>
      <c r="AT82" s="28">
        <v>0.34426229508196721</v>
      </c>
      <c r="AU82" s="25">
        <v>0.79</v>
      </c>
      <c r="AV82" s="25">
        <v>3.44</v>
      </c>
      <c r="AW82" s="25">
        <v>2.65</v>
      </c>
      <c r="AX82" s="25">
        <v>2.6056249999999999</v>
      </c>
      <c r="AY82">
        <v>2.6056249999999999</v>
      </c>
      <c r="AZ82">
        <v>5.9703320286696879</v>
      </c>
      <c r="BA82" s="75">
        <v>0.52453741991489755</v>
      </c>
      <c r="BB82" s="75">
        <v>0.55711138795694093</v>
      </c>
      <c r="BE82">
        <v>4.1300485805503127E-2</v>
      </c>
      <c r="BF82">
        <v>4.3865261269887712E-2</v>
      </c>
      <c r="BH82">
        <v>8.5165747075390846E-2</v>
      </c>
      <c r="BI82">
        <v>4.2582873537695423E-2</v>
      </c>
      <c r="BJ82">
        <v>0.54082440393591924</v>
      </c>
    </row>
    <row r="83" spans="1:68" x14ac:dyDescent="0.3">
      <c r="A83" s="2" t="s">
        <v>679</v>
      </c>
      <c r="B83" s="17" t="s">
        <v>899</v>
      </c>
      <c r="C83" s="2" t="s">
        <v>681</v>
      </c>
      <c r="F83" s="2">
        <v>4.3</v>
      </c>
      <c r="G83" s="2" t="s">
        <v>64</v>
      </c>
      <c r="H83" s="12" t="s">
        <v>683</v>
      </c>
      <c r="I83">
        <v>7221084</v>
      </c>
      <c r="J83"/>
      <c r="L83" s="25">
        <v>0</v>
      </c>
      <c r="M83">
        <v>2</v>
      </c>
      <c r="N83">
        <v>0</v>
      </c>
      <c r="O83" s="1">
        <v>3.87</v>
      </c>
      <c r="P83" s="1">
        <v>3.87</v>
      </c>
      <c r="Q83" s="2">
        <v>17.2</v>
      </c>
      <c r="R83" s="2" t="s">
        <v>439</v>
      </c>
      <c r="T83" s="25">
        <v>0</v>
      </c>
      <c r="U83" s="25"/>
      <c r="V83" s="25"/>
      <c r="W83">
        <v>3.8607</v>
      </c>
      <c r="X83">
        <v>3.8607</v>
      </c>
      <c r="Y83">
        <v>29.216000000000001</v>
      </c>
      <c r="Z83">
        <v>0</v>
      </c>
      <c r="AD83">
        <v>20</v>
      </c>
      <c r="AE83" s="55">
        <f t="shared" si="2"/>
        <v>257.60268000000002</v>
      </c>
      <c r="AF83" s="57">
        <v>0</v>
      </c>
      <c r="AG83" s="55">
        <v>435.46461117984001</v>
      </c>
      <c r="AH83" s="55">
        <v>0</v>
      </c>
      <c r="AJ83" s="51"/>
      <c r="AK83" s="52">
        <v>9.1855914288016927E-2</v>
      </c>
      <c r="AM83" s="28">
        <v>1.940917661847894</v>
      </c>
      <c r="AN83" s="28">
        <v>2.5141420490257702</v>
      </c>
      <c r="AO83" s="28">
        <v>0.56568196103079826</v>
      </c>
      <c r="AP83" s="28">
        <v>2.6398491514770579</v>
      </c>
      <c r="AQ83" s="28">
        <v>0.2533639645553003</v>
      </c>
      <c r="AR83" s="28">
        <v>0.32819166393173621</v>
      </c>
      <c r="AS83" s="28">
        <v>7.3843124384640635E-2</v>
      </c>
      <c r="AT83" s="28">
        <v>0.34460124712832302</v>
      </c>
      <c r="AU83" s="25">
        <v>0.79</v>
      </c>
      <c r="AV83" s="25">
        <v>3.44</v>
      </c>
      <c r="AW83" s="25">
        <v>2.65</v>
      </c>
      <c r="AX83" s="25">
        <v>2.62350722815839</v>
      </c>
      <c r="AY83">
        <v>2.6235072281583909</v>
      </c>
      <c r="AZ83">
        <v>6.0278785903935539</v>
      </c>
      <c r="BB83" s="75">
        <v>0</v>
      </c>
      <c r="BF83">
        <v>4.5927957144008463E-2</v>
      </c>
      <c r="BH83">
        <v>9.1855914288016927E-2</v>
      </c>
      <c r="BI83">
        <v>4.5927957144008463E-2</v>
      </c>
      <c r="BJ83">
        <v>0</v>
      </c>
    </row>
    <row r="84" spans="1:68" x14ac:dyDescent="0.3">
      <c r="A84" s="2" t="s">
        <v>680</v>
      </c>
      <c r="B84" s="17" t="s">
        <v>900</v>
      </c>
      <c r="C84" s="2" t="s">
        <v>682</v>
      </c>
      <c r="F84" s="2">
        <v>4.2</v>
      </c>
      <c r="G84" s="2" t="s">
        <v>64</v>
      </c>
      <c r="H84" s="9">
        <v>-1</v>
      </c>
      <c r="I84">
        <v>-1</v>
      </c>
      <c r="J84"/>
      <c r="K84" s="2">
        <v>1</v>
      </c>
      <c r="L84" s="25">
        <v>0</v>
      </c>
      <c r="M84">
        <v>0</v>
      </c>
      <c r="N84">
        <v>0</v>
      </c>
      <c r="O84" s="1">
        <v>3.87</v>
      </c>
      <c r="P84" s="1">
        <v>3.87</v>
      </c>
      <c r="Q84" s="2">
        <v>14.4</v>
      </c>
      <c r="R84" s="2" t="s">
        <v>439</v>
      </c>
      <c r="T84" s="25">
        <v>0</v>
      </c>
      <c r="U84" s="25"/>
      <c r="V84" s="25"/>
      <c r="W84">
        <v>0</v>
      </c>
      <c r="Z84">
        <v>0</v>
      </c>
      <c r="AD84">
        <v>20</v>
      </c>
      <c r="AE84" s="55">
        <f t="shared" si="2"/>
        <v>215.66736</v>
      </c>
      <c r="AF84" s="57">
        <v>0</v>
      </c>
      <c r="AG84" s="55">
        <v>0</v>
      </c>
      <c r="AH84" s="55">
        <v>0</v>
      </c>
      <c r="AI84" s="52">
        <f>K84*AD84/AE84</f>
        <v>9.2735405116471964E-2</v>
      </c>
      <c r="AJ84" s="51"/>
      <c r="AM84" s="28">
        <v>1.937926753569212</v>
      </c>
      <c r="AN84" s="28">
        <v>2.4829298572315328</v>
      </c>
      <c r="AO84" s="28">
        <v>0.55865921787709494</v>
      </c>
      <c r="AP84" s="28">
        <v>2.6070763500931098</v>
      </c>
      <c r="AQ84" s="28">
        <v>0.25544100801832759</v>
      </c>
      <c r="AR84" s="28">
        <v>0.32727867779414171</v>
      </c>
      <c r="AS84" s="28">
        <v>7.3637702503681887E-2</v>
      </c>
      <c r="AT84" s="28">
        <v>0.3436426116838488</v>
      </c>
      <c r="AU84" s="25">
        <v>0.79</v>
      </c>
      <c r="AV84" s="25">
        <v>3.44</v>
      </c>
      <c r="AW84" s="25">
        <v>2.65</v>
      </c>
      <c r="AX84" s="25">
        <v>2.671675977653631</v>
      </c>
      <c r="AY84">
        <v>2.671675977653631</v>
      </c>
      <c r="AZ84">
        <v>6.2243029613210306</v>
      </c>
      <c r="BD84">
        <v>4.6367702558235982E-2</v>
      </c>
      <c r="BH84">
        <v>9.2735405116471964E-2</v>
      </c>
      <c r="BI84">
        <v>4.6367702558235982E-2</v>
      </c>
      <c r="BJ84">
        <v>0</v>
      </c>
    </row>
    <row r="85" spans="1:68" x14ac:dyDescent="0.3">
      <c r="A85" s="2" t="s">
        <v>855</v>
      </c>
      <c r="B85" s="17" t="s">
        <v>901</v>
      </c>
      <c r="C85" s="2" t="s">
        <v>854</v>
      </c>
      <c r="F85" s="2">
        <v>4</v>
      </c>
      <c r="G85" s="2" t="s">
        <v>64</v>
      </c>
      <c r="H85" s="9">
        <v>-1</v>
      </c>
      <c r="I85">
        <v>-1</v>
      </c>
      <c r="J85"/>
      <c r="K85" s="2">
        <v>2</v>
      </c>
      <c r="L85" s="25">
        <v>0</v>
      </c>
      <c r="M85">
        <v>0</v>
      </c>
      <c r="N85">
        <v>0</v>
      </c>
      <c r="O85" s="1">
        <v>3.87</v>
      </c>
      <c r="P85" s="1">
        <v>3.87</v>
      </c>
      <c r="Q85" s="2">
        <v>28.5</v>
      </c>
      <c r="R85" s="2" t="s">
        <v>439</v>
      </c>
      <c r="T85" s="25">
        <v>0</v>
      </c>
      <c r="U85" s="25"/>
      <c r="V85" s="25"/>
      <c r="W85">
        <v>0</v>
      </c>
      <c r="Z85">
        <v>0</v>
      </c>
      <c r="AD85">
        <v>20</v>
      </c>
      <c r="AE85" s="55">
        <f t="shared" si="2"/>
        <v>426.84165000000002</v>
      </c>
      <c r="AF85" s="57">
        <v>0</v>
      </c>
      <c r="AG85" s="55">
        <v>0</v>
      </c>
      <c r="AH85" s="55">
        <v>0</v>
      </c>
      <c r="AI85" s="52">
        <f>K85*AD85/AE85</f>
        <v>9.3711567275592711E-2</v>
      </c>
      <c r="AJ85" s="51"/>
      <c r="AM85" s="28">
        <v>1.9375</v>
      </c>
      <c r="AN85" s="28">
        <v>2.5</v>
      </c>
      <c r="AO85" s="28">
        <v>0.5625</v>
      </c>
      <c r="AP85" s="28">
        <v>2.625</v>
      </c>
      <c r="AQ85" s="28">
        <v>0.25409836065573771</v>
      </c>
      <c r="AR85" s="28">
        <v>0.32786885245901642</v>
      </c>
      <c r="AS85" s="28">
        <v>7.3770491803278687E-2</v>
      </c>
      <c r="AT85" s="28">
        <v>0.34426229508196721</v>
      </c>
      <c r="AU85" s="25">
        <v>1</v>
      </c>
      <c r="AV85" s="25">
        <v>3.44</v>
      </c>
      <c r="AW85" s="25">
        <v>2.44</v>
      </c>
      <c r="AX85" s="25">
        <v>2.6937500000000001</v>
      </c>
      <c r="AY85">
        <v>2.6937500000000001</v>
      </c>
      <c r="AZ85">
        <v>6.2824412981156881</v>
      </c>
      <c r="BD85">
        <v>4.6855783637796362E-2</v>
      </c>
      <c r="BH85">
        <v>9.3711567275592711E-2</v>
      </c>
      <c r="BI85">
        <v>4.6855783637796362E-2</v>
      </c>
      <c r="BJ85">
        <v>0</v>
      </c>
    </row>
    <row r="86" spans="1:68" x14ac:dyDescent="0.3">
      <c r="A86" s="2" t="s">
        <v>65</v>
      </c>
      <c r="B86" s="13" t="s">
        <v>735</v>
      </c>
      <c r="C86" s="13"/>
      <c r="F86" s="2">
        <v>2.62</v>
      </c>
      <c r="G86" s="2" t="s">
        <v>66</v>
      </c>
      <c r="H86" s="9" t="s">
        <v>559</v>
      </c>
      <c r="I86" t="s">
        <v>637</v>
      </c>
      <c r="J86"/>
      <c r="L86" s="25">
        <v>2</v>
      </c>
      <c r="M86">
        <v>4</v>
      </c>
      <c r="N86">
        <v>0</v>
      </c>
      <c r="O86" s="2">
        <v>5.4580000000000002</v>
      </c>
      <c r="P86" s="2">
        <v>5.4210000000000003</v>
      </c>
      <c r="Q86" s="2">
        <v>41.02</v>
      </c>
      <c r="R86" s="2" t="s">
        <v>450</v>
      </c>
      <c r="T86" s="25">
        <v>5.5344280000000001</v>
      </c>
      <c r="U86" s="25">
        <v>5.4860709999999999</v>
      </c>
      <c r="V86" s="25">
        <v>20.96113527</v>
      </c>
      <c r="W86">
        <v>5.4676999999999998</v>
      </c>
      <c r="X86">
        <v>5.4396000000000004</v>
      </c>
      <c r="Y86">
        <v>41.247500000000002</v>
      </c>
      <c r="Z86">
        <v>0</v>
      </c>
      <c r="AD86">
        <v>30</v>
      </c>
      <c r="AE86" s="55">
        <f t="shared" si="2"/>
        <v>1213.6922943600002</v>
      </c>
      <c r="AF86" s="57">
        <v>630.95473618941708</v>
      </c>
      <c r="AG86" s="55">
        <v>1226.7873076977</v>
      </c>
      <c r="AH86" s="55">
        <v>0</v>
      </c>
      <c r="AJ86" s="51">
        <v>9.5093984653104466E-2</v>
      </c>
      <c r="AK86" s="52">
        <v>9.781646683743643E-2</v>
      </c>
      <c r="AM86" s="28">
        <v>2</v>
      </c>
      <c r="AN86" s="28">
        <v>3.125</v>
      </c>
      <c r="AO86" s="28">
        <v>2.583333333333333</v>
      </c>
      <c r="AP86" s="28">
        <v>2.916666666666667</v>
      </c>
      <c r="AQ86" s="28">
        <v>0.18823529411764711</v>
      </c>
      <c r="AR86" s="28">
        <v>0.29411764705882348</v>
      </c>
      <c r="AS86" s="28">
        <v>0.24313725490196081</v>
      </c>
      <c r="AT86" s="28">
        <v>0.2745098039215686</v>
      </c>
      <c r="AU86" s="25">
        <v>1.54</v>
      </c>
      <c r="AV86" s="25">
        <v>3.44</v>
      </c>
      <c r="AW86" s="25">
        <v>1.9</v>
      </c>
      <c r="AX86" s="25">
        <v>2.839583333333334</v>
      </c>
      <c r="AY86">
        <v>2.8395833333333331</v>
      </c>
      <c r="AZ86">
        <v>6.168614470625001</v>
      </c>
      <c r="BA86" s="75">
        <v>0.52762523515344584</v>
      </c>
      <c r="BB86" s="75">
        <v>0</v>
      </c>
      <c r="BE86">
        <v>4.7546992326552233E-2</v>
      </c>
      <c r="BF86">
        <v>4.8908233418718222E-2</v>
      </c>
      <c r="BH86">
        <v>9.6455225745270448E-2</v>
      </c>
      <c r="BI86">
        <v>4.8227612872635231E-2</v>
      </c>
      <c r="BJ86">
        <v>0.26381261757672292</v>
      </c>
    </row>
    <row r="87" spans="1:68" x14ac:dyDescent="0.3">
      <c r="A87" s="2" t="s">
        <v>67</v>
      </c>
      <c r="B87" s="13" t="s">
        <v>736</v>
      </c>
      <c r="C87" s="13"/>
      <c r="F87" s="2">
        <v>2.67</v>
      </c>
      <c r="G87" s="2" t="s">
        <v>66</v>
      </c>
      <c r="H87" s="9">
        <v>-1</v>
      </c>
      <c r="I87">
        <v>-1</v>
      </c>
      <c r="J87"/>
      <c r="K87" s="2">
        <v>4</v>
      </c>
      <c r="L87" s="25">
        <v>0</v>
      </c>
      <c r="M87">
        <v>0</v>
      </c>
      <c r="N87">
        <v>0</v>
      </c>
      <c r="O87" s="2">
        <v>5.4359999999999999</v>
      </c>
      <c r="P87" s="2">
        <v>5.42</v>
      </c>
      <c r="Q87" s="2">
        <v>41.19</v>
      </c>
      <c r="R87" s="2" t="s">
        <v>450</v>
      </c>
      <c r="T87" s="25">
        <v>0</v>
      </c>
      <c r="U87" s="25"/>
      <c r="V87" s="25"/>
      <c r="W87">
        <v>0</v>
      </c>
      <c r="Z87">
        <v>0</v>
      </c>
      <c r="AD87">
        <v>30</v>
      </c>
      <c r="AE87" s="55">
        <f t="shared" si="2"/>
        <v>1213.5859128</v>
      </c>
      <c r="AF87" s="57">
        <v>0</v>
      </c>
      <c r="AG87" s="55">
        <v>0</v>
      </c>
      <c r="AH87" s="55">
        <v>0</v>
      </c>
      <c r="AI87" s="52">
        <f>K87*AD87/AE87</f>
        <v>9.8880514955166685E-2</v>
      </c>
      <c r="AJ87" s="51"/>
      <c r="AM87" s="28">
        <v>2</v>
      </c>
      <c r="AN87" s="28">
        <v>3</v>
      </c>
      <c r="AO87" s="28">
        <v>2.208333333333333</v>
      </c>
      <c r="AP87" s="28">
        <v>2.333333333333333</v>
      </c>
      <c r="AQ87" s="28">
        <v>0.20960698689956331</v>
      </c>
      <c r="AR87" s="28">
        <v>0.31441048034934499</v>
      </c>
      <c r="AS87" s="28">
        <v>0.23144104803493451</v>
      </c>
      <c r="AT87" s="28">
        <v>0.24454148471615719</v>
      </c>
      <c r="AU87" s="25">
        <v>1.1000000000000001</v>
      </c>
      <c r="AV87" s="25">
        <v>3.44</v>
      </c>
      <c r="AW87" s="25">
        <v>2.34</v>
      </c>
      <c r="AX87" s="25">
        <v>2.80125</v>
      </c>
      <c r="AY87">
        <v>2.80125</v>
      </c>
      <c r="AZ87">
        <v>6.1250013054166672</v>
      </c>
      <c r="BD87">
        <v>4.9440257477583342E-2</v>
      </c>
      <c r="BH87">
        <v>9.8880514955166685E-2</v>
      </c>
      <c r="BI87">
        <v>4.9440257477583342E-2</v>
      </c>
      <c r="BJ87">
        <v>0</v>
      </c>
    </row>
    <row r="88" spans="1:68" x14ac:dyDescent="0.3">
      <c r="A88" s="2" t="s">
        <v>68</v>
      </c>
      <c r="B88" s="13" t="s">
        <v>737</v>
      </c>
      <c r="C88" s="13"/>
      <c r="F88" s="2">
        <v>2.71</v>
      </c>
      <c r="G88" s="2" t="s">
        <v>66</v>
      </c>
      <c r="H88" s="9">
        <v>-1</v>
      </c>
      <c r="I88">
        <v>-1</v>
      </c>
      <c r="J88"/>
      <c r="K88" s="2">
        <v>4</v>
      </c>
      <c r="L88" s="25">
        <v>0</v>
      </c>
      <c r="M88">
        <v>0</v>
      </c>
      <c r="N88">
        <v>0</v>
      </c>
      <c r="O88" s="2">
        <v>5.4370000000000003</v>
      </c>
      <c r="P88" s="2">
        <v>5.4359999999999999</v>
      </c>
      <c r="Q88" s="2">
        <v>41.29</v>
      </c>
      <c r="R88" s="2" t="s">
        <v>450</v>
      </c>
      <c r="T88" s="25">
        <v>0</v>
      </c>
      <c r="U88" s="25"/>
      <c r="V88" s="25"/>
      <c r="W88">
        <v>0</v>
      </c>
      <c r="Z88">
        <v>0</v>
      </c>
      <c r="AD88">
        <v>30</v>
      </c>
      <c r="AE88" s="55">
        <f t="shared" si="2"/>
        <v>1220.3479162799999</v>
      </c>
      <c r="AF88" s="57">
        <v>0</v>
      </c>
      <c r="AG88" s="55">
        <v>0</v>
      </c>
      <c r="AH88" s="55">
        <v>0</v>
      </c>
      <c r="AI88" s="52">
        <f>K88*AD88/AE88</f>
        <v>9.8332613510577649E-2</v>
      </c>
      <c r="AJ88" s="51"/>
      <c r="AM88" s="28">
        <v>2</v>
      </c>
      <c r="AN88" s="28">
        <v>2.875</v>
      </c>
      <c r="AO88" s="28">
        <v>1.833333333333333</v>
      </c>
      <c r="AP88" s="28">
        <v>1.75</v>
      </c>
      <c r="AQ88" s="28">
        <v>0.23645320197044331</v>
      </c>
      <c r="AR88" s="28">
        <v>0.33990147783251229</v>
      </c>
      <c r="AS88" s="28">
        <v>0.21674876847290639</v>
      </c>
      <c r="AT88" s="28">
        <v>0.2068965517241379</v>
      </c>
      <c r="AU88" s="25">
        <v>1.1000000000000001</v>
      </c>
      <c r="AV88" s="25">
        <v>3.44</v>
      </c>
      <c r="AW88" s="25">
        <v>2.34</v>
      </c>
      <c r="AX88" s="25">
        <v>2.7629166666666669</v>
      </c>
      <c r="AY88">
        <v>2.762916666666666</v>
      </c>
      <c r="AZ88">
        <v>6.0813881402083334</v>
      </c>
      <c r="BD88">
        <v>4.9166306755288817E-2</v>
      </c>
      <c r="BH88">
        <v>9.8332613510577649E-2</v>
      </c>
      <c r="BI88">
        <v>4.9166306755288817E-2</v>
      </c>
      <c r="BJ88">
        <v>0</v>
      </c>
    </row>
    <row r="89" spans="1:68" x14ac:dyDescent="0.3">
      <c r="A89" s="2" t="s">
        <v>69</v>
      </c>
      <c r="B89" s="13" t="s">
        <v>738</v>
      </c>
      <c r="C89" s="13"/>
      <c r="F89" s="2">
        <v>2.75</v>
      </c>
      <c r="G89" s="2" t="s">
        <v>70</v>
      </c>
      <c r="H89" s="9" t="s">
        <v>560</v>
      </c>
      <c r="I89" t="s">
        <v>638</v>
      </c>
      <c r="J89"/>
      <c r="L89" s="25">
        <v>2</v>
      </c>
      <c r="M89">
        <v>4</v>
      </c>
      <c r="N89">
        <v>0</v>
      </c>
      <c r="T89" s="25">
        <v>8.3195821399999996</v>
      </c>
      <c r="U89" s="25">
        <v>8.3195821399999996</v>
      </c>
      <c r="V89" s="25">
        <v>8.2425581700000006</v>
      </c>
      <c r="W89">
        <v>5.5339970000000003</v>
      </c>
      <c r="X89">
        <v>5.4998300000000002</v>
      </c>
      <c r="Y89">
        <v>16.550709999999999</v>
      </c>
      <c r="Z89">
        <v>0</v>
      </c>
      <c r="AD89">
        <v>12</v>
      </c>
      <c r="AE89" s="55">
        <f t="shared" si="2"/>
        <v>0</v>
      </c>
      <c r="AF89" s="57">
        <v>248.80917443900231</v>
      </c>
      <c r="AG89" s="55">
        <v>503.73811661477208</v>
      </c>
      <c r="AH89" s="55">
        <v>0</v>
      </c>
      <c r="AJ89" s="51">
        <v>9.6459465588893734E-2</v>
      </c>
      <c r="AK89" s="52">
        <v>9.5287607621536111E-2</v>
      </c>
      <c r="AM89" s="28">
        <v>2</v>
      </c>
      <c r="AN89" s="28">
        <v>3.333333333333333</v>
      </c>
      <c r="AO89" s="28">
        <v>2.666666666666667</v>
      </c>
      <c r="AP89" s="28">
        <v>4.666666666666667</v>
      </c>
      <c r="AQ89" s="28">
        <v>0.15789473684210531</v>
      </c>
      <c r="AR89" s="28">
        <v>0.26315789473684209</v>
      </c>
      <c r="AS89" s="28">
        <v>0.2105263157894737</v>
      </c>
      <c r="AT89" s="28">
        <v>0.36842105263157898</v>
      </c>
      <c r="AU89" s="25">
        <v>2.02</v>
      </c>
      <c r="AV89" s="25">
        <v>3.44</v>
      </c>
      <c r="AW89" s="25">
        <v>1.42</v>
      </c>
      <c r="AX89" s="25">
        <v>3.0044444444444438</v>
      </c>
      <c r="AY89">
        <v>3.0044444444444438</v>
      </c>
      <c r="AZ89">
        <v>6.4228342255555546</v>
      </c>
      <c r="BA89" s="75">
        <v>0.52562348257484404</v>
      </c>
      <c r="BB89" s="75">
        <v>0.51923783589802341</v>
      </c>
      <c r="BE89">
        <v>4.8229732794446867E-2</v>
      </c>
      <c r="BF89">
        <v>4.7643803810768062E-2</v>
      </c>
      <c r="BH89">
        <v>9.5873536605214915E-2</v>
      </c>
      <c r="BI89">
        <v>4.7936768302607458E-2</v>
      </c>
      <c r="BJ89">
        <v>0.52243065923643373</v>
      </c>
    </row>
    <row r="90" spans="1:68" x14ac:dyDescent="0.3">
      <c r="A90" s="2" t="s">
        <v>71</v>
      </c>
      <c r="B90" s="13" t="s">
        <v>739</v>
      </c>
      <c r="C90" s="13"/>
      <c r="F90" s="2">
        <v>3.59</v>
      </c>
      <c r="G90" s="2" t="s">
        <v>77</v>
      </c>
      <c r="H90" s="9" t="s">
        <v>561</v>
      </c>
      <c r="I90" t="s">
        <v>639</v>
      </c>
      <c r="J90"/>
      <c r="L90" s="25">
        <v>2</v>
      </c>
      <c r="M90">
        <v>2</v>
      </c>
      <c r="N90">
        <v>0</v>
      </c>
      <c r="T90" s="25">
        <v>3.8703880000000002</v>
      </c>
      <c r="U90" s="25">
        <v>3.8703880000000002</v>
      </c>
      <c r="V90" s="25">
        <v>13.604850000000001</v>
      </c>
      <c r="W90">
        <v>3.8415499999999998</v>
      </c>
      <c r="X90">
        <v>3.8415499999999998</v>
      </c>
      <c r="Y90">
        <v>13.4695</v>
      </c>
      <c r="Z90">
        <v>0</v>
      </c>
      <c r="AD90">
        <v>8</v>
      </c>
      <c r="AE90" s="55">
        <f t="shared" si="2"/>
        <v>0</v>
      </c>
      <c r="AF90" s="57">
        <v>203.79933701026059</v>
      </c>
      <c r="AG90" s="55">
        <v>198.77623248847371</v>
      </c>
      <c r="AH90" s="55">
        <v>0</v>
      </c>
      <c r="AJ90" s="51">
        <v>7.8508596910668346E-2</v>
      </c>
      <c r="AK90" s="52">
        <v>8.0492520658513728E-2</v>
      </c>
      <c r="AM90" s="28">
        <v>1.857142857142857</v>
      </c>
      <c r="AN90" s="28">
        <v>2.285714285714286</v>
      </c>
      <c r="AO90" s="28">
        <v>0.42857142857142849</v>
      </c>
      <c r="AP90" s="28">
        <v>0</v>
      </c>
      <c r="AQ90" s="28">
        <v>0.40625000000000011</v>
      </c>
      <c r="AR90" s="28">
        <v>0.5</v>
      </c>
      <c r="AS90" s="28">
        <v>9.375E-2</v>
      </c>
      <c r="AT90" s="28">
        <v>0</v>
      </c>
      <c r="AU90" s="25">
        <v>0.82</v>
      </c>
      <c r="AV90" s="25">
        <v>3.44</v>
      </c>
      <c r="AW90" s="25">
        <v>2.62</v>
      </c>
      <c r="AX90" s="25">
        <v>2.46</v>
      </c>
      <c r="AY90">
        <v>2.46</v>
      </c>
      <c r="AZ90">
        <v>5.5854910899999997</v>
      </c>
      <c r="BA90" s="75">
        <v>0.55645098073491572</v>
      </c>
      <c r="BB90" s="75">
        <v>0.57051257855519</v>
      </c>
      <c r="BE90">
        <v>3.9254298455334173E-2</v>
      </c>
      <c r="BF90">
        <v>4.0246260329256871E-2</v>
      </c>
      <c r="BH90">
        <v>7.950055878459103E-2</v>
      </c>
      <c r="BI90">
        <v>3.9750279392295522E-2</v>
      </c>
      <c r="BJ90">
        <v>0.56348177964505286</v>
      </c>
      <c r="BP90" s="2">
        <v>3.59</v>
      </c>
    </row>
    <row r="91" spans="1:68" x14ac:dyDescent="0.3">
      <c r="A91" s="2" t="s">
        <v>72</v>
      </c>
      <c r="B91" s="17" t="s">
        <v>902</v>
      </c>
      <c r="C91" s="13"/>
      <c r="F91" s="2">
        <v>3.74</v>
      </c>
      <c r="G91" s="2" t="s">
        <v>77</v>
      </c>
      <c r="H91" s="32" t="s">
        <v>561</v>
      </c>
      <c r="I91" s="1" t="s">
        <v>639</v>
      </c>
      <c r="J91"/>
      <c r="L91" s="25">
        <v>0</v>
      </c>
      <c r="M91">
        <v>2</v>
      </c>
      <c r="N91">
        <v>0</v>
      </c>
      <c r="T91" s="25">
        <v>0</v>
      </c>
      <c r="U91" s="25"/>
      <c r="V91" s="25"/>
      <c r="W91">
        <v>3.8415499999999998</v>
      </c>
      <c r="X91">
        <v>3.8415499999999998</v>
      </c>
      <c r="Y91">
        <v>13.4695</v>
      </c>
      <c r="Z91">
        <v>0</v>
      </c>
      <c r="AD91">
        <v>8</v>
      </c>
      <c r="AE91" s="55">
        <f t="shared" si="2"/>
        <v>0</v>
      </c>
      <c r="AF91" s="57">
        <v>0</v>
      </c>
      <c r="AG91" s="55">
        <v>198.77623248847371</v>
      </c>
      <c r="AH91" s="55">
        <v>0</v>
      </c>
      <c r="AJ91" s="51"/>
      <c r="AK91" s="52">
        <v>8.0492520658513728E-2</v>
      </c>
      <c r="AM91" s="28">
        <v>1.857142857142857</v>
      </c>
      <c r="AN91" s="28">
        <v>2.285714285714286</v>
      </c>
      <c r="AO91" s="28">
        <v>0.42857142857142849</v>
      </c>
      <c r="AP91" s="28">
        <v>0</v>
      </c>
      <c r="AQ91" s="28">
        <v>0.40625000000000011</v>
      </c>
      <c r="AR91" s="28">
        <v>0.5</v>
      </c>
      <c r="AS91" s="28">
        <v>9.375E-2</v>
      </c>
      <c r="AT91" s="28">
        <v>0</v>
      </c>
      <c r="AU91" s="25">
        <v>0.82</v>
      </c>
      <c r="AV91" s="25">
        <v>3.44</v>
      </c>
      <c r="AW91" s="25">
        <v>2.62</v>
      </c>
      <c r="AX91" s="25">
        <v>2.4569999999999999</v>
      </c>
      <c r="AY91">
        <v>2.4569999999999999</v>
      </c>
      <c r="AZ91">
        <v>5.5866607328571423</v>
      </c>
      <c r="BA91" s="75">
        <v>0.55645098073491572</v>
      </c>
      <c r="BB91" s="75">
        <v>0.57051257855519</v>
      </c>
      <c r="BF91">
        <v>4.0246260329256871E-2</v>
      </c>
      <c r="BH91">
        <v>8.0492520658513728E-2</v>
      </c>
      <c r="BI91">
        <v>4.0246260329256871E-2</v>
      </c>
      <c r="BJ91">
        <v>0.56348177964505286</v>
      </c>
      <c r="BP91" s="2">
        <v>3.74</v>
      </c>
    </row>
    <row r="92" spans="1:68" x14ac:dyDescent="0.3">
      <c r="A92" s="2" t="s">
        <v>76</v>
      </c>
      <c r="B92" s="17" t="s">
        <v>903</v>
      </c>
      <c r="C92" s="13"/>
      <c r="F92" s="2">
        <v>3.82</v>
      </c>
      <c r="G92" s="2" t="s">
        <v>77</v>
      </c>
      <c r="H92" s="32" t="s">
        <v>1154</v>
      </c>
      <c r="I92" s="1" t="s">
        <v>1155</v>
      </c>
      <c r="J92"/>
      <c r="L92" s="25">
        <v>0</v>
      </c>
      <c r="M92">
        <v>1</v>
      </c>
      <c r="N92">
        <v>0</v>
      </c>
      <c r="T92" s="25">
        <v>0</v>
      </c>
      <c r="U92" s="25"/>
      <c r="V92" s="25"/>
      <c r="W92">
        <v>6.7352999999999987</v>
      </c>
      <c r="X92">
        <v>8.0756999999999994</v>
      </c>
      <c r="Y92">
        <v>15.016999999999999</v>
      </c>
      <c r="Z92">
        <v>0</v>
      </c>
      <c r="AD92">
        <v>8</v>
      </c>
      <c r="AE92" s="55">
        <f t="shared" si="2"/>
        <v>0</v>
      </c>
      <c r="AF92" s="57">
        <v>0</v>
      </c>
      <c r="AG92" s="55">
        <v>801.31327174450405</v>
      </c>
      <c r="AH92" s="55">
        <v>0</v>
      </c>
      <c r="AJ92" s="51"/>
      <c r="AK92" s="52">
        <v>9.9836110071951645E-3</v>
      </c>
      <c r="AM92" s="28">
        <v>1.857142857142857</v>
      </c>
      <c r="AN92" s="28">
        <v>2.285714285714286</v>
      </c>
      <c r="AO92" s="28">
        <v>0.42857142857142849</v>
      </c>
      <c r="AP92" s="28">
        <v>0</v>
      </c>
      <c r="AQ92" s="28">
        <v>0.40625000000000011</v>
      </c>
      <c r="AR92" s="28">
        <v>0.5</v>
      </c>
      <c r="AS92" s="28">
        <v>9.375E-2</v>
      </c>
      <c r="AT92" s="28">
        <v>0</v>
      </c>
      <c r="AU92" s="25">
        <v>0.82</v>
      </c>
      <c r="AV92" s="25">
        <v>3.44</v>
      </c>
      <c r="AW92" s="25">
        <v>2.62</v>
      </c>
      <c r="AX92" s="25">
        <v>2.4510000000000001</v>
      </c>
      <c r="AY92">
        <v>2.4510000000000001</v>
      </c>
      <c r="AZ92">
        <v>5.5890000185714284</v>
      </c>
      <c r="BB92" s="75">
        <v>0.26693366029414328</v>
      </c>
      <c r="BF92">
        <v>4.9918055035975822E-3</v>
      </c>
      <c r="BH92">
        <v>9.9836110071951645E-3</v>
      </c>
      <c r="BI92">
        <v>4.9918055035975822E-3</v>
      </c>
      <c r="BJ92">
        <v>0.26693366029414328</v>
      </c>
      <c r="BP92" s="2">
        <v>3.82</v>
      </c>
    </row>
    <row r="93" spans="1:68" x14ac:dyDescent="0.3">
      <c r="A93" s="2" t="s">
        <v>75</v>
      </c>
      <c r="B93" s="17" t="s">
        <v>904</v>
      </c>
      <c r="C93" s="13"/>
      <c r="F93" s="2">
        <v>4.16</v>
      </c>
      <c r="G93" s="2" t="s">
        <v>77</v>
      </c>
      <c r="H93" s="32" t="s">
        <v>1156</v>
      </c>
      <c r="I93" s="1" t="s">
        <v>1157</v>
      </c>
      <c r="J93"/>
      <c r="L93" s="25">
        <v>0</v>
      </c>
      <c r="M93">
        <v>4</v>
      </c>
      <c r="N93">
        <v>0</v>
      </c>
      <c r="T93" s="25">
        <v>0</v>
      </c>
      <c r="U93" s="25"/>
      <c r="V93" s="25"/>
      <c r="W93">
        <v>18.184000000000001</v>
      </c>
      <c r="X93">
        <v>13.009</v>
      </c>
      <c r="Y93">
        <v>13.112</v>
      </c>
      <c r="Z93">
        <v>0</v>
      </c>
      <c r="AD93">
        <v>8</v>
      </c>
      <c r="AE93" s="55">
        <f t="shared" si="2"/>
        <v>0</v>
      </c>
      <c r="AF93" s="57">
        <v>0</v>
      </c>
      <c r="AG93" s="55">
        <v>2626.6697286954709</v>
      </c>
      <c r="AH93" s="55">
        <v>0</v>
      </c>
      <c r="AJ93" s="51"/>
      <c r="AK93" s="52">
        <v>1.2182726914773829E-2</v>
      </c>
      <c r="AM93" s="28">
        <v>1.857142857142857</v>
      </c>
      <c r="AN93" s="28">
        <v>2.285714285714286</v>
      </c>
      <c r="AO93" s="28">
        <v>0.42857142857142849</v>
      </c>
      <c r="AP93" s="28">
        <v>0</v>
      </c>
      <c r="AQ93" s="28">
        <v>0.40625000000000011</v>
      </c>
      <c r="AR93" s="28">
        <v>0.5</v>
      </c>
      <c r="AS93" s="28">
        <v>9.375E-2</v>
      </c>
      <c r="AT93" s="28">
        <v>0</v>
      </c>
      <c r="AU93" s="25">
        <v>0.82</v>
      </c>
      <c r="AV93" s="25">
        <v>3.44</v>
      </c>
      <c r="AW93" s="25">
        <v>2.62</v>
      </c>
      <c r="AX93" s="25">
        <v>2.4449999999999998</v>
      </c>
      <c r="AY93">
        <v>2.4449999999999998</v>
      </c>
      <c r="AZ93">
        <v>5.5913393042857136</v>
      </c>
      <c r="BF93">
        <v>6.0913634573869172E-3</v>
      </c>
      <c r="BH93">
        <v>1.2182726914773829E-2</v>
      </c>
      <c r="BI93">
        <v>6.0913634573869172E-3</v>
      </c>
      <c r="BJ93">
        <v>0</v>
      </c>
      <c r="BP93" s="2">
        <v>4.16</v>
      </c>
    </row>
    <row r="94" spans="1:68" x14ac:dyDescent="0.3">
      <c r="A94" s="2" t="s">
        <v>74</v>
      </c>
      <c r="B94" s="17" t="s">
        <v>905</v>
      </c>
      <c r="C94" s="13"/>
      <c r="F94" s="2">
        <v>3.52</v>
      </c>
      <c r="G94" s="2" t="s">
        <v>77</v>
      </c>
      <c r="H94" s="32" t="s">
        <v>1158</v>
      </c>
      <c r="I94" s="1" t="s">
        <v>1159</v>
      </c>
      <c r="J94"/>
      <c r="L94" s="25">
        <v>0</v>
      </c>
      <c r="M94">
        <v>4</v>
      </c>
      <c r="N94">
        <v>0</v>
      </c>
      <c r="T94" s="25">
        <v>0</v>
      </c>
      <c r="U94" s="25"/>
      <c r="V94" s="25"/>
      <c r="W94">
        <v>10.103899999999999</v>
      </c>
      <c r="X94">
        <v>13.944800000000001</v>
      </c>
      <c r="Y94">
        <v>16.4237</v>
      </c>
      <c r="Z94">
        <v>0</v>
      </c>
      <c r="AD94">
        <v>8</v>
      </c>
      <c r="AE94" s="55">
        <f t="shared" si="2"/>
        <v>0</v>
      </c>
      <c r="AF94" s="57">
        <v>0</v>
      </c>
      <c r="AG94" s="55">
        <v>2303.3090882103638</v>
      </c>
      <c r="AH94" s="55">
        <v>0</v>
      </c>
      <c r="AJ94" s="51"/>
      <c r="AK94" s="52">
        <v>1.3893055067508771E-2</v>
      </c>
      <c r="AM94" s="28">
        <v>1.857142857142857</v>
      </c>
      <c r="AN94" s="28">
        <v>2.285714285714286</v>
      </c>
      <c r="AO94" s="28">
        <v>0.42857142857142849</v>
      </c>
      <c r="AP94" s="28">
        <v>0</v>
      </c>
      <c r="AQ94" s="28">
        <v>0.40625000000000011</v>
      </c>
      <c r="AR94" s="28">
        <v>0.5</v>
      </c>
      <c r="AS94" s="28">
        <v>9.375E-2</v>
      </c>
      <c r="AT94" s="28">
        <v>0</v>
      </c>
      <c r="AU94" s="25">
        <v>0.82</v>
      </c>
      <c r="AV94" s="25">
        <v>3.44</v>
      </c>
      <c r="AW94" s="25">
        <v>2.62</v>
      </c>
      <c r="AX94" s="25">
        <v>2.4390000000000001</v>
      </c>
      <c r="AY94">
        <v>2.4390000000000001</v>
      </c>
      <c r="AZ94">
        <v>5.5936785899999997</v>
      </c>
      <c r="BF94">
        <v>6.9465275337543854E-3</v>
      </c>
      <c r="BH94">
        <v>1.3893055067508771E-2</v>
      </c>
      <c r="BI94">
        <v>6.9465275337543854E-3</v>
      </c>
      <c r="BJ94">
        <v>0</v>
      </c>
      <c r="BP94" s="2">
        <v>3.52</v>
      </c>
    </row>
    <row r="95" spans="1:68" x14ac:dyDescent="0.3">
      <c r="A95" s="2" t="s">
        <v>73</v>
      </c>
      <c r="B95" s="13" t="s">
        <v>740</v>
      </c>
      <c r="C95" s="13"/>
      <c r="F95" s="2">
        <v>3.43</v>
      </c>
      <c r="G95" s="2" t="s">
        <v>77</v>
      </c>
      <c r="H95" s="32" t="s">
        <v>1160</v>
      </c>
      <c r="I95" s="1" t="s">
        <v>1161</v>
      </c>
      <c r="J95"/>
      <c r="L95" s="25">
        <v>0</v>
      </c>
      <c r="M95">
        <v>2</v>
      </c>
      <c r="N95">
        <v>0</v>
      </c>
      <c r="T95" s="25">
        <v>0</v>
      </c>
      <c r="U95" s="25"/>
      <c r="V95" s="25"/>
      <c r="W95">
        <v>5.4507000000000003</v>
      </c>
      <c r="X95">
        <v>9.7352000000000007</v>
      </c>
      <c r="Y95">
        <v>31.373799999999999</v>
      </c>
      <c r="Z95">
        <v>0</v>
      </c>
      <c r="AD95">
        <v>8</v>
      </c>
      <c r="AE95" s="55">
        <f t="shared" si="2"/>
        <v>0</v>
      </c>
      <c r="AF95" s="57">
        <v>0</v>
      </c>
      <c r="AG95" s="55">
        <v>1647.0185271674609</v>
      </c>
      <c r="AH95" s="55">
        <v>0</v>
      </c>
      <c r="AJ95" s="51"/>
      <c r="AK95" s="52">
        <v>9.714523386398553E-3</v>
      </c>
      <c r="AM95" s="28">
        <v>1.857142857142857</v>
      </c>
      <c r="AN95" s="28">
        <v>2.285714285714286</v>
      </c>
      <c r="AO95" s="28">
        <v>0.42857142857142849</v>
      </c>
      <c r="AP95" s="28">
        <v>0</v>
      </c>
      <c r="AQ95" s="28">
        <v>0.40625000000000011</v>
      </c>
      <c r="AR95" s="28">
        <v>0.5</v>
      </c>
      <c r="AS95" s="28">
        <v>9.375E-2</v>
      </c>
      <c r="AT95" s="28">
        <v>0</v>
      </c>
      <c r="AU95" s="25">
        <v>0.82</v>
      </c>
      <c r="AV95" s="25">
        <v>3.44</v>
      </c>
      <c r="AW95" s="25">
        <v>2.62</v>
      </c>
      <c r="AX95" s="25">
        <v>2.4300000000000002</v>
      </c>
      <c r="AY95">
        <v>2.4300000000000002</v>
      </c>
      <c r="AZ95">
        <v>5.5971875185714284</v>
      </c>
      <c r="BF95">
        <v>4.8572616931992756E-3</v>
      </c>
      <c r="BH95">
        <v>9.714523386398553E-3</v>
      </c>
      <c r="BI95">
        <v>4.8572616931992756E-3</v>
      </c>
      <c r="BJ95">
        <v>0</v>
      </c>
      <c r="BP95" s="2">
        <v>3.43</v>
      </c>
    </row>
    <row r="96" spans="1:68" x14ac:dyDescent="0.3">
      <c r="A96" s="2" t="s">
        <v>44</v>
      </c>
      <c r="B96" s="17" t="s">
        <v>720</v>
      </c>
      <c r="C96" s="13"/>
      <c r="D96" s="2" t="s">
        <v>676</v>
      </c>
      <c r="E96" s="2" t="s">
        <v>1067</v>
      </c>
      <c r="F96" s="2">
        <v>3.44</v>
      </c>
      <c r="G96" s="2" t="s">
        <v>78</v>
      </c>
      <c r="H96" s="9" t="s">
        <v>549</v>
      </c>
      <c r="I96">
        <v>-1</v>
      </c>
      <c r="J96"/>
      <c r="L96" s="25">
        <v>1</v>
      </c>
      <c r="M96">
        <v>0</v>
      </c>
      <c r="N96">
        <v>0</v>
      </c>
      <c r="T96" s="25">
        <v>15.28115725</v>
      </c>
      <c r="U96" s="25">
        <v>15.28115725</v>
      </c>
      <c r="V96" s="25">
        <v>15.28115725</v>
      </c>
      <c r="W96">
        <v>0</v>
      </c>
      <c r="Z96">
        <v>0</v>
      </c>
      <c r="AD96">
        <v>20</v>
      </c>
      <c r="AE96" s="55">
        <f t="shared" si="2"/>
        <v>0</v>
      </c>
      <c r="AF96" s="57">
        <v>229.90248606119221</v>
      </c>
      <c r="AG96" s="55">
        <v>0</v>
      </c>
      <c r="AH96" s="55">
        <v>0</v>
      </c>
      <c r="AJ96" s="51">
        <v>8.6993404650164072E-2</v>
      </c>
      <c r="AM96" s="28">
        <v>1.882352941176471</v>
      </c>
      <c r="AN96" s="28">
        <v>2.3529411764705879</v>
      </c>
      <c r="AO96" s="28">
        <v>0.47058823529411759</v>
      </c>
      <c r="AP96" s="28">
        <v>0</v>
      </c>
      <c r="AQ96" s="28">
        <v>0.4</v>
      </c>
      <c r="AR96" s="28">
        <v>0.5</v>
      </c>
      <c r="AS96" s="28">
        <v>9.9999999999999992E-2</v>
      </c>
      <c r="AT96" s="28">
        <v>0</v>
      </c>
      <c r="AU96" s="25">
        <v>0.82</v>
      </c>
      <c r="AV96" s="25">
        <v>3.44</v>
      </c>
      <c r="AW96" s="25">
        <v>2.62</v>
      </c>
      <c r="AX96" s="25">
        <v>2.5211764705882351</v>
      </c>
      <c r="AY96">
        <v>2.521176470588236</v>
      </c>
      <c r="AZ96">
        <v>5.6898745917647062</v>
      </c>
      <c r="BA96" s="75">
        <v>0.57369840599679445</v>
      </c>
      <c r="BE96">
        <v>4.3496702325082043E-2</v>
      </c>
      <c r="BH96">
        <v>8.6993404650164072E-2</v>
      </c>
      <c r="BI96">
        <v>4.3496702325082043E-2</v>
      </c>
      <c r="BJ96">
        <v>0.57369840599679445</v>
      </c>
      <c r="BP96" s="2">
        <v>4.0999999999999996</v>
      </c>
    </row>
    <row r="97" spans="1:68" x14ac:dyDescent="0.3">
      <c r="A97" s="2" t="s">
        <v>44</v>
      </c>
      <c r="B97" s="13" t="s">
        <v>720</v>
      </c>
      <c r="C97" s="13"/>
      <c r="F97" s="2">
        <v>3.69</v>
      </c>
      <c r="G97" s="2" t="s">
        <v>78</v>
      </c>
      <c r="H97" s="9" t="s">
        <v>549</v>
      </c>
      <c r="I97">
        <v>-1</v>
      </c>
      <c r="J97"/>
      <c r="L97" s="25">
        <v>1</v>
      </c>
      <c r="M97">
        <v>0</v>
      </c>
      <c r="N97">
        <v>0</v>
      </c>
      <c r="O97" s="2">
        <v>3.87</v>
      </c>
      <c r="P97" s="2">
        <v>3.87</v>
      </c>
      <c r="Q97" s="2">
        <v>29.8</v>
      </c>
      <c r="R97" s="2" t="s">
        <v>440</v>
      </c>
      <c r="T97" s="25">
        <v>15.28115725</v>
      </c>
      <c r="U97" s="25">
        <v>15.28115725</v>
      </c>
      <c r="V97" s="25">
        <v>15.28115725</v>
      </c>
      <c r="W97">
        <v>0</v>
      </c>
      <c r="Z97">
        <v>0</v>
      </c>
      <c r="AC97" s="2">
        <v>3</v>
      </c>
      <c r="AD97">
        <v>20</v>
      </c>
      <c r="AE97" s="55">
        <f t="shared" si="2"/>
        <v>446.31162</v>
      </c>
      <c r="AF97" s="57">
        <v>229.90248606119221</v>
      </c>
      <c r="AG97" s="55">
        <v>0</v>
      </c>
      <c r="AH97" s="55">
        <v>0</v>
      </c>
      <c r="AJ97" s="51">
        <v>8.6993404650164072E-2</v>
      </c>
      <c r="AM97" s="28">
        <v>1.882352941176471</v>
      </c>
      <c r="AN97" s="28">
        <v>2.3529411764705879</v>
      </c>
      <c r="AO97" s="28">
        <v>0.47058823529411759</v>
      </c>
      <c r="AP97" s="28">
        <v>0</v>
      </c>
      <c r="AQ97" s="28">
        <v>0.4</v>
      </c>
      <c r="AR97" s="28">
        <v>0.5</v>
      </c>
      <c r="AS97" s="28">
        <v>9.9999999999999992E-2</v>
      </c>
      <c r="AT97" s="28">
        <v>0</v>
      </c>
      <c r="AU97" s="25">
        <v>0.82</v>
      </c>
      <c r="AV97" s="25">
        <v>3.44</v>
      </c>
      <c r="AW97" s="25">
        <v>2.62</v>
      </c>
      <c r="AX97" s="25">
        <v>2.5211764705882351</v>
      </c>
      <c r="AY97">
        <v>2.521176470588236</v>
      </c>
      <c r="AZ97">
        <v>5.6898745917647062</v>
      </c>
      <c r="BA97" s="75">
        <v>0.57369840599679445</v>
      </c>
      <c r="BE97">
        <v>4.3496702325082043E-2</v>
      </c>
      <c r="BH97">
        <v>8.6993404650164072E-2</v>
      </c>
      <c r="BI97">
        <v>4.3496702325082043E-2</v>
      </c>
      <c r="BJ97">
        <v>0.57369840599679445</v>
      </c>
      <c r="BP97" s="2">
        <v>5.7</v>
      </c>
    </row>
    <row r="98" spans="1:68" x14ac:dyDescent="0.3">
      <c r="A98" s="2" t="s">
        <v>44</v>
      </c>
      <c r="B98" s="13" t="s">
        <v>720</v>
      </c>
      <c r="C98" s="13"/>
      <c r="F98" s="2">
        <v>3.78</v>
      </c>
      <c r="G98" s="2" t="s">
        <v>80</v>
      </c>
      <c r="H98" s="9" t="s">
        <v>549</v>
      </c>
      <c r="I98">
        <v>-1</v>
      </c>
      <c r="J98"/>
      <c r="L98" s="25">
        <v>1</v>
      </c>
      <c r="M98">
        <v>0</v>
      </c>
      <c r="N98">
        <v>0</v>
      </c>
      <c r="O98" s="2">
        <v>3.859</v>
      </c>
      <c r="P98" s="2">
        <v>3.859</v>
      </c>
      <c r="Q98" s="2">
        <v>29.047999999999998</v>
      </c>
      <c r="R98" s="2" t="s">
        <v>440</v>
      </c>
      <c r="T98" s="25">
        <v>15.28115725</v>
      </c>
      <c r="U98" s="25">
        <v>15.28115725</v>
      </c>
      <c r="V98" s="25">
        <v>15.28115725</v>
      </c>
      <c r="W98">
        <v>0</v>
      </c>
      <c r="Z98">
        <v>0</v>
      </c>
      <c r="AC98" s="2">
        <v>3</v>
      </c>
      <c r="AD98">
        <v>20</v>
      </c>
      <c r="AE98" s="55">
        <f t="shared" si="2"/>
        <v>432.57935928799998</v>
      </c>
      <c r="AF98" s="57">
        <v>229.90248606119221</v>
      </c>
      <c r="AG98" s="55">
        <v>0</v>
      </c>
      <c r="AH98" s="55">
        <v>0</v>
      </c>
      <c r="AJ98" s="51">
        <v>8.6993404650164072E-2</v>
      </c>
      <c r="AM98" s="28">
        <v>1.882352941176471</v>
      </c>
      <c r="AN98" s="28">
        <v>2.3529411764705879</v>
      </c>
      <c r="AO98" s="28">
        <v>0.47058823529411759</v>
      </c>
      <c r="AP98" s="28">
        <v>0</v>
      </c>
      <c r="AQ98" s="28">
        <v>0.4</v>
      </c>
      <c r="AR98" s="28">
        <v>0.5</v>
      </c>
      <c r="AS98" s="28">
        <v>9.9999999999999992E-2</v>
      </c>
      <c r="AT98" s="28">
        <v>0</v>
      </c>
      <c r="AU98" s="25">
        <v>0.82</v>
      </c>
      <c r="AV98" s="25">
        <v>3.44</v>
      </c>
      <c r="AW98" s="25">
        <v>2.62</v>
      </c>
      <c r="AX98" s="25">
        <v>2.5211764705882351</v>
      </c>
      <c r="AY98">
        <v>2.521176470588236</v>
      </c>
      <c r="AZ98">
        <v>5.6898745917647062</v>
      </c>
      <c r="BA98" s="75">
        <v>0.57369840599679445</v>
      </c>
      <c r="BE98">
        <v>4.3496702325082043E-2</v>
      </c>
      <c r="BH98">
        <v>8.6993404650164072E-2</v>
      </c>
      <c r="BI98">
        <v>4.3496702325082043E-2</v>
      </c>
      <c r="BJ98">
        <v>0.57369840599679445</v>
      </c>
    </row>
    <row r="99" spans="1:68" x14ac:dyDescent="0.3">
      <c r="A99" s="2" t="s">
        <v>79</v>
      </c>
      <c r="B99" s="17" t="s">
        <v>906</v>
      </c>
      <c r="C99" s="13"/>
      <c r="F99" s="2">
        <v>3.2</v>
      </c>
      <c r="G99" s="2" t="s">
        <v>80</v>
      </c>
      <c r="H99" s="9">
        <v>-1</v>
      </c>
      <c r="I99">
        <v>-1</v>
      </c>
      <c r="J99"/>
      <c r="K99" s="2">
        <v>2</v>
      </c>
      <c r="L99" s="25">
        <v>0</v>
      </c>
      <c r="M99">
        <v>0</v>
      </c>
      <c r="N99">
        <v>0</v>
      </c>
      <c r="O99" s="2">
        <v>3.8650000000000002</v>
      </c>
      <c r="P99" s="2">
        <v>3.8650000000000002</v>
      </c>
      <c r="Q99" s="2">
        <v>29.241</v>
      </c>
      <c r="R99"/>
      <c r="S99"/>
      <c r="T99" s="25">
        <v>0</v>
      </c>
      <c r="U99" s="25"/>
      <c r="V99" s="25"/>
      <c r="W99">
        <v>0</v>
      </c>
      <c r="Z99">
        <v>0</v>
      </c>
      <c r="AC99" s="2">
        <v>3</v>
      </c>
      <c r="AD99">
        <v>20</v>
      </c>
      <c r="AE99" s="55">
        <f t="shared" si="2"/>
        <v>436.80863722500004</v>
      </c>
      <c r="AF99" s="57">
        <v>0</v>
      </c>
      <c r="AG99" s="55">
        <v>0</v>
      </c>
      <c r="AH99" s="55">
        <v>0</v>
      </c>
      <c r="AI99" s="52">
        <f>K99*AD99/AE99</f>
        <v>9.1573280817238076E-2</v>
      </c>
      <c r="AJ99" s="51"/>
      <c r="AM99" s="28">
        <v>1.882352941176471</v>
      </c>
      <c r="AN99" s="28">
        <v>2.3529411764705879</v>
      </c>
      <c r="AO99" s="28">
        <v>0.49411764705882361</v>
      </c>
      <c r="AP99" s="28">
        <v>0</v>
      </c>
      <c r="AQ99" s="28">
        <v>0.39800995024875629</v>
      </c>
      <c r="AR99" s="28">
        <v>0.4975124378109454</v>
      </c>
      <c r="AS99" s="28">
        <v>0.1044776119402985</v>
      </c>
      <c r="AT99" s="28">
        <v>0</v>
      </c>
      <c r="AU99" s="25">
        <v>0.82</v>
      </c>
      <c r="AV99" s="25">
        <v>3.44</v>
      </c>
      <c r="AW99" s="25">
        <v>2.62</v>
      </c>
      <c r="AX99" s="25">
        <v>2.5228823529411768</v>
      </c>
      <c r="AY99">
        <v>2.5228823529411768</v>
      </c>
      <c r="AZ99">
        <v>5.6932629430588237</v>
      </c>
      <c r="BD99">
        <v>4.5786640408619038E-2</v>
      </c>
      <c r="BH99">
        <v>9.1573280817238076E-2</v>
      </c>
      <c r="BI99">
        <v>4.5786640408619038E-2</v>
      </c>
      <c r="BJ99">
        <v>0</v>
      </c>
    </row>
    <row r="100" spans="1:68" x14ac:dyDescent="0.3">
      <c r="A100" s="2" t="s">
        <v>81</v>
      </c>
      <c r="B100" s="17" t="s">
        <v>907</v>
      </c>
      <c r="C100" s="13"/>
      <c r="F100" s="2">
        <v>2.93</v>
      </c>
      <c r="G100" s="2" t="s">
        <v>80</v>
      </c>
      <c r="H100" s="9">
        <v>-1</v>
      </c>
      <c r="I100">
        <v>-1</v>
      </c>
      <c r="J100"/>
      <c r="K100" s="2">
        <v>2</v>
      </c>
      <c r="L100" s="25">
        <v>0</v>
      </c>
      <c r="M100">
        <v>0</v>
      </c>
      <c r="N100">
        <v>0</v>
      </c>
      <c r="O100" s="2">
        <v>3.8660000000000001</v>
      </c>
      <c r="P100" s="2">
        <v>3.8660000000000001</v>
      </c>
      <c r="Q100" s="2">
        <v>29.145</v>
      </c>
      <c r="T100" s="25">
        <v>0</v>
      </c>
      <c r="U100" s="25"/>
      <c r="V100" s="25"/>
      <c r="W100">
        <v>0</v>
      </c>
      <c r="Z100">
        <v>0</v>
      </c>
      <c r="AC100" s="2">
        <v>3</v>
      </c>
      <c r="AD100">
        <v>20</v>
      </c>
      <c r="AE100" s="55">
        <f t="shared" si="2"/>
        <v>435.59988762</v>
      </c>
      <c r="AF100" s="57">
        <v>0</v>
      </c>
      <c r="AG100" s="55">
        <v>0</v>
      </c>
      <c r="AH100" s="55">
        <v>0</v>
      </c>
      <c r="AI100" s="52">
        <f t="shared" ref="AI100:AI105" si="3">K100*AD100/AE100</f>
        <v>9.1827388245091582E-2</v>
      </c>
      <c r="AJ100" s="51"/>
      <c r="AM100" s="28">
        <v>1.882352941176471</v>
      </c>
      <c r="AN100" s="28">
        <v>2.3529411764705879</v>
      </c>
      <c r="AO100" s="28">
        <v>0.51764705882352946</v>
      </c>
      <c r="AP100" s="28">
        <v>0</v>
      </c>
      <c r="AQ100" s="28">
        <v>0.39603960396039611</v>
      </c>
      <c r="AR100" s="28">
        <v>0.49504950495049499</v>
      </c>
      <c r="AS100" s="28">
        <v>0.1089108910891089</v>
      </c>
      <c r="AT100" s="28">
        <v>0</v>
      </c>
      <c r="AU100" s="25">
        <v>0.82</v>
      </c>
      <c r="AV100" s="25">
        <v>3.44</v>
      </c>
      <c r="AW100" s="25">
        <v>2.62</v>
      </c>
      <c r="AX100" s="25">
        <v>2.5245882352941171</v>
      </c>
      <c r="AY100">
        <v>2.524588235294118</v>
      </c>
      <c r="AZ100">
        <v>5.6966512943529413</v>
      </c>
      <c r="BD100">
        <v>4.5913694122545791E-2</v>
      </c>
      <c r="BH100">
        <v>9.1827388245091582E-2</v>
      </c>
      <c r="BI100">
        <v>4.5913694122545791E-2</v>
      </c>
      <c r="BJ100">
        <v>0</v>
      </c>
    </row>
    <row r="101" spans="1:68" x14ac:dyDescent="0.3">
      <c r="A101" s="2" t="s">
        <v>82</v>
      </c>
      <c r="B101" s="17" t="s">
        <v>908</v>
      </c>
      <c r="C101" s="13"/>
      <c r="F101" s="2">
        <v>2.69</v>
      </c>
      <c r="G101" s="2" t="s">
        <v>80</v>
      </c>
      <c r="H101" s="9">
        <v>-1</v>
      </c>
      <c r="I101">
        <v>-1</v>
      </c>
      <c r="J101"/>
      <c r="K101" s="2">
        <v>2</v>
      </c>
      <c r="L101" s="25">
        <v>0</v>
      </c>
      <c r="M101">
        <v>0</v>
      </c>
      <c r="N101">
        <v>0</v>
      </c>
      <c r="O101" s="2">
        <v>3.871</v>
      </c>
      <c r="P101" s="2">
        <v>3.871</v>
      </c>
      <c r="Q101" s="2">
        <v>29.241</v>
      </c>
      <c r="T101" s="25">
        <v>0</v>
      </c>
      <c r="U101" s="25"/>
      <c r="V101" s="25"/>
      <c r="W101">
        <v>0</v>
      </c>
      <c r="Z101">
        <v>0</v>
      </c>
      <c r="AC101" s="2">
        <v>3</v>
      </c>
      <c r="AD101">
        <v>20</v>
      </c>
      <c r="AE101" s="55">
        <f t="shared" si="2"/>
        <v>438.16588748099997</v>
      </c>
      <c r="AF101" s="57">
        <v>0</v>
      </c>
      <c r="AG101" s="55">
        <v>0</v>
      </c>
      <c r="AH101" s="55">
        <v>0</v>
      </c>
      <c r="AI101" s="52">
        <f t="shared" si="3"/>
        <v>9.1289626013468489E-2</v>
      </c>
      <c r="AJ101" s="51"/>
      <c r="AM101" s="28">
        <v>1.882352941176471</v>
      </c>
      <c r="AN101" s="28">
        <v>2.3529411764705879</v>
      </c>
      <c r="AO101" s="28">
        <v>0.54117647058823526</v>
      </c>
      <c r="AP101" s="28">
        <v>0</v>
      </c>
      <c r="AQ101" s="28">
        <v>0.39408866995073888</v>
      </c>
      <c r="AR101" s="28">
        <v>0.49261083743842371</v>
      </c>
      <c r="AS101" s="28">
        <v>0.1133004926108374</v>
      </c>
      <c r="AT101" s="28">
        <v>0</v>
      </c>
      <c r="AU101" s="25">
        <v>0.82</v>
      </c>
      <c r="AV101" s="25">
        <v>3.44</v>
      </c>
      <c r="AW101" s="25">
        <v>2.62</v>
      </c>
      <c r="AX101" s="25">
        <v>2.5262941176470588</v>
      </c>
      <c r="AY101">
        <v>2.5262941176470588</v>
      </c>
      <c r="AZ101">
        <v>5.7000396456470588</v>
      </c>
      <c r="BD101">
        <v>4.5644813006734238E-2</v>
      </c>
      <c r="BH101">
        <v>9.1289626013468489E-2</v>
      </c>
      <c r="BI101">
        <v>4.5644813006734238E-2</v>
      </c>
      <c r="BJ101">
        <v>0</v>
      </c>
    </row>
    <row r="102" spans="1:68" x14ac:dyDescent="0.3">
      <c r="A102" s="2" t="s">
        <v>83</v>
      </c>
      <c r="B102" s="17" t="s">
        <v>909</v>
      </c>
      <c r="C102" s="13"/>
      <c r="F102" s="2">
        <v>2.4300000000000002</v>
      </c>
      <c r="G102" s="2" t="s">
        <v>80</v>
      </c>
      <c r="H102" s="9">
        <v>-1</v>
      </c>
      <c r="I102">
        <v>-1</v>
      </c>
      <c r="J102"/>
      <c r="K102" s="2">
        <v>2</v>
      </c>
      <c r="L102" s="25">
        <v>0</v>
      </c>
      <c r="M102">
        <v>0</v>
      </c>
      <c r="N102">
        <v>0</v>
      </c>
      <c r="O102" s="2">
        <v>3.8740000000000001</v>
      </c>
      <c r="P102" s="2">
        <v>3.8740000000000001</v>
      </c>
      <c r="Q102" s="2">
        <v>32.945999999999998</v>
      </c>
      <c r="T102" s="25">
        <v>0</v>
      </c>
      <c r="U102" s="25"/>
      <c r="V102" s="25"/>
      <c r="W102">
        <v>0</v>
      </c>
      <c r="Z102">
        <v>0</v>
      </c>
      <c r="AC102" s="2">
        <v>3</v>
      </c>
      <c r="AD102">
        <v>20</v>
      </c>
      <c r="AE102" s="55">
        <f t="shared" si="2"/>
        <v>494.44948269600002</v>
      </c>
      <c r="AF102" s="57">
        <v>0</v>
      </c>
      <c r="AG102" s="55">
        <v>0</v>
      </c>
      <c r="AH102" s="55">
        <v>0</v>
      </c>
      <c r="AI102" s="52">
        <f t="shared" si="3"/>
        <v>8.0898052075813381E-2</v>
      </c>
      <c r="AJ102" s="51"/>
      <c r="AM102" s="28">
        <v>1.882352941176471</v>
      </c>
      <c r="AN102" s="28">
        <v>2.3529411764705879</v>
      </c>
      <c r="AO102" s="28">
        <v>0.56470588235294128</v>
      </c>
      <c r="AP102" s="28">
        <v>0</v>
      </c>
      <c r="AQ102" s="28">
        <v>0.39215686274509798</v>
      </c>
      <c r="AR102" s="28">
        <v>0.49019607843137247</v>
      </c>
      <c r="AS102" s="28">
        <v>0.1176470588235294</v>
      </c>
      <c r="AT102" s="28">
        <v>0</v>
      </c>
      <c r="AU102" s="25">
        <v>0.82</v>
      </c>
      <c r="AV102" s="25">
        <v>3.44</v>
      </c>
      <c r="AW102" s="25">
        <v>2.62</v>
      </c>
      <c r="AX102" s="25">
        <v>2.528</v>
      </c>
      <c r="AY102">
        <v>2.528</v>
      </c>
      <c r="AZ102">
        <v>5.7034279969411772</v>
      </c>
      <c r="BD102">
        <v>4.0449026037906691E-2</v>
      </c>
      <c r="BH102">
        <v>8.0898052075813381E-2</v>
      </c>
      <c r="BI102">
        <v>4.0449026037906691E-2</v>
      </c>
      <c r="BJ102">
        <v>0</v>
      </c>
    </row>
    <row r="103" spans="1:68" x14ac:dyDescent="0.3">
      <c r="A103" s="5" t="s">
        <v>84</v>
      </c>
      <c r="B103" s="17" t="s">
        <v>910</v>
      </c>
      <c r="C103" s="13"/>
      <c r="F103" s="2">
        <v>2.41</v>
      </c>
      <c r="G103" s="2" t="s">
        <v>80</v>
      </c>
      <c r="H103" s="9">
        <v>-1</v>
      </c>
      <c r="I103">
        <v>-1</v>
      </c>
      <c r="J103"/>
      <c r="K103" s="2">
        <v>2</v>
      </c>
      <c r="L103" s="25">
        <v>0</v>
      </c>
      <c r="M103">
        <v>0</v>
      </c>
      <c r="N103">
        <v>0</v>
      </c>
      <c r="O103" s="2">
        <v>3.8759999999999999</v>
      </c>
      <c r="P103" s="2">
        <v>3.8759999999999999</v>
      </c>
      <c r="Q103" s="2">
        <f>AVERAGE(Q99:Q102)</f>
        <v>30.143249999999998</v>
      </c>
      <c r="T103" s="25">
        <v>0</v>
      </c>
      <c r="U103" s="25"/>
      <c r="V103" s="25"/>
      <c r="W103">
        <v>0</v>
      </c>
      <c r="Z103">
        <v>0</v>
      </c>
      <c r="AC103" s="2">
        <v>3</v>
      </c>
      <c r="AD103">
        <v>20</v>
      </c>
      <c r="AE103" s="55">
        <f t="shared" si="2"/>
        <v>452.85337861199991</v>
      </c>
      <c r="AF103" s="57">
        <v>0</v>
      </c>
      <c r="AG103" s="55">
        <v>0</v>
      </c>
      <c r="AH103" s="55">
        <v>0</v>
      </c>
      <c r="AI103" s="52">
        <f t="shared" si="3"/>
        <v>8.8328809917683285E-2</v>
      </c>
      <c r="AJ103" s="51"/>
      <c r="AM103" s="28">
        <v>1.882352941176471</v>
      </c>
      <c r="AN103" s="28">
        <v>2.3529411764705879</v>
      </c>
      <c r="AO103" s="28">
        <v>0.58823529411764708</v>
      </c>
      <c r="AP103" s="28">
        <v>0</v>
      </c>
      <c r="AQ103" s="28">
        <v>0.3902439024390244</v>
      </c>
      <c r="AR103" s="28">
        <v>0.48780487804878048</v>
      </c>
      <c r="AS103" s="28">
        <v>0.12195121951219511</v>
      </c>
      <c r="AT103" s="28">
        <v>0</v>
      </c>
      <c r="AU103" s="25">
        <v>0.82</v>
      </c>
      <c r="AV103" s="25">
        <v>3.44</v>
      </c>
      <c r="AW103" s="25">
        <v>2.62</v>
      </c>
      <c r="AX103" s="25">
        <v>2.5297058823529408</v>
      </c>
      <c r="AY103">
        <v>2.5297058823529408</v>
      </c>
      <c r="AZ103">
        <v>5.7068163482352947</v>
      </c>
      <c r="BD103">
        <v>4.4164404958841642E-2</v>
      </c>
      <c r="BH103">
        <v>8.8328809917683285E-2</v>
      </c>
      <c r="BI103">
        <v>4.4164404958841642E-2</v>
      </c>
      <c r="BJ103">
        <v>0</v>
      </c>
    </row>
    <row r="104" spans="1:68" x14ac:dyDescent="0.3">
      <c r="A104" s="2" t="s">
        <v>85</v>
      </c>
      <c r="B104" s="17" t="s">
        <v>911</v>
      </c>
      <c r="C104" s="13"/>
      <c r="F104" s="2">
        <v>3.06</v>
      </c>
      <c r="G104" s="2" t="s">
        <v>80</v>
      </c>
      <c r="H104" s="9">
        <v>-1</v>
      </c>
      <c r="I104">
        <v>-1</v>
      </c>
      <c r="J104"/>
      <c r="K104" s="2">
        <v>2</v>
      </c>
      <c r="L104" s="25">
        <v>0</v>
      </c>
      <c r="M104">
        <v>0</v>
      </c>
      <c r="N104">
        <v>0</v>
      </c>
      <c r="O104" s="2">
        <v>3.8660000000000001</v>
      </c>
      <c r="P104" s="2">
        <v>3.8660000000000001</v>
      </c>
      <c r="Q104" s="2">
        <v>29.114000000000001</v>
      </c>
      <c r="T104" s="25">
        <v>0</v>
      </c>
      <c r="U104" s="25"/>
      <c r="V104" s="25"/>
      <c r="W104">
        <v>0</v>
      </c>
      <c r="Z104">
        <v>0</v>
      </c>
      <c r="AC104" s="2">
        <v>3</v>
      </c>
      <c r="AD104">
        <v>20</v>
      </c>
      <c r="AE104" s="55">
        <f t="shared" si="2"/>
        <v>435.13656298400002</v>
      </c>
      <c r="AF104" s="57">
        <v>0</v>
      </c>
      <c r="AG104" s="55">
        <v>0</v>
      </c>
      <c r="AH104" s="55">
        <v>0</v>
      </c>
      <c r="AI104" s="52">
        <f t="shared" si="3"/>
        <v>9.1925164196029197E-2</v>
      </c>
      <c r="AJ104" s="51"/>
      <c r="AM104" s="28">
        <v>1.882352941176471</v>
      </c>
      <c r="AN104" s="28">
        <v>2.3529411764705879</v>
      </c>
      <c r="AO104" s="28">
        <v>0.49411764705882361</v>
      </c>
      <c r="AP104" s="28">
        <v>0.1647058823529412</v>
      </c>
      <c r="AQ104" s="28">
        <v>0.38461538461538458</v>
      </c>
      <c r="AR104" s="28">
        <v>0.48076923076923073</v>
      </c>
      <c r="AS104" s="28">
        <v>0.10096153846153851</v>
      </c>
      <c r="AT104" s="28">
        <v>3.3653846153846159E-2</v>
      </c>
      <c r="AU104" s="25">
        <v>0.82</v>
      </c>
      <c r="AV104" s="25">
        <v>3.44</v>
      </c>
      <c r="AW104" s="25">
        <v>2.62</v>
      </c>
      <c r="AX104" s="25">
        <v>2.530823529411764</v>
      </c>
      <c r="AY104">
        <v>2.5308235294117649</v>
      </c>
      <c r="AZ104">
        <v>5.7003253741176483</v>
      </c>
      <c r="BD104">
        <v>4.5962582098014598E-2</v>
      </c>
      <c r="BH104">
        <v>9.1925164196029197E-2</v>
      </c>
      <c r="BI104">
        <v>4.5962582098014598E-2</v>
      </c>
      <c r="BJ104">
        <v>0</v>
      </c>
    </row>
    <row r="105" spans="1:68" x14ac:dyDescent="0.3">
      <c r="A105" s="2" t="s">
        <v>86</v>
      </c>
      <c r="B105" s="17" t="s">
        <v>912</v>
      </c>
      <c r="C105" s="13"/>
      <c r="F105" s="2">
        <v>2.12</v>
      </c>
      <c r="G105" s="2" t="s">
        <v>80</v>
      </c>
      <c r="H105" s="9">
        <v>-1</v>
      </c>
      <c r="I105">
        <v>-1</v>
      </c>
      <c r="J105"/>
      <c r="K105" s="2">
        <v>2</v>
      </c>
      <c r="L105" s="25">
        <v>0</v>
      </c>
      <c r="M105">
        <v>0</v>
      </c>
      <c r="N105">
        <v>0</v>
      </c>
      <c r="O105" s="2">
        <v>3.8570000000000002</v>
      </c>
      <c r="P105" s="2">
        <v>3.8570000000000002</v>
      </c>
      <c r="Q105" s="2">
        <v>29.533999999999999</v>
      </c>
      <c r="T105" s="25">
        <v>0</v>
      </c>
      <c r="U105" s="25"/>
      <c r="V105" s="25"/>
      <c r="W105">
        <v>0</v>
      </c>
      <c r="Z105">
        <v>0</v>
      </c>
      <c r="AC105" s="2">
        <v>3</v>
      </c>
      <c r="AD105">
        <v>20</v>
      </c>
      <c r="AE105" s="55">
        <f t="shared" si="2"/>
        <v>439.36104476600002</v>
      </c>
      <c r="AF105" s="57">
        <v>0</v>
      </c>
      <c r="AG105" s="55">
        <v>0</v>
      </c>
      <c r="AH105" s="55">
        <v>0</v>
      </c>
      <c r="AI105" s="52">
        <f t="shared" si="3"/>
        <v>9.1041298441248156E-2</v>
      </c>
      <c r="AJ105" s="51"/>
      <c r="AM105" s="28">
        <v>1.882352941176471</v>
      </c>
      <c r="AN105" s="28">
        <v>2.3529411764705879</v>
      </c>
      <c r="AO105" s="28">
        <v>0.54117647058823526</v>
      </c>
      <c r="AP105" s="28">
        <v>0</v>
      </c>
      <c r="AQ105" s="28">
        <v>0.39408866995073888</v>
      </c>
      <c r="AR105" s="28">
        <v>0.49261083743842371</v>
      </c>
      <c r="AS105" s="28">
        <v>0.1133004926108374</v>
      </c>
      <c r="AT105" s="28">
        <v>0</v>
      </c>
      <c r="AU105" s="25">
        <v>0.82</v>
      </c>
      <c r="AV105" s="25">
        <v>3.44</v>
      </c>
      <c r="AW105" s="25">
        <v>2.62</v>
      </c>
      <c r="AX105" s="25">
        <v>2.525529411764706</v>
      </c>
      <c r="AY105">
        <v>2.525529411764706</v>
      </c>
      <c r="AZ105">
        <v>5.7010120870588246</v>
      </c>
      <c r="BD105">
        <v>4.5520649220624078E-2</v>
      </c>
      <c r="BH105">
        <v>9.1041298441248156E-2</v>
      </c>
      <c r="BI105">
        <v>4.5520649220624078E-2</v>
      </c>
      <c r="BJ105">
        <v>0</v>
      </c>
    </row>
    <row r="106" spans="1:68" x14ac:dyDescent="0.3">
      <c r="A106" s="2" t="s">
        <v>87</v>
      </c>
      <c r="B106" s="17" t="s">
        <v>743</v>
      </c>
      <c r="C106" s="13"/>
      <c r="F106" s="2">
        <v>3.9</v>
      </c>
      <c r="G106" s="2" t="s">
        <v>89</v>
      </c>
      <c r="H106" s="9">
        <v>-1</v>
      </c>
      <c r="I106">
        <v>-1</v>
      </c>
      <c r="J106" t="s">
        <v>1162</v>
      </c>
      <c r="L106" s="25">
        <v>0</v>
      </c>
      <c r="M106">
        <v>0</v>
      </c>
      <c r="N106">
        <v>2</v>
      </c>
      <c r="O106" s="2">
        <v>3.9037999999999999</v>
      </c>
      <c r="P106" s="2">
        <v>3.9037999999999999</v>
      </c>
      <c r="Q106" s="2">
        <v>9.7742000000000004</v>
      </c>
      <c r="R106" s="2" t="s">
        <v>439</v>
      </c>
      <c r="T106" s="25">
        <v>0</v>
      </c>
      <c r="U106" s="25"/>
      <c r="V106" s="25"/>
      <c r="W106">
        <v>0</v>
      </c>
      <c r="Z106">
        <v>3.93</v>
      </c>
      <c r="AA106">
        <v>3.93</v>
      </c>
      <c r="AB106">
        <v>18.515000000000001</v>
      </c>
      <c r="AC106" s="2">
        <v>3</v>
      </c>
      <c r="AD106">
        <v>14</v>
      </c>
      <c r="AE106" s="55">
        <f t="shared" si="2"/>
        <v>148.95543042744799</v>
      </c>
      <c r="AF106" s="57">
        <v>0</v>
      </c>
      <c r="AG106" s="55">
        <v>0</v>
      </c>
      <c r="AH106" s="55">
        <v>285.96232350000002</v>
      </c>
      <c r="AJ106" s="51"/>
      <c r="AL106" s="52">
        <v>9.7914996833490184E-2</v>
      </c>
      <c r="AM106" s="28">
        <v>1.833333333333333</v>
      </c>
      <c r="AN106" s="28">
        <v>2.333333333333333</v>
      </c>
      <c r="AO106" s="28">
        <v>0.5</v>
      </c>
      <c r="AP106" s="28">
        <v>2.333333333333333</v>
      </c>
      <c r="AQ106" s="28">
        <v>0.26190476190476192</v>
      </c>
      <c r="AR106" s="28">
        <v>0.33333333333333343</v>
      </c>
      <c r="AS106" s="28">
        <v>7.1428571428571425E-2</v>
      </c>
      <c r="AT106" s="28">
        <v>0.33333333333333343</v>
      </c>
      <c r="AU106" s="25">
        <v>0.95</v>
      </c>
      <c r="AV106" s="25">
        <v>3.44</v>
      </c>
      <c r="AW106" s="25">
        <v>2.4900000000000002</v>
      </c>
      <c r="AX106" s="25">
        <v>2.7024999999999988</v>
      </c>
      <c r="AY106">
        <v>2.7025000000000001</v>
      </c>
      <c r="AZ106">
        <v>6.4896876145585001</v>
      </c>
      <c r="BC106" s="75">
        <v>0.392702013826212</v>
      </c>
      <c r="BG106">
        <v>4.8957498416745092E-2</v>
      </c>
      <c r="BH106">
        <v>9.7914996833490184E-2</v>
      </c>
      <c r="BI106">
        <v>4.8957498416745092E-2</v>
      </c>
      <c r="BJ106">
        <v>0.392702013826212</v>
      </c>
      <c r="BP106" s="2">
        <v>4</v>
      </c>
    </row>
    <row r="107" spans="1:68" x14ac:dyDescent="0.3">
      <c r="A107" s="2" t="s">
        <v>88</v>
      </c>
      <c r="B107" s="13" t="s">
        <v>741</v>
      </c>
      <c r="C107" s="13"/>
      <c r="F107" s="2">
        <v>3.9</v>
      </c>
      <c r="G107" s="2" t="s">
        <v>89</v>
      </c>
      <c r="H107" s="9" t="s">
        <v>562</v>
      </c>
      <c r="I107" t="s">
        <v>640</v>
      </c>
      <c r="J107"/>
      <c r="L107" s="25">
        <v>1</v>
      </c>
      <c r="M107">
        <v>2</v>
      </c>
      <c r="N107">
        <v>0</v>
      </c>
      <c r="O107" s="1">
        <v>3.847</v>
      </c>
      <c r="P107" s="1">
        <v>3.847</v>
      </c>
      <c r="Q107" s="1">
        <v>18.109400000000001</v>
      </c>
      <c r="R107" s="1" t="s">
        <v>440</v>
      </c>
      <c r="S107" s="1"/>
      <c r="T107" s="25">
        <v>3.9407006600000001</v>
      </c>
      <c r="U107" s="25">
        <v>3.94070016</v>
      </c>
      <c r="V107" s="25">
        <v>9.4498532300000004</v>
      </c>
      <c r="W107">
        <v>3.9499</v>
      </c>
      <c r="X107">
        <v>3.9499</v>
      </c>
      <c r="Y107">
        <v>18.2</v>
      </c>
      <c r="Z107">
        <v>0</v>
      </c>
      <c r="AC107" s="2">
        <v>3</v>
      </c>
      <c r="AD107">
        <v>14</v>
      </c>
      <c r="AE107" s="55">
        <f t="shared" si="2"/>
        <v>268.00841734459999</v>
      </c>
      <c r="AF107" s="57">
        <v>140.22301532111419</v>
      </c>
      <c r="AG107" s="55">
        <v>283.95112218200001</v>
      </c>
      <c r="AH107" s="55">
        <v>0</v>
      </c>
      <c r="AJ107" s="51">
        <v>9.984095669273442E-2</v>
      </c>
      <c r="AK107" s="52">
        <v>9.8608520314468942E-2</v>
      </c>
      <c r="AM107" s="28">
        <v>1.833333333333333</v>
      </c>
      <c r="AN107" s="28">
        <v>2.333333333333333</v>
      </c>
      <c r="AO107" s="28">
        <v>0.5</v>
      </c>
      <c r="AP107" s="28">
        <v>2.333333333333333</v>
      </c>
      <c r="AQ107" s="28">
        <v>0.26190476190476192</v>
      </c>
      <c r="AR107" s="28">
        <v>0.33333333333333343</v>
      </c>
      <c r="AS107" s="28">
        <v>7.1428571428571425E-2</v>
      </c>
      <c r="AT107" s="28">
        <v>0.33333333333333343</v>
      </c>
      <c r="AU107" s="25">
        <v>0.95</v>
      </c>
      <c r="AV107" s="25">
        <v>3.44</v>
      </c>
      <c r="AW107" s="25">
        <v>2.4900000000000002</v>
      </c>
      <c r="AX107" s="25">
        <v>2.499166666666667</v>
      </c>
      <c r="AY107">
        <v>2.499166666666667</v>
      </c>
      <c r="AZ107">
        <v>5.7944152492500001</v>
      </c>
      <c r="BA107" s="75">
        <v>0.55890272128424257</v>
      </c>
      <c r="BB107" s="75">
        <v>0.55200362828233795</v>
      </c>
      <c r="BE107">
        <v>4.9920478346367217E-2</v>
      </c>
      <c r="BF107">
        <v>4.9304260157234471E-2</v>
      </c>
      <c r="BH107">
        <v>9.9224738503601681E-2</v>
      </c>
      <c r="BI107">
        <v>4.9612369251800847E-2</v>
      </c>
      <c r="BJ107">
        <v>0.55545317478329026</v>
      </c>
      <c r="BP107" s="2">
        <v>0.2</v>
      </c>
    </row>
    <row r="108" spans="1:68" x14ac:dyDescent="0.3">
      <c r="A108" s="2" t="s">
        <v>856</v>
      </c>
      <c r="B108" s="17" t="s">
        <v>913</v>
      </c>
      <c r="C108" s="13"/>
      <c r="F108" s="2">
        <v>3.9</v>
      </c>
      <c r="G108" s="2" t="s">
        <v>89</v>
      </c>
      <c r="H108" s="9">
        <v>-1</v>
      </c>
      <c r="I108">
        <v>-1</v>
      </c>
      <c r="J108"/>
      <c r="K108" s="2">
        <v>1</v>
      </c>
      <c r="L108" s="25">
        <v>0</v>
      </c>
      <c r="M108">
        <v>0</v>
      </c>
      <c r="N108">
        <v>0</v>
      </c>
      <c r="O108" s="2">
        <v>3.9973999999999998</v>
      </c>
      <c r="P108" s="2">
        <v>3.9973999999999998</v>
      </c>
      <c r="Q108" s="2">
        <v>12.132999999999999</v>
      </c>
      <c r="R108" s="2" t="s">
        <v>439</v>
      </c>
      <c r="T108" s="25">
        <v>0</v>
      </c>
      <c r="U108" s="25"/>
      <c r="V108" s="25"/>
      <c r="W108">
        <v>0</v>
      </c>
      <c r="Z108">
        <v>0</v>
      </c>
      <c r="AC108" s="2">
        <v>3</v>
      </c>
      <c r="AD108">
        <v>14</v>
      </c>
      <c r="AE108" s="55">
        <f t="shared" si="2"/>
        <v>193.87571561907995</v>
      </c>
      <c r="AF108" s="57">
        <v>0</v>
      </c>
      <c r="AG108" s="55">
        <v>0</v>
      </c>
      <c r="AH108" s="55">
        <v>0</v>
      </c>
      <c r="AI108" s="52">
        <f t="shared" ref="AI108:AI112" si="4">K108*AD108/AE108</f>
        <v>7.2211209925366296E-2</v>
      </c>
      <c r="AJ108" s="51"/>
      <c r="AM108" s="28">
        <v>1.833333333333333</v>
      </c>
      <c r="AN108" s="28">
        <v>2.333333333333333</v>
      </c>
      <c r="AO108" s="28">
        <v>0.5</v>
      </c>
      <c r="AP108" s="28">
        <v>2.333333333333333</v>
      </c>
      <c r="AQ108" s="28">
        <v>0.26190476190476192</v>
      </c>
      <c r="AR108" s="28">
        <v>0.33333333333333343</v>
      </c>
      <c r="AS108" s="28">
        <v>7.1428571428571425E-2</v>
      </c>
      <c r="AT108" s="28">
        <v>0.33333333333333343</v>
      </c>
      <c r="AU108" s="25">
        <v>0.82</v>
      </c>
      <c r="AV108" s="25">
        <v>3.44</v>
      </c>
      <c r="AW108" s="25">
        <v>2.62</v>
      </c>
      <c r="AX108" s="25">
        <v>2.4725000000000001</v>
      </c>
      <c r="AY108">
        <v>2.4725000000000001</v>
      </c>
      <c r="AZ108">
        <v>5.697111802916667</v>
      </c>
      <c r="BD108">
        <v>3.6105604962683148E-2</v>
      </c>
      <c r="BH108">
        <v>7.2211209925366296E-2</v>
      </c>
      <c r="BI108">
        <v>3.6105604962683148E-2</v>
      </c>
      <c r="BJ108">
        <v>0</v>
      </c>
      <c r="BP108" s="2">
        <v>1.1000000000000001</v>
      </c>
    </row>
    <row r="109" spans="1:68" x14ac:dyDescent="0.3">
      <c r="A109" s="2" t="s">
        <v>857</v>
      </c>
      <c r="B109" s="17" t="s">
        <v>914</v>
      </c>
      <c r="C109" s="13"/>
      <c r="F109" s="2">
        <v>3.9</v>
      </c>
      <c r="G109" s="2" t="s">
        <v>89</v>
      </c>
      <c r="H109" s="9">
        <v>-1</v>
      </c>
      <c r="I109">
        <v>-1</v>
      </c>
      <c r="J109"/>
      <c r="K109" s="2">
        <v>1</v>
      </c>
      <c r="L109" s="25">
        <v>0</v>
      </c>
      <c r="M109">
        <v>0</v>
      </c>
      <c r="N109">
        <v>0</v>
      </c>
      <c r="O109" s="2">
        <v>3.9727000000000001</v>
      </c>
      <c r="P109" s="2">
        <v>3.9727000000000001</v>
      </c>
      <c r="Q109" s="2">
        <v>12.763199999999999</v>
      </c>
      <c r="R109" s="2" t="s">
        <v>439</v>
      </c>
      <c r="T109" s="25">
        <v>0</v>
      </c>
      <c r="U109" s="25"/>
      <c r="V109" s="25"/>
      <c r="W109">
        <v>0</v>
      </c>
      <c r="Z109">
        <v>0</v>
      </c>
      <c r="AC109" s="2">
        <v>3</v>
      </c>
      <c r="AD109">
        <v>14</v>
      </c>
      <c r="AE109" s="55">
        <f t="shared" si="2"/>
        <v>201.43322940532801</v>
      </c>
      <c r="AF109" s="57">
        <v>0</v>
      </c>
      <c r="AG109" s="55">
        <v>0</v>
      </c>
      <c r="AH109" s="55">
        <v>0</v>
      </c>
      <c r="AI109" s="52">
        <f t="shared" si="4"/>
        <v>6.9501938887297082E-2</v>
      </c>
      <c r="AJ109" s="51"/>
      <c r="AM109" s="28">
        <v>1.833333333333333</v>
      </c>
      <c r="AN109" s="28">
        <v>2.333333333333333</v>
      </c>
      <c r="AO109" s="28">
        <v>0.5</v>
      </c>
      <c r="AP109" s="28">
        <v>2.333333333333333</v>
      </c>
      <c r="AQ109" s="28">
        <v>0.26190476190476192</v>
      </c>
      <c r="AR109" s="28">
        <v>0.33333333333333343</v>
      </c>
      <c r="AS109" s="28">
        <v>7.1428571428571425E-2</v>
      </c>
      <c r="AT109" s="28">
        <v>0.33333333333333343</v>
      </c>
      <c r="AU109" s="25">
        <v>0.82</v>
      </c>
      <c r="AV109" s="25">
        <v>3.44</v>
      </c>
      <c r="AW109" s="25">
        <v>2.62</v>
      </c>
      <c r="AX109" s="25">
        <v>2.4725000000000001</v>
      </c>
      <c r="AY109">
        <v>2.4725000000000001</v>
      </c>
      <c r="AZ109">
        <v>5.6821885904166667</v>
      </c>
      <c r="BD109">
        <v>3.4750969443648541E-2</v>
      </c>
      <c r="BH109">
        <v>6.9501938887297082E-2</v>
      </c>
      <c r="BI109">
        <v>3.4750969443648541E-2</v>
      </c>
      <c r="BJ109">
        <v>0</v>
      </c>
      <c r="BP109" s="2">
        <v>1.6</v>
      </c>
    </row>
    <row r="110" spans="1:68" x14ac:dyDescent="0.3">
      <c r="A110" s="2" t="s">
        <v>27</v>
      </c>
      <c r="B110" s="13" t="s">
        <v>742</v>
      </c>
      <c r="C110" s="13"/>
      <c r="F110" s="2">
        <v>3.6</v>
      </c>
      <c r="G110" s="2" t="s">
        <v>89</v>
      </c>
      <c r="H110" s="9" t="s">
        <v>563</v>
      </c>
      <c r="I110" t="s">
        <v>641</v>
      </c>
      <c r="J110"/>
      <c r="L110" s="25">
        <v>1</v>
      </c>
      <c r="M110">
        <v>1</v>
      </c>
      <c r="N110">
        <v>0</v>
      </c>
      <c r="Q110"/>
      <c r="T110" s="25">
        <v>3.9948813699999999</v>
      </c>
      <c r="U110" s="25">
        <v>3.9948813699999999</v>
      </c>
      <c r="V110" s="25">
        <v>3.9948813699999999</v>
      </c>
      <c r="W110">
        <v>3.9883000000000002</v>
      </c>
      <c r="X110">
        <v>3.9883000000000002</v>
      </c>
      <c r="Y110">
        <v>3.9883000000000002</v>
      </c>
      <c r="Z110">
        <v>0</v>
      </c>
      <c r="AD110">
        <v>6</v>
      </c>
      <c r="AE110" s="55">
        <f t="shared" si="2"/>
        <v>0</v>
      </c>
      <c r="AF110" s="57">
        <v>63.754620030366901</v>
      </c>
      <c r="AG110" s="55">
        <v>63.440041078387011</v>
      </c>
      <c r="AH110" s="55">
        <v>0</v>
      </c>
      <c r="AJ110" s="51">
        <v>9.4110826747020773E-2</v>
      </c>
      <c r="AK110" s="52">
        <v>9.4577492353549286E-2</v>
      </c>
      <c r="AM110" s="28">
        <v>1.8</v>
      </c>
      <c r="AN110" s="28">
        <v>2.4</v>
      </c>
      <c r="AO110" s="28">
        <v>0.6</v>
      </c>
      <c r="AP110" s="28">
        <v>2.8</v>
      </c>
      <c r="AQ110" s="28">
        <v>0.23684210526315791</v>
      </c>
      <c r="AR110" s="28">
        <v>0.31578947368421051</v>
      </c>
      <c r="AS110" s="28">
        <v>7.8947368421052627E-2</v>
      </c>
      <c r="AT110" s="28">
        <v>0.36842105263157893</v>
      </c>
      <c r="AU110" s="25">
        <v>0.82</v>
      </c>
      <c r="AV110" s="25">
        <v>3.44</v>
      </c>
      <c r="AW110" s="25">
        <v>2.62</v>
      </c>
      <c r="AX110" s="25">
        <v>2.528</v>
      </c>
      <c r="AY110">
        <v>2.528</v>
      </c>
      <c r="AZ110">
        <v>5.7952294759999994</v>
      </c>
      <c r="BA110" s="75">
        <v>0.65619545508850963</v>
      </c>
      <c r="BB110" s="75">
        <v>0.65944931928920669</v>
      </c>
      <c r="BE110">
        <v>4.7055413373510387E-2</v>
      </c>
      <c r="BF110">
        <v>4.7288746176774643E-2</v>
      </c>
      <c r="BH110">
        <v>9.4344159550285023E-2</v>
      </c>
      <c r="BI110">
        <v>4.7172079775142511E-2</v>
      </c>
      <c r="BJ110">
        <v>0.65782238718885822</v>
      </c>
      <c r="BP110" s="2">
        <v>1.5</v>
      </c>
    </row>
    <row r="111" spans="1:68" x14ac:dyDescent="0.3">
      <c r="A111" s="2" t="s">
        <v>864</v>
      </c>
      <c r="B111" s="13" t="s">
        <v>861</v>
      </c>
      <c r="C111" s="13"/>
      <c r="F111" s="2">
        <v>4</v>
      </c>
      <c r="G111" s="2" t="s">
        <v>91</v>
      </c>
      <c r="H111" s="9">
        <v>-1</v>
      </c>
      <c r="I111">
        <v>-1</v>
      </c>
      <c r="J111" t="s">
        <v>1212</v>
      </c>
      <c r="K111" s="2">
        <v>0.66666666699999999</v>
      </c>
      <c r="L111" s="25">
        <v>0</v>
      </c>
      <c r="M111">
        <v>0</v>
      </c>
      <c r="N111">
        <f>2/3</f>
        <v>0.66666666666666663</v>
      </c>
      <c r="O111" s="2">
        <v>3.9607999999999999</v>
      </c>
      <c r="P111" s="2">
        <v>3.9607999999999999</v>
      </c>
      <c r="Q111" s="2">
        <v>21.8126</v>
      </c>
      <c r="R111" s="2" t="s">
        <v>440</v>
      </c>
      <c r="T111" s="25">
        <v>0</v>
      </c>
      <c r="U111" s="25"/>
      <c r="V111" s="25"/>
      <c r="W111">
        <v>0</v>
      </c>
      <c r="Z111">
        <v>0</v>
      </c>
      <c r="AD111">
        <v>42</v>
      </c>
      <c r="AE111" s="55">
        <f t="shared" si="2"/>
        <v>342.19468675366397</v>
      </c>
      <c r="AF111" s="57">
        <v>0</v>
      </c>
      <c r="AG111" s="55">
        <v>0</v>
      </c>
      <c r="AH111" s="55">
        <v>347.6</v>
      </c>
      <c r="AI111" s="52">
        <f t="shared" si="4"/>
        <v>8.1824765543938416E-2</v>
      </c>
      <c r="AJ111" s="51"/>
      <c r="AL111" s="52">
        <f>N111*AD111/AH111</f>
        <v>8.0552359033371684E-2</v>
      </c>
      <c r="AM111" s="28">
        <v>1.828571428571429</v>
      </c>
      <c r="AN111" s="28">
        <v>2.4</v>
      </c>
      <c r="AO111" s="28">
        <v>0.5714285714285714</v>
      </c>
      <c r="AP111" s="28">
        <v>2.4</v>
      </c>
      <c r="AQ111" s="28">
        <v>0.25396825396825401</v>
      </c>
      <c r="AR111" s="28">
        <v>0.33333333333333331</v>
      </c>
      <c r="AS111" s="28">
        <v>7.9365079365079361E-2</v>
      </c>
      <c r="AT111" s="28">
        <v>0.33333333333333331</v>
      </c>
      <c r="AU111" s="25">
        <v>0.82</v>
      </c>
      <c r="AV111" s="25">
        <v>3.44</v>
      </c>
      <c r="AW111" s="25">
        <v>2.62</v>
      </c>
      <c r="AX111" s="25">
        <v>2.524571428571428</v>
      </c>
      <c r="AY111">
        <v>2.524571428571428</v>
      </c>
      <c r="AZ111">
        <v>5.7888591694285711</v>
      </c>
      <c r="BD111">
        <v>4.0912382771969208E-2</v>
      </c>
      <c r="BG111">
        <v>4.0276179516685842E-2</v>
      </c>
      <c r="BH111">
        <v>8.118856228865505E-2</v>
      </c>
      <c r="BI111">
        <v>4.0594281144327532E-2</v>
      </c>
      <c r="BJ111">
        <v>0</v>
      </c>
      <c r="BP111" s="2">
        <v>3.7</v>
      </c>
    </row>
    <row r="112" spans="1:68" x14ac:dyDescent="0.3">
      <c r="A112" s="2" t="s">
        <v>865</v>
      </c>
      <c r="B112" s="13" t="s">
        <v>862</v>
      </c>
      <c r="C112" s="13"/>
      <c r="F112" s="2">
        <v>4</v>
      </c>
      <c r="G112" s="2" t="s">
        <v>91</v>
      </c>
      <c r="H112" s="9">
        <v>-1</v>
      </c>
      <c r="I112">
        <v>-1</v>
      </c>
      <c r="J112"/>
      <c r="K112" s="2">
        <f>0.666666667/2</f>
        <v>0.3333333335</v>
      </c>
      <c r="L112" s="25">
        <v>0</v>
      </c>
      <c r="M112">
        <v>0</v>
      </c>
      <c r="N112">
        <v>2</v>
      </c>
      <c r="O112" s="2">
        <v>3.9483999999999999</v>
      </c>
      <c r="P112" s="2">
        <v>3.9483999999999999</v>
      </c>
      <c r="Q112" s="2">
        <v>9.7742000000000004</v>
      </c>
      <c r="R112" s="2" t="s">
        <v>439</v>
      </c>
      <c r="T112" s="25">
        <v>0</v>
      </c>
      <c r="U112" s="25"/>
      <c r="V112" s="25"/>
      <c r="W112">
        <v>0</v>
      </c>
      <c r="Z112">
        <v>0</v>
      </c>
      <c r="AD112">
        <v>42</v>
      </c>
      <c r="AE112" s="55">
        <f t="shared" si="2"/>
        <v>152.378434633952</v>
      </c>
      <c r="AF112" s="57">
        <v>0</v>
      </c>
      <c r="AG112" s="55">
        <v>0</v>
      </c>
      <c r="AH112" s="55">
        <v>0</v>
      </c>
      <c r="AI112" s="52">
        <f t="shared" si="4"/>
        <v>9.1876518095432708E-2</v>
      </c>
      <c r="AJ112" s="51"/>
      <c r="AM112" s="28">
        <v>1.828571428571429</v>
      </c>
      <c r="AN112" s="28">
        <v>2.4</v>
      </c>
      <c r="AO112" s="28">
        <v>0.5714285714285714</v>
      </c>
      <c r="AP112" s="28">
        <v>2.4</v>
      </c>
      <c r="AQ112" s="28">
        <v>0.25396825396825401</v>
      </c>
      <c r="AR112" s="28">
        <v>0.33333333333333331</v>
      </c>
      <c r="AS112" s="28">
        <v>7.9365079365079361E-2</v>
      </c>
      <c r="AT112" s="28">
        <v>0.33333333333333331</v>
      </c>
      <c r="AU112" s="25">
        <v>1.1000000000000001</v>
      </c>
      <c r="AV112" s="25">
        <v>3.44</v>
      </c>
      <c r="AW112" s="25">
        <v>2.34</v>
      </c>
      <c r="AX112" s="25">
        <v>2.7611428571428571</v>
      </c>
      <c r="AY112">
        <v>2.7611428571428571</v>
      </c>
      <c r="AZ112">
        <v>6.6040800042601706</v>
      </c>
      <c r="BD112">
        <v>4.5938259047716347E-2</v>
      </c>
      <c r="BG112" t="s">
        <v>459</v>
      </c>
      <c r="BH112">
        <v>9.1876518095432708E-2</v>
      </c>
      <c r="BI112" t="s">
        <v>459</v>
      </c>
      <c r="BJ112">
        <v>0</v>
      </c>
      <c r="BP112" s="2">
        <v>7.8</v>
      </c>
    </row>
    <row r="113" spans="1:68" x14ac:dyDescent="0.3">
      <c r="A113" s="2" t="s">
        <v>858</v>
      </c>
      <c r="B113" s="13" t="s">
        <v>859</v>
      </c>
      <c r="C113" s="13"/>
      <c r="F113" s="2">
        <v>4</v>
      </c>
      <c r="G113" s="2" t="s">
        <v>91</v>
      </c>
      <c r="H113" s="9" t="s">
        <v>860</v>
      </c>
      <c r="I113">
        <v>1540895</v>
      </c>
      <c r="J113"/>
      <c r="L113" s="25">
        <v>0</v>
      </c>
      <c r="M113">
        <v>4</v>
      </c>
      <c r="N113">
        <v>0</v>
      </c>
      <c r="T113" s="25">
        <v>0</v>
      </c>
      <c r="U113" s="25"/>
      <c r="V113" s="25"/>
      <c r="W113">
        <v>6.5429000000000004</v>
      </c>
      <c r="X113">
        <v>7.6490999999999998</v>
      </c>
      <c r="Y113">
        <v>12.583</v>
      </c>
      <c r="Z113">
        <v>0</v>
      </c>
      <c r="AD113">
        <v>18</v>
      </c>
      <c r="AE113" s="55">
        <f t="shared" si="2"/>
        <v>0</v>
      </c>
      <c r="AF113" s="57">
        <v>0</v>
      </c>
      <c r="AG113" s="55">
        <v>629.74513047537005</v>
      </c>
      <c r="AH113" s="55">
        <v>0</v>
      </c>
      <c r="AJ113" s="51"/>
      <c r="AK113" s="52">
        <v>0.1143319678322086</v>
      </c>
      <c r="AM113" s="28">
        <v>2</v>
      </c>
      <c r="AN113" s="28">
        <v>2.7692307692307692</v>
      </c>
      <c r="AO113" s="28">
        <v>0.76923076923076927</v>
      </c>
      <c r="AP113" s="28">
        <v>3.2307692307692308</v>
      </c>
      <c r="AQ113" s="28">
        <v>0.22807017543859651</v>
      </c>
      <c r="AR113" s="28">
        <v>0.31578947368421051</v>
      </c>
      <c r="AS113" s="28">
        <v>8.771929824561403E-2</v>
      </c>
      <c r="AT113" s="28">
        <v>0.36842105263157893</v>
      </c>
      <c r="AU113" s="25">
        <v>1.1000000000000001</v>
      </c>
      <c r="AV113" s="25">
        <v>3.44</v>
      </c>
      <c r="AW113" s="25">
        <v>2.34</v>
      </c>
      <c r="AX113" s="25">
        <v>2.8123076923076931</v>
      </c>
      <c r="AY113">
        <v>2.8123076923076931</v>
      </c>
      <c r="AZ113">
        <v>6.3640369961538461</v>
      </c>
      <c r="BB113" s="75">
        <v>0.55971264878746807</v>
      </c>
      <c r="BF113">
        <v>5.7165983916104293E-2</v>
      </c>
      <c r="BH113">
        <v>0.1143319678322086</v>
      </c>
      <c r="BI113">
        <v>5.7165983916104293E-2</v>
      </c>
      <c r="BJ113">
        <v>0.55971264878746807</v>
      </c>
      <c r="BP113" s="2">
        <v>3.3</v>
      </c>
    </row>
    <row r="114" spans="1:68" x14ac:dyDescent="0.3">
      <c r="A114" s="2" t="s">
        <v>87</v>
      </c>
      <c r="B114" s="13" t="s">
        <v>743</v>
      </c>
      <c r="C114" s="13"/>
      <c r="F114" s="2">
        <v>3.9</v>
      </c>
      <c r="G114" s="2" t="s">
        <v>91</v>
      </c>
      <c r="H114" s="9" t="s">
        <v>564</v>
      </c>
      <c r="I114">
        <v>-1</v>
      </c>
      <c r="J114"/>
      <c r="L114" s="25">
        <v>1</v>
      </c>
      <c r="M114">
        <v>0</v>
      </c>
      <c r="N114">
        <v>0</v>
      </c>
      <c r="Q114"/>
      <c r="T114" s="25">
        <v>9.9051542599999998</v>
      </c>
      <c r="U114" s="25">
        <v>9.9051542599999998</v>
      </c>
      <c r="V114" s="25">
        <v>9.9051542599999998</v>
      </c>
      <c r="W114">
        <v>0</v>
      </c>
      <c r="Z114">
        <v>0</v>
      </c>
      <c r="AD114">
        <v>14</v>
      </c>
      <c r="AE114" s="55">
        <f t="shared" si="2"/>
        <v>0</v>
      </c>
      <c r="AF114" s="57">
        <v>150.75696951344321</v>
      </c>
      <c r="AG114" s="55">
        <v>0</v>
      </c>
      <c r="AH114" s="55">
        <v>0</v>
      </c>
      <c r="AJ114" s="51">
        <v>9.2864695046497372E-2</v>
      </c>
      <c r="AM114" s="28">
        <v>1.833333333333333</v>
      </c>
      <c r="AN114" s="28">
        <v>2.333333333333333</v>
      </c>
      <c r="AO114" s="28">
        <v>0.5</v>
      </c>
      <c r="AP114" s="28">
        <v>2.333333333333333</v>
      </c>
      <c r="AQ114" s="28">
        <v>0.26190476190476192</v>
      </c>
      <c r="AR114" s="28">
        <v>0.33333333333333343</v>
      </c>
      <c r="AS114" s="28">
        <v>7.1428571428571425E-2</v>
      </c>
      <c r="AT114" s="28">
        <v>0.33333333333333343</v>
      </c>
      <c r="AU114" s="25">
        <v>0.95</v>
      </c>
      <c r="AV114" s="25">
        <v>3.44</v>
      </c>
      <c r="AW114" s="25">
        <v>2.4900000000000002</v>
      </c>
      <c r="AX114" s="25">
        <v>2.7024999999999988</v>
      </c>
      <c r="AY114">
        <v>2.7025000000000001</v>
      </c>
      <c r="AZ114">
        <v>6.4896876145585001</v>
      </c>
      <c r="BA114" s="75">
        <v>0.47933948900870132</v>
      </c>
      <c r="BE114">
        <v>4.6432347523248672E-2</v>
      </c>
      <c r="BH114">
        <v>9.2864695046497372E-2</v>
      </c>
      <c r="BI114">
        <v>4.6432347523248672E-2</v>
      </c>
      <c r="BJ114">
        <v>0.47933948900870132</v>
      </c>
      <c r="BP114" s="2">
        <v>4</v>
      </c>
    </row>
    <row r="115" spans="1:68" x14ac:dyDescent="0.3">
      <c r="A115" s="2" t="s">
        <v>92</v>
      </c>
      <c r="B115" s="17" t="s">
        <v>915</v>
      </c>
      <c r="C115" s="13"/>
      <c r="F115" s="2">
        <v>4.0999999999999996</v>
      </c>
      <c r="G115" s="2" t="s">
        <v>93</v>
      </c>
      <c r="H115" s="9">
        <v>-1</v>
      </c>
      <c r="I115">
        <v>-1</v>
      </c>
      <c r="J115"/>
      <c r="L115" s="25">
        <v>0</v>
      </c>
      <c r="M115">
        <v>0</v>
      </c>
      <c r="N115">
        <v>0</v>
      </c>
      <c r="O115" s="2">
        <v>3.9499</v>
      </c>
      <c r="P115" s="2">
        <v>3.9499</v>
      </c>
      <c r="Q115" s="2">
        <v>17.030999999999999</v>
      </c>
      <c r="R115" s="2" t="s">
        <v>439</v>
      </c>
      <c r="T115" s="25">
        <v>0</v>
      </c>
      <c r="U115" s="25"/>
      <c r="V115" s="25"/>
      <c r="W115">
        <v>0</v>
      </c>
      <c r="Z115">
        <v>0</v>
      </c>
      <c r="AD115">
        <v>20</v>
      </c>
      <c r="AE115" s="55">
        <f t="shared" si="2"/>
        <v>265.71272318030998</v>
      </c>
      <c r="AF115" s="57">
        <v>0</v>
      </c>
      <c r="AG115" s="55">
        <v>0</v>
      </c>
      <c r="AH115" s="55">
        <v>0</v>
      </c>
      <c r="AJ115" s="51"/>
      <c r="AM115" s="28">
        <v>1.8787878787878789</v>
      </c>
      <c r="AN115" s="28">
        <v>2.4242424242424239</v>
      </c>
      <c r="AO115" s="28">
        <v>0.54545454545454541</v>
      </c>
      <c r="AP115" s="28">
        <v>2.545454545454545</v>
      </c>
      <c r="AQ115" s="28">
        <v>0.25409836065573771</v>
      </c>
      <c r="AR115" s="28">
        <v>0.32786885245901642</v>
      </c>
      <c r="AS115" s="28">
        <v>7.3770491803278687E-2</v>
      </c>
      <c r="AT115" s="28">
        <v>0.34426229508196721</v>
      </c>
      <c r="AU115" s="25">
        <v>0.82</v>
      </c>
      <c r="AV115" s="25">
        <v>3.44</v>
      </c>
      <c r="AW115" s="25">
        <v>2.62</v>
      </c>
      <c r="AX115" s="25">
        <v>2.543333333333333</v>
      </c>
      <c r="AY115">
        <v>2.5433333333333339</v>
      </c>
      <c r="AZ115">
        <v>5.8398279362121217</v>
      </c>
      <c r="BH115">
        <v>0</v>
      </c>
      <c r="BI115">
        <v>0</v>
      </c>
      <c r="BJ115">
        <v>0</v>
      </c>
    </row>
    <row r="116" spans="1:68" x14ac:dyDescent="0.3">
      <c r="A116" s="2" t="s">
        <v>34</v>
      </c>
      <c r="B116" s="13" t="s">
        <v>711</v>
      </c>
      <c r="C116" s="13"/>
      <c r="F116" s="2">
        <v>3.2</v>
      </c>
      <c r="G116" s="2" t="s">
        <v>94</v>
      </c>
      <c r="H116" s="9" t="s">
        <v>542</v>
      </c>
      <c r="I116" t="s">
        <v>623</v>
      </c>
      <c r="J116"/>
      <c r="L116" s="25">
        <v>1</v>
      </c>
      <c r="M116">
        <v>2</v>
      </c>
      <c r="N116">
        <v>0</v>
      </c>
      <c r="Q116"/>
      <c r="R116"/>
      <c r="S116"/>
      <c r="T116" s="25">
        <v>3.9086759899999999</v>
      </c>
      <c r="U116" s="25">
        <v>3.908676100000001</v>
      </c>
      <c r="V116" s="25">
        <v>10.552604730000001</v>
      </c>
      <c r="W116">
        <v>3.899</v>
      </c>
      <c r="X116">
        <v>3.899</v>
      </c>
      <c r="Y116">
        <v>20.399989999999999</v>
      </c>
      <c r="Z116">
        <v>0</v>
      </c>
      <c r="AD116">
        <v>14</v>
      </c>
      <c r="AE116" s="55">
        <f t="shared" si="2"/>
        <v>0</v>
      </c>
      <c r="AF116" s="57">
        <v>155.59136328639269</v>
      </c>
      <c r="AG116" s="55">
        <v>310.12474837798999</v>
      </c>
      <c r="AH116" s="55">
        <v>0</v>
      </c>
      <c r="AJ116" s="51">
        <v>8.9979287437893268E-2</v>
      </c>
      <c r="AK116" s="52">
        <v>9.0286248183820222E-2</v>
      </c>
      <c r="AM116" s="28">
        <v>2</v>
      </c>
      <c r="AN116" s="28">
        <v>2.333333333333333</v>
      </c>
      <c r="AO116" s="28">
        <v>0.33333333333333331</v>
      </c>
      <c r="AP116" s="28">
        <v>0</v>
      </c>
      <c r="AQ116" s="28">
        <v>0.42857142857142849</v>
      </c>
      <c r="AR116" s="28">
        <v>0.5</v>
      </c>
      <c r="AS116" s="28">
        <v>7.1428571428571425E-2</v>
      </c>
      <c r="AT116" s="28">
        <v>0</v>
      </c>
      <c r="AU116" s="25">
        <v>0.95</v>
      </c>
      <c r="AV116" s="25">
        <v>3.44</v>
      </c>
      <c r="AW116" s="25">
        <v>2.4900000000000002</v>
      </c>
      <c r="AX116" s="25">
        <v>2.500833333333333</v>
      </c>
      <c r="AY116">
        <v>2.500833333333333</v>
      </c>
      <c r="AZ116">
        <v>5.6917605187500007</v>
      </c>
      <c r="BA116" s="75">
        <v>0.58499657192886345</v>
      </c>
      <c r="BB116" s="75">
        <v>0.58699226437317098</v>
      </c>
      <c r="BE116">
        <v>4.4989643718946627E-2</v>
      </c>
      <c r="BF116">
        <v>4.5143124091910111E-2</v>
      </c>
      <c r="BH116">
        <v>9.0132767810856745E-2</v>
      </c>
      <c r="BI116">
        <v>4.5066383905428373E-2</v>
      </c>
      <c r="BJ116">
        <v>0.58599441815101727</v>
      </c>
      <c r="BP116" s="2">
        <v>3.49</v>
      </c>
    </row>
    <row r="117" spans="1:68" x14ac:dyDescent="0.3">
      <c r="A117" s="2" t="s">
        <v>95</v>
      </c>
      <c r="B117" s="13" t="s">
        <v>744</v>
      </c>
      <c r="C117" s="13"/>
      <c r="F117" s="2">
        <v>3.3</v>
      </c>
      <c r="G117" s="2" t="s">
        <v>96</v>
      </c>
      <c r="H117" s="9">
        <v>-1</v>
      </c>
      <c r="I117" t="s">
        <v>642</v>
      </c>
      <c r="J117"/>
      <c r="L117" s="25">
        <v>0</v>
      </c>
      <c r="M117">
        <v>1</v>
      </c>
      <c r="N117">
        <v>0</v>
      </c>
      <c r="O117" s="2">
        <v>3.8917999999999999</v>
      </c>
      <c r="P117" s="2">
        <v>3.8820000000000001</v>
      </c>
      <c r="Q117" s="2">
        <v>36.127000000000002</v>
      </c>
      <c r="R117" s="1" t="s">
        <v>484</v>
      </c>
      <c r="S117" s="1"/>
      <c r="T117" s="25">
        <v>0</v>
      </c>
      <c r="U117" s="25"/>
      <c r="V117" s="25"/>
      <c r="W117">
        <v>3.8715999999999999</v>
      </c>
      <c r="X117">
        <v>3.8715999999999999</v>
      </c>
      <c r="Y117">
        <v>36.936999999999998</v>
      </c>
      <c r="Z117">
        <v>0</v>
      </c>
      <c r="AC117" s="2">
        <v>4</v>
      </c>
      <c r="AD117">
        <v>26</v>
      </c>
      <c r="AE117" s="55">
        <f t="shared" si="2"/>
        <v>545.80554548520001</v>
      </c>
      <c r="AF117" s="57">
        <v>0</v>
      </c>
      <c r="AG117" s="55">
        <v>553.65927766671996</v>
      </c>
      <c r="AH117" s="55">
        <v>0</v>
      </c>
      <c r="AJ117" s="51"/>
      <c r="AK117" s="52">
        <v>4.696028956576237E-2</v>
      </c>
      <c r="AM117" s="28">
        <v>1.714285714285714</v>
      </c>
      <c r="AN117" s="28">
        <v>2.4761904761904758</v>
      </c>
      <c r="AO117" s="28">
        <v>0.76190476190476186</v>
      </c>
      <c r="AP117" s="28">
        <v>0</v>
      </c>
      <c r="AQ117" s="28">
        <v>0.34615384615384609</v>
      </c>
      <c r="AR117" s="28">
        <v>0.5</v>
      </c>
      <c r="AS117" s="28">
        <v>0.1538461538461538</v>
      </c>
      <c r="AT117" s="28">
        <v>0</v>
      </c>
      <c r="AU117" s="25">
        <v>0.93</v>
      </c>
      <c r="AV117" s="25">
        <v>3.44</v>
      </c>
      <c r="AW117" s="25">
        <v>2.5099999999999998</v>
      </c>
      <c r="AX117" s="25">
        <v>2.618095238095238</v>
      </c>
      <c r="AY117">
        <v>2.618095238095238</v>
      </c>
      <c r="AZ117">
        <v>5.9615126490476191</v>
      </c>
      <c r="BF117">
        <v>2.3480144782881181E-2</v>
      </c>
      <c r="BH117">
        <v>4.696028956576237E-2</v>
      </c>
      <c r="BI117">
        <v>2.3480144782881181E-2</v>
      </c>
      <c r="BJ117">
        <v>0</v>
      </c>
      <c r="BP117" s="1">
        <v>4.5999999999999996</v>
      </c>
    </row>
    <row r="118" spans="1:68" x14ac:dyDescent="0.3">
      <c r="A118" s="2" t="s">
        <v>97</v>
      </c>
      <c r="B118" s="13" t="s">
        <v>745</v>
      </c>
      <c r="C118" s="13"/>
      <c r="F118" s="2">
        <v>2.0099999999999998</v>
      </c>
      <c r="G118" s="2" t="s">
        <v>100</v>
      </c>
      <c r="H118" s="9" t="s">
        <v>565</v>
      </c>
      <c r="I118" t="s">
        <v>643</v>
      </c>
      <c r="J118"/>
      <c r="L118" s="25">
        <v>4</v>
      </c>
      <c r="M118">
        <v>2</v>
      </c>
      <c r="N118">
        <v>0</v>
      </c>
      <c r="O118" s="2">
        <v>5.63</v>
      </c>
      <c r="P118" s="2">
        <v>5.63</v>
      </c>
      <c r="Q118" s="2">
        <v>7.9509999999999996</v>
      </c>
      <c r="R118" s="2" t="s">
        <v>485</v>
      </c>
      <c r="T118" s="25">
        <v>5.6671750000000003</v>
      </c>
      <c r="U118" s="25">
        <v>9.8157737100000002</v>
      </c>
      <c r="V118" s="25">
        <v>9.8153266899999991</v>
      </c>
      <c r="W118">
        <v>5.6200999999999999</v>
      </c>
      <c r="X118">
        <v>5.6342999999999996</v>
      </c>
      <c r="Y118">
        <v>7.9375</v>
      </c>
      <c r="Z118">
        <v>0</v>
      </c>
      <c r="AD118">
        <v>12</v>
      </c>
      <c r="AE118" s="55">
        <f t="shared" si="2"/>
        <v>252.02205189999998</v>
      </c>
      <c r="AF118" s="57">
        <v>515.32350958904738</v>
      </c>
      <c r="AG118" s="55">
        <v>251.3435485224438</v>
      </c>
      <c r="AH118" s="55">
        <v>0</v>
      </c>
      <c r="AJ118" s="51">
        <v>9.3145371998025736E-2</v>
      </c>
      <c r="AK118" s="52">
        <v>9.5486835214538698E-2</v>
      </c>
      <c r="AM118" s="28">
        <v>2</v>
      </c>
      <c r="AN118" s="28">
        <v>2.4</v>
      </c>
      <c r="AO118" s="28">
        <v>0.9</v>
      </c>
      <c r="AP118" s="28">
        <v>1.4</v>
      </c>
      <c r="AQ118" s="28">
        <v>0.29850746268656708</v>
      </c>
      <c r="AR118" s="28">
        <v>0.35820895522388058</v>
      </c>
      <c r="AS118" s="28">
        <v>0.1343283582089552</v>
      </c>
      <c r="AT118" s="28">
        <v>0.20895522388059701</v>
      </c>
      <c r="AU118" s="25">
        <v>0.95</v>
      </c>
      <c r="AV118" s="25">
        <v>3.44</v>
      </c>
      <c r="AW118" s="25">
        <v>2.4900000000000002</v>
      </c>
      <c r="AX118" s="25">
        <v>2.5870000000000002</v>
      </c>
      <c r="AY118">
        <v>2.5870000000000002</v>
      </c>
      <c r="AZ118">
        <v>5.8948612069999999</v>
      </c>
      <c r="BA118" s="75">
        <v>0.57095915761344151</v>
      </c>
      <c r="BB118" s="75">
        <v>0.58531177478599872</v>
      </c>
      <c r="BE118">
        <v>4.6572685999012868E-2</v>
      </c>
      <c r="BF118">
        <v>4.7743417607269342E-2</v>
      </c>
      <c r="BH118">
        <v>9.4316103606282217E-2</v>
      </c>
      <c r="BI118">
        <v>4.7158051803141102E-2</v>
      </c>
      <c r="BJ118">
        <v>0.57813546619972012</v>
      </c>
      <c r="BP118" s="2" t="s">
        <v>459</v>
      </c>
    </row>
    <row r="119" spans="1:68" x14ac:dyDescent="0.3">
      <c r="A119" s="2" t="s">
        <v>1213</v>
      </c>
      <c r="B119" s="68" t="s">
        <v>1215</v>
      </c>
      <c r="C119" s="13"/>
      <c r="F119" s="2">
        <v>2.21</v>
      </c>
      <c r="G119" s="2" t="s">
        <v>101</v>
      </c>
      <c r="H119" s="9">
        <v>-1</v>
      </c>
      <c r="I119">
        <v>-1</v>
      </c>
      <c r="J119"/>
      <c r="K119" s="2">
        <v>2</v>
      </c>
      <c r="L119" s="25">
        <v>0</v>
      </c>
      <c r="M119">
        <v>0</v>
      </c>
      <c r="N119">
        <v>0</v>
      </c>
      <c r="O119" s="2">
        <v>3.9668000000000001</v>
      </c>
      <c r="P119" s="2">
        <v>3.9668000000000001</v>
      </c>
      <c r="Q119" s="2">
        <v>20.597999999999999</v>
      </c>
      <c r="R119" s="2" t="s">
        <v>440</v>
      </c>
      <c r="T119" s="25">
        <v>0</v>
      </c>
      <c r="U119" s="25"/>
      <c r="V119" s="25"/>
      <c r="W119">
        <v>0</v>
      </c>
      <c r="Z119">
        <v>0</v>
      </c>
      <c r="AD119">
        <v>14</v>
      </c>
      <c r="AE119" s="55">
        <f t="shared" si="2"/>
        <v>324.11987513951999</v>
      </c>
      <c r="AF119" s="57">
        <v>0</v>
      </c>
      <c r="AG119" s="55">
        <v>0</v>
      </c>
      <c r="AH119" s="55">
        <v>0</v>
      </c>
      <c r="AI119" s="52">
        <f t="shared" ref="AI119:AI120" si="5">K119*AD119/AE119</f>
        <v>8.6387790899731698E-2</v>
      </c>
      <c r="AJ119" s="51"/>
      <c r="AM119" s="28">
        <v>2</v>
      </c>
      <c r="AN119" s="28">
        <v>2.4615384615384621</v>
      </c>
      <c r="AO119" s="28">
        <v>0.69230769230769229</v>
      </c>
      <c r="AP119" s="28">
        <v>1.0769230769230771</v>
      </c>
      <c r="AQ119" s="28">
        <v>0.32098765432098758</v>
      </c>
      <c r="AR119" s="28">
        <v>0.39506172839506182</v>
      </c>
      <c r="AS119" s="28">
        <v>0.1111111111111111</v>
      </c>
      <c r="AT119" s="28">
        <v>0.1728395061728395</v>
      </c>
      <c r="AU119" s="25">
        <v>0.95</v>
      </c>
      <c r="AV119" s="25">
        <v>3.44</v>
      </c>
      <c r="AW119" s="25">
        <v>2.4900000000000002</v>
      </c>
      <c r="AX119" s="25">
        <v>2.592307692307692</v>
      </c>
      <c r="AY119">
        <v>2.5923076923076929</v>
      </c>
      <c r="AZ119">
        <v>5.9154799303846159</v>
      </c>
      <c r="BD119">
        <v>4.3193895449865849E-2</v>
      </c>
      <c r="BH119">
        <v>8.6387790899731698E-2</v>
      </c>
      <c r="BI119">
        <v>4.3193895449865849E-2</v>
      </c>
      <c r="BJ119">
        <v>0</v>
      </c>
      <c r="BP119" s="1">
        <v>2</v>
      </c>
    </row>
    <row r="120" spans="1:68" x14ac:dyDescent="0.3">
      <c r="A120" s="2" t="s">
        <v>1214</v>
      </c>
      <c r="B120" s="68" t="s">
        <v>1216</v>
      </c>
      <c r="C120" s="13"/>
      <c r="F120" s="2">
        <v>2.27</v>
      </c>
      <c r="G120" s="2" t="s">
        <v>102</v>
      </c>
      <c r="H120" s="9">
        <v>-1</v>
      </c>
      <c r="I120">
        <v>-1</v>
      </c>
      <c r="J120"/>
      <c r="K120" s="2">
        <v>1</v>
      </c>
      <c r="L120" s="25">
        <v>0</v>
      </c>
      <c r="M120">
        <v>0</v>
      </c>
      <c r="N120">
        <v>0</v>
      </c>
      <c r="O120" s="2">
        <v>3.9493</v>
      </c>
      <c r="P120" s="2">
        <v>3.9493</v>
      </c>
      <c r="Q120" s="2">
        <v>12.727</v>
      </c>
      <c r="R120" s="2" t="s">
        <v>440</v>
      </c>
      <c r="T120" s="25">
        <v>0</v>
      </c>
      <c r="U120" s="25"/>
      <c r="V120" s="25"/>
      <c r="W120">
        <v>0</v>
      </c>
      <c r="Z120">
        <v>0</v>
      </c>
      <c r="AD120">
        <v>16</v>
      </c>
      <c r="AE120" s="55">
        <f t="shared" si="2"/>
        <v>198.50264342623001</v>
      </c>
      <c r="AF120" s="57">
        <v>0</v>
      </c>
      <c r="AG120" s="55">
        <v>0</v>
      </c>
      <c r="AH120" s="55">
        <v>0</v>
      </c>
      <c r="AI120" s="52">
        <f t="shared" si="5"/>
        <v>8.0603460608050376E-2</v>
      </c>
      <c r="AJ120" s="51"/>
      <c r="AM120" s="28">
        <v>2</v>
      </c>
      <c r="AN120" s="28">
        <v>2.4</v>
      </c>
      <c r="AO120" s="28">
        <v>0.6</v>
      </c>
      <c r="AP120" s="28">
        <v>0.93333333333333335</v>
      </c>
      <c r="AQ120" s="28">
        <v>0.33707865168539319</v>
      </c>
      <c r="AR120" s="28">
        <v>0.4044943820224719</v>
      </c>
      <c r="AS120" s="28">
        <v>0.101123595505618</v>
      </c>
      <c r="AT120" s="28">
        <v>0.15730337078651679</v>
      </c>
      <c r="AU120" s="25">
        <v>0.95</v>
      </c>
      <c r="AV120" s="25">
        <v>3.44</v>
      </c>
      <c r="AW120" s="25">
        <v>2.4900000000000002</v>
      </c>
      <c r="AX120" s="25">
        <v>2.539333333333333</v>
      </c>
      <c r="AY120">
        <v>2.539333333333333</v>
      </c>
      <c r="AZ120">
        <v>5.8209523980000002</v>
      </c>
      <c r="BD120">
        <v>4.0301730304025188E-2</v>
      </c>
      <c r="BH120">
        <v>8.0603460608050376E-2</v>
      </c>
      <c r="BI120">
        <v>4.0301730304025188E-2</v>
      </c>
      <c r="BJ120">
        <v>0</v>
      </c>
      <c r="BP120" s="1">
        <v>1</v>
      </c>
    </row>
    <row r="121" spans="1:68" x14ac:dyDescent="0.3">
      <c r="A121" s="2" t="s">
        <v>916</v>
      </c>
      <c r="B121" s="17" t="s">
        <v>918</v>
      </c>
      <c r="C121" s="13"/>
      <c r="F121" s="2">
        <v>3.157</v>
      </c>
      <c r="G121" s="2" t="s">
        <v>103</v>
      </c>
      <c r="H121" s="9">
        <v>-1</v>
      </c>
      <c r="I121">
        <v>-1</v>
      </c>
      <c r="J121" t="s">
        <v>1217</v>
      </c>
      <c r="K121" s="2">
        <v>4</v>
      </c>
      <c r="L121" s="25">
        <v>0</v>
      </c>
      <c r="M121">
        <v>0</v>
      </c>
      <c r="N121">
        <v>2</v>
      </c>
      <c r="O121" s="2">
        <v>12.449</v>
      </c>
      <c r="P121" s="2">
        <v>12.449</v>
      </c>
      <c r="Q121" s="5">
        <v>9.1999999999999993</v>
      </c>
      <c r="R121" s="2" t="s">
        <v>486</v>
      </c>
      <c r="T121" s="25">
        <v>0</v>
      </c>
      <c r="U121" s="25"/>
      <c r="V121" s="25"/>
      <c r="W121">
        <v>0</v>
      </c>
      <c r="Z121">
        <v>0</v>
      </c>
      <c r="AC121" s="29">
        <v>3</v>
      </c>
      <c r="AD121">
        <v>28.67</v>
      </c>
      <c r="AE121" s="55">
        <f>O121*P121*Q121</f>
        <v>1425.7939291999999</v>
      </c>
      <c r="AF121" s="57">
        <v>0</v>
      </c>
      <c r="AG121" s="55">
        <v>0</v>
      </c>
      <c r="AH121" s="55">
        <v>603.79999999999995</v>
      </c>
      <c r="AI121" s="52">
        <f>K121*AD121/AE121</f>
        <v>8.0432380620631433E-2</v>
      </c>
      <c r="AJ121" s="51"/>
      <c r="AL121" s="67">
        <f>N121*AD121/AH121</f>
        <v>9.4965220271613124E-2</v>
      </c>
      <c r="AM121" s="28">
        <v>1.6718155361540179</v>
      </c>
      <c r="AN121" s="28">
        <v>2.567271099171704</v>
      </c>
      <c r="AO121" s="28">
        <v>0.89545556301768525</v>
      </c>
      <c r="AP121" s="28">
        <v>0</v>
      </c>
      <c r="AQ121" s="28">
        <v>0.32560167422392738</v>
      </c>
      <c r="AR121" s="28">
        <v>0.5</v>
      </c>
      <c r="AS121" s="28">
        <v>0.17439832577607259</v>
      </c>
      <c r="AT121" s="28">
        <v>0</v>
      </c>
      <c r="AU121" s="25">
        <v>0.82</v>
      </c>
      <c r="AV121" s="25">
        <v>3.44</v>
      </c>
      <c r="AW121" s="25">
        <v>2.62</v>
      </c>
      <c r="AX121" s="25">
        <v>2.680076113722857</v>
      </c>
      <c r="AY121">
        <v>2.6800761137228561</v>
      </c>
      <c r="AZ121">
        <v>6.0370190189344077</v>
      </c>
      <c r="BD121">
        <v>4.0216190310315723E-2</v>
      </c>
      <c r="BG121">
        <v>4.7482610135806562E-2</v>
      </c>
      <c r="BH121">
        <v>8.7698800446122271E-2</v>
      </c>
      <c r="BI121">
        <v>4.3849400223061143E-2</v>
      </c>
      <c r="BJ121">
        <v>0</v>
      </c>
      <c r="BP121" s="2">
        <v>11.6</v>
      </c>
    </row>
    <row r="122" spans="1:68" x14ac:dyDescent="0.3">
      <c r="A122" s="2" t="s">
        <v>917</v>
      </c>
      <c r="B122" s="17" t="s">
        <v>919</v>
      </c>
      <c r="C122" s="13"/>
      <c r="F122" s="2">
        <v>3.1880000000000002</v>
      </c>
      <c r="G122" s="2" t="s">
        <v>103</v>
      </c>
      <c r="H122" s="9">
        <v>-1</v>
      </c>
      <c r="I122">
        <v>-1</v>
      </c>
      <c r="J122"/>
      <c r="K122" s="2">
        <v>4</v>
      </c>
      <c r="L122" s="25">
        <v>0</v>
      </c>
      <c r="M122">
        <v>0</v>
      </c>
      <c r="N122">
        <v>0</v>
      </c>
      <c r="O122" s="2">
        <v>12.449</v>
      </c>
      <c r="P122" s="2">
        <v>12.449</v>
      </c>
      <c r="Q122" s="2">
        <v>8.11</v>
      </c>
      <c r="T122" s="25">
        <v>0</v>
      </c>
      <c r="U122" s="25"/>
      <c r="V122" s="25"/>
      <c r="W122">
        <v>0</v>
      </c>
      <c r="Z122">
        <v>0</v>
      </c>
      <c r="AC122" s="2">
        <v>3</v>
      </c>
      <c r="AD122">
        <v>28.67</v>
      </c>
      <c r="AE122" s="55">
        <f t="shared" si="2"/>
        <v>1256.86834411</v>
      </c>
      <c r="AF122" s="57">
        <v>0</v>
      </c>
      <c r="AG122" s="55">
        <v>0</v>
      </c>
      <c r="AH122" s="55">
        <v>0</v>
      </c>
      <c r="AI122" s="52">
        <f>K122*AD122/AE122</f>
        <v>9.1242651258916035E-2</v>
      </c>
      <c r="AJ122" s="51"/>
      <c r="AM122" s="28">
        <v>1.6718155361540179</v>
      </c>
      <c r="AN122" s="28">
        <v>2.567271099171704</v>
      </c>
      <c r="AO122" s="28">
        <v>0.89545556301768525</v>
      </c>
      <c r="AP122" s="28">
        <v>0</v>
      </c>
      <c r="AQ122" s="28">
        <v>0.32560167422392738</v>
      </c>
      <c r="AR122" s="28">
        <v>0.5</v>
      </c>
      <c r="AS122" s="28">
        <v>0.17439832577607259</v>
      </c>
      <c r="AT122" s="28">
        <v>0</v>
      </c>
      <c r="AU122" s="25">
        <v>0.95</v>
      </c>
      <c r="AV122" s="25">
        <v>3.44</v>
      </c>
      <c r="AW122" s="25">
        <v>2.4900000000000002</v>
      </c>
      <c r="AX122" s="25">
        <v>2.8240385045892098</v>
      </c>
      <c r="AY122">
        <v>2.8240385045892089</v>
      </c>
      <c r="AZ122">
        <v>6.533110796268315</v>
      </c>
      <c r="BD122">
        <v>4.5621325629458018E-2</v>
      </c>
      <c r="BH122">
        <v>9.1242651258916035E-2</v>
      </c>
      <c r="BI122">
        <v>4.5621325629458018E-2</v>
      </c>
      <c r="BJ122">
        <v>0</v>
      </c>
      <c r="BP122" s="2">
        <v>11.72</v>
      </c>
    </row>
    <row r="123" spans="1:68" x14ac:dyDescent="0.3">
      <c r="A123" s="2" t="s">
        <v>917</v>
      </c>
      <c r="B123" s="17" t="s">
        <v>919</v>
      </c>
      <c r="C123" s="13"/>
      <c r="D123" s="2" t="s">
        <v>863</v>
      </c>
      <c r="E123" s="2">
        <v>1.1200000000000001</v>
      </c>
      <c r="F123" s="2">
        <v>3.2040000000000002</v>
      </c>
      <c r="G123" s="2" t="s">
        <v>103</v>
      </c>
      <c r="H123" s="9">
        <v>-1</v>
      </c>
      <c r="I123">
        <v>-1</v>
      </c>
      <c r="J123"/>
      <c r="K123" s="2">
        <v>4</v>
      </c>
      <c r="L123" s="25">
        <v>0</v>
      </c>
      <c r="M123">
        <v>0</v>
      </c>
      <c r="N123">
        <v>0</v>
      </c>
      <c r="O123" s="2">
        <v>12.449</v>
      </c>
      <c r="P123" s="2">
        <v>12.449</v>
      </c>
      <c r="Q123" s="2">
        <v>8.0399999999999991</v>
      </c>
      <c r="T123" s="25">
        <v>0</v>
      </c>
      <c r="U123" s="25"/>
      <c r="V123" s="25"/>
      <c r="W123">
        <v>0</v>
      </c>
      <c r="Z123">
        <v>0</v>
      </c>
      <c r="AC123" s="2">
        <v>3</v>
      </c>
      <c r="AD123">
        <v>28.67</v>
      </c>
      <c r="AE123" s="55">
        <f t="shared" si="2"/>
        <v>1246.0199120399998</v>
      </c>
      <c r="AF123" s="57">
        <v>0</v>
      </c>
      <c r="AG123" s="55">
        <v>0</v>
      </c>
      <c r="AH123" s="55">
        <v>0</v>
      </c>
      <c r="AI123" s="52">
        <f>K123*AD123/AE123</f>
        <v>9.2037052451468801E-2</v>
      </c>
      <c r="AJ123" s="51"/>
      <c r="AM123" s="28">
        <v>1.6718155361540179</v>
      </c>
      <c r="AN123" s="28">
        <v>2.567271099171704</v>
      </c>
      <c r="AO123" s="28">
        <v>0.89545556301768525</v>
      </c>
      <c r="AP123" s="28">
        <v>0</v>
      </c>
      <c r="AQ123" s="28">
        <v>0.32560167422392738</v>
      </c>
      <c r="AR123" s="28">
        <v>0.5</v>
      </c>
      <c r="AS123" s="28">
        <v>0.17439832577607259</v>
      </c>
      <c r="AT123" s="28">
        <v>0</v>
      </c>
      <c r="AU123" s="25">
        <v>0.95</v>
      </c>
      <c r="AV123" s="25">
        <v>3.44</v>
      </c>
      <c r="AW123" s="25">
        <v>2.4900000000000002</v>
      </c>
      <c r="AX123" s="25">
        <v>2.8240385045892098</v>
      </c>
      <c r="AY123">
        <v>2.8240385045892089</v>
      </c>
      <c r="AZ123">
        <v>6.533110796268315</v>
      </c>
      <c r="BD123">
        <v>4.60185262257344E-2</v>
      </c>
      <c r="BH123">
        <v>9.2037052451468801E-2</v>
      </c>
      <c r="BI123">
        <v>4.60185262257344E-2</v>
      </c>
      <c r="BJ123">
        <v>0</v>
      </c>
      <c r="BP123" s="2">
        <v>11.64</v>
      </c>
    </row>
    <row r="124" spans="1:68" x14ac:dyDescent="0.3">
      <c r="A124" s="2" t="s">
        <v>104</v>
      </c>
      <c r="B124" s="13" t="s">
        <v>748</v>
      </c>
      <c r="C124" s="13"/>
      <c r="F124" s="2">
        <v>3</v>
      </c>
      <c r="G124" s="2" t="s">
        <v>111</v>
      </c>
      <c r="H124" s="9" t="s">
        <v>566</v>
      </c>
      <c r="I124" t="s">
        <v>644</v>
      </c>
      <c r="J124"/>
      <c r="L124" s="25">
        <v>4</v>
      </c>
      <c r="M124">
        <v>4</v>
      </c>
      <c r="N124">
        <v>0</v>
      </c>
      <c r="T124" s="25">
        <v>5.452661</v>
      </c>
      <c r="U124" s="25">
        <v>5.4531499999999999</v>
      </c>
      <c r="V124" s="25">
        <v>24.558717999999999</v>
      </c>
      <c r="W124">
        <v>5.44</v>
      </c>
      <c r="X124">
        <v>5.4130000000000003</v>
      </c>
      <c r="Y124">
        <v>23.74</v>
      </c>
      <c r="Z124">
        <v>0</v>
      </c>
      <c r="AD124">
        <v>18</v>
      </c>
      <c r="AE124" s="55">
        <f t="shared" si="2"/>
        <v>0</v>
      </c>
      <c r="AF124" s="57">
        <v>730.23330062098216</v>
      </c>
      <c r="AG124" s="55">
        <v>699.06513280000001</v>
      </c>
      <c r="AH124" s="55">
        <v>0</v>
      </c>
      <c r="AJ124" s="51">
        <v>9.8598625862134762E-2</v>
      </c>
      <c r="AK124" s="52">
        <v>0.1029946948027788</v>
      </c>
      <c r="AM124" s="28">
        <v>2</v>
      </c>
      <c r="AN124" s="28">
        <v>3.2307692307692308</v>
      </c>
      <c r="AO124" s="28">
        <v>2.1538461538461542</v>
      </c>
      <c r="AP124" s="28">
        <v>4.3076923076923066</v>
      </c>
      <c r="AQ124" s="28">
        <v>0.1710526315789474</v>
      </c>
      <c r="AR124" s="28">
        <v>0.27631578947368418</v>
      </c>
      <c r="AS124" s="28">
        <v>0.18421052631578949</v>
      </c>
      <c r="AT124" s="28">
        <v>0.36842105263157893</v>
      </c>
      <c r="AU124" s="25">
        <v>2.02</v>
      </c>
      <c r="AV124" s="25">
        <v>3.44</v>
      </c>
      <c r="AW124" s="25">
        <v>1.42</v>
      </c>
      <c r="AX124" s="25">
        <v>3.0553846153846149</v>
      </c>
      <c r="AY124">
        <v>3.0553846153846149</v>
      </c>
      <c r="AZ124">
        <v>6.5203382676923072</v>
      </c>
      <c r="BA124" s="75">
        <v>0.50518012153204694</v>
      </c>
      <c r="BB124" s="75">
        <v>0.52770382936549109</v>
      </c>
      <c r="BE124">
        <v>4.9299312931067381E-2</v>
      </c>
      <c r="BF124">
        <v>5.1497347401389379E-2</v>
      </c>
      <c r="BH124">
        <v>0.10079666033245679</v>
      </c>
      <c r="BI124">
        <v>5.0398330166228383E-2</v>
      </c>
      <c r="BJ124">
        <v>0.51644197544876902</v>
      </c>
    </row>
    <row r="125" spans="1:68" x14ac:dyDescent="0.3">
      <c r="A125" s="2" t="s">
        <v>69</v>
      </c>
      <c r="B125" s="13" t="s">
        <v>738</v>
      </c>
      <c r="C125" s="13"/>
      <c r="F125" s="2">
        <v>2.8</v>
      </c>
      <c r="G125" s="2" t="s">
        <v>111</v>
      </c>
      <c r="H125" s="9" t="s">
        <v>560</v>
      </c>
      <c r="I125" t="s">
        <v>638</v>
      </c>
      <c r="J125"/>
      <c r="L125" s="25">
        <v>2</v>
      </c>
      <c r="M125">
        <v>4</v>
      </c>
      <c r="N125">
        <v>0</v>
      </c>
      <c r="T125" s="25">
        <v>8.3195821399999996</v>
      </c>
      <c r="U125" s="25">
        <v>8.3195821399999996</v>
      </c>
      <c r="V125" s="25">
        <v>8.2425581700000006</v>
      </c>
      <c r="W125">
        <v>5.5339970000000003</v>
      </c>
      <c r="X125">
        <v>5.4998300000000002</v>
      </c>
      <c r="Y125">
        <v>16.550709999999999</v>
      </c>
      <c r="Z125">
        <v>0</v>
      </c>
      <c r="AC125" s="29">
        <v>1</v>
      </c>
      <c r="AD125">
        <v>12</v>
      </c>
      <c r="AE125" s="55">
        <f t="shared" si="2"/>
        <v>0</v>
      </c>
      <c r="AF125" s="57">
        <v>248.80917443900231</v>
      </c>
      <c r="AG125" s="55">
        <v>503.73811661477208</v>
      </c>
      <c r="AH125" s="55">
        <v>0</v>
      </c>
      <c r="AJ125" s="51">
        <v>9.6459465588893734E-2</v>
      </c>
      <c r="AK125" s="52">
        <v>9.5287607621536111E-2</v>
      </c>
      <c r="AM125" s="28">
        <v>2</v>
      </c>
      <c r="AN125" s="28">
        <v>3.333333333333333</v>
      </c>
      <c r="AO125" s="28">
        <v>2.666666666666667</v>
      </c>
      <c r="AP125" s="28">
        <v>4.666666666666667</v>
      </c>
      <c r="AQ125" s="28">
        <v>0.15789473684210531</v>
      </c>
      <c r="AR125" s="28">
        <v>0.26315789473684209</v>
      </c>
      <c r="AS125" s="28">
        <v>0.2105263157894737</v>
      </c>
      <c r="AT125" s="28">
        <v>0.36842105263157898</v>
      </c>
      <c r="AU125" s="25">
        <v>2.02</v>
      </c>
      <c r="AV125" s="25">
        <v>3.44</v>
      </c>
      <c r="AW125" s="25">
        <v>1.42</v>
      </c>
      <c r="AX125" s="25">
        <v>3.0044444444444438</v>
      </c>
      <c r="AY125">
        <v>3.0044444444444438</v>
      </c>
      <c r="AZ125">
        <v>6.4228342255555546</v>
      </c>
      <c r="BA125" s="75">
        <v>0.52562348257484404</v>
      </c>
      <c r="BB125" s="75">
        <v>0.51923783589802341</v>
      </c>
      <c r="BE125">
        <v>4.8229732794446867E-2</v>
      </c>
      <c r="BF125">
        <v>4.7643803810768062E-2</v>
      </c>
      <c r="BH125">
        <v>9.5873536605214915E-2</v>
      </c>
      <c r="BI125">
        <v>4.7936768302607458E-2</v>
      </c>
      <c r="BJ125">
        <v>0.52243065923643373</v>
      </c>
    </row>
    <row r="126" spans="1:68" x14ac:dyDescent="0.3">
      <c r="A126" s="2" t="s">
        <v>105</v>
      </c>
      <c r="B126" s="13" t="s">
        <v>749</v>
      </c>
      <c r="C126" s="13"/>
      <c r="F126" s="2">
        <v>2.8</v>
      </c>
      <c r="G126" s="2" t="s">
        <v>111</v>
      </c>
      <c r="H126" s="9">
        <v>-1</v>
      </c>
      <c r="I126">
        <v>-1</v>
      </c>
      <c r="J126" t="s">
        <v>1163</v>
      </c>
      <c r="L126" s="25">
        <v>0</v>
      </c>
      <c r="M126">
        <v>0</v>
      </c>
      <c r="N126" s="5">
        <v>2.5</v>
      </c>
      <c r="T126" s="25">
        <v>0</v>
      </c>
      <c r="U126" s="25"/>
      <c r="V126" s="25"/>
      <c r="W126">
        <v>0</v>
      </c>
      <c r="Z126">
        <v>12.495799999999999</v>
      </c>
      <c r="AA126">
        <v>12.495799999999999</v>
      </c>
      <c r="AB126">
        <v>11.2464</v>
      </c>
      <c r="AD126">
        <v>54</v>
      </c>
      <c r="AE126" s="55">
        <f t="shared" si="2"/>
        <v>0</v>
      </c>
      <c r="AF126" s="57">
        <v>0</v>
      </c>
      <c r="AG126" s="55">
        <v>0</v>
      </c>
      <c r="AH126" s="55">
        <v>1756.1</v>
      </c>
      <c r="AJ126" s="51"/>
      <c r="AL126" s="67">
        <f>N126*AD126/AH126</f>
        <v>7.6874893229314969E-2</v>
      </c>
      <c r="AM126" s="28">
        <v>2</v>
      </c>
      <c r="AN126" s="28">
        <v>3.4883720930232558</v>
      </c>
      <c r="AO126" s="28">
        <v>3.441860465116279</v>
      </c>
      <c r="AP126" s="28">
        <v>5.2093023255813957</v>
      </c>
      <c r="AQ126" s="28">
        <v>0.1414473684210526</v>
      </c>
      <c r="AR126" s="28">
        <v>0.24671052631578949</v>
      </c>
      <c r="AS126" s="28">
        <v>0.2434210526315789</v>
      </c>
      <c r="AT126" s="28">
        <v>0.36842105263157898</v>
      </c>
      <c r="AU126" s="25">
        <v>2.02</v>
      </c>
      <c r="AV126" s="25">
        <v>3.44</v>
      </c>
      <c r="AW126" s="25">
        <v>1.42</v>
      </c>
      <c r="AX126" s="25">
        <v>2.927441860465116</v>
      </c>
      <c r="AY126">
        <v>2.9274418604651169</v>
      </c>
      <c r="AZ126">
        <v>6.2754443944186056</v>
      </c>
      <c r="BC126" s="75">
        <v>0</v>
      </c>
      <c r="BG126">
        <v>3.8437446614657478E-2</v>
      </c>
      <c r="BH126">
        <v>7.6874893229314969E-2</v>
      </c>
      <c r="BI126">
        <v>3.8437446614657478E-2</v>
      </c>
      <c r="BJ126">
        <v>0</v>
      </c>
    </row>
    <row r="127" spans="1:68" x14ac:dyDescent="0.3">
      <c r="A127" s="2" t="s">
        <v>106</v>
      </c>
      <c r="B127" s="13" t="s">
        <v>750</v>
      </c>
      <c r="C127" s="13"/>
      <c r="F127" s="2">
        <v>2.9</v>
      </c>
      <c r="G127" s="2" t="s">
        <v>111</v>
      </c>
      <c r="H127" s="9" t="s">
        <v>567</v>
      </c>
      <c r="I127" t="s">
        <v>645</v>
      </c>
      <c r="J127"/>
      <c r="L127" s="25">
        <v>2</v>
      </c>
      <c r="M127">
        <v>1</v>
      </c>
      <c r="N127">
        <v>0</v>
      </c>
      <c r="T127" s="25">
        <v>7.3631707899999999</v>
      </c>
      <c r="U127" s="25">
        <v>7.363170789999999</v>
      </c>
      <c r="V127" s="25">
        <v>7.3631707899999999</v>
      </c>
      <c r="W127">
        <v>10.359069999999999</v>
      </c>
      <c r="X127">
        <v>10.359069999999999</v>
      </c>
      <c r="Y127">
        <v>10.359069999999999</v>
      </c>
      <c r="Z127">
        <v>0</v>
      </c>
      <c r="AD127">
        <v>14</v>
      </c>
      <c r="AE127" s="55">
        <f t="shared" si="2"/>
        <v>0</v>
      </c>
      <c r="AF127" s="57">
        <v>282.27968527629582</v>
      </c>
      <c r="AG127" s="55">
        <v>1111.635233296287</v>
      </c>
      <c r="AH127" s="55">
        <v>0</v>
      </c>
      <c r="AJ127" s="51">
        <v>9.9192401934958777E-2</v>
      </c>
      <c r="AK127" s="52">
        <v>1.2594059256727909E-2</v>
      </c>
      <c r="AM127" s="28">
        <v>2</v>
      </c>
      <c r="AN127" s="28">
        <v>3.0909090909090908</v>
      </c>
      <c r="AO127" s="28">
        <v>2.1818181818181821</v>
      </c>
      <c r="AP127" s="28">
        <v>2.545454545454545</v>
      </c>
      <c r="AQ127" s="28">
        <v>0.20370370370370369</v>
      </c>
      <c r="AR127" s="28">
        <v>0.31481481481481483</v>
      </c>
      <c r="AS127" s="28">
        <v>0.22222222222222221</v>
      </c>
      <c r="AT127" s="28">
        <v>0.25925925925925919</v>
      </c>
      <c r="AU127" s="25">
        <v>1.54</v>
      </c>
      <c r="AV127" s="25">
        <v>3.44</v>
      </c>
      <c r="AW127" s="25">
        <v>1.9</v>
      </c>
      <c r="AX127" s="25">
        <v>2.836363636363636</v>
      </c>
      <c r="AY127">
        <v>2.836363636363636</v>
      </c>
      <c r="AZ127">
        <v>6.1735094709090914</v>
      </c>
      <c r="BA127" s="75">
        <v>0.53518414174009155</v>
      </c>
      <c r="BE127">
        <v>4.9596200967479388E-2</v>
      </c>
      <c r="BF127">
        <v>6.2970296283639581E-3</v>
      </c>
      <c r="BH127">
        <v>5.5893230595843342E-2</v>
      </c>
      <c r="BI127">
        <v>2.7946615297921671E-2</v>
      </c>
      <c r="BJ127">
        <v>0.53518414174009155</v>
      </c>
    </row>
    <row r="128" spans="1:68" x14ac:dyDescent="0.3">
      <c r="A128" s="2" t="s">
        <v>107</v>
      </c>
      <c r="B128" s="13" t="s">
        <v>727</v>
      </c>
      <c r="C128" s="13"/>
      <c r="F128" s="2">
        <v>3.1</v>
      </c>
      <c r="G128" s="2" t="s">
        <v>111</v>
      </c>
      <c r="H128" s="9" t="s">
        <v>555</v>
      </c>
      <c r="I128" t="s">
        <v>632</v>
      </c>
      <c r="J128"/>
      <c r="L128" s="25">
        <v>1</v>
      </c>
      <c r="M128">
        <v>4</v>
      </c>
      <c r="N128">
        <v>0</v>
      </c>
      <c r="T128" s="25">
        <v>3.86469438</v>
      </c>
      <c r="U128" s="25">
        <v>3.86469438</v>
      </c>
      <c r="V128" s="25">
        <v>16.978874730000001</v>
      </c>
      <c r="W128">
        <v>32.83</v>
      </c>
      <c r="X128">
        <v>5.4109999999999996</v>
      </c>
      <c r="Y128">
        <v>5.4480000000000004</v>
      </c>
      <c r="Z128">
        <v>0</v>
      </c>
      <c r="AD128">
        <v>24</v>
      </c>
      <c r="AE128" s="55">
        <f t="shared" si="2"/>
        <v>0</v>
      </c>
      <c r="AF128" s="57">
        <v>251.01098912285789</v>
      </c>
      <c r="AG128" s="55">
        <v>967.79977224000004</v>
      </c>
      <c r="AH128" s="55">
        <v>0</v>
      </c>
      <c r="AJ128" s="51">
        <v>9.5613343797681868E-2</v>
      </c>
      <c r="AK128" s="52">
        <v>9.919407170122109E-2</v>
      </c>
      <c r="AM128" s="28">
        <v>2</v>
      </c>
      <c r="AN128" s="28">
        <v>3.1578947368421049</v>
      </c>
      <c r="AO128" s="28">
        <v>2.4210526315789469</v>
      </c>
      <c r="AP128" s="28">
        <v>2.947368421052631</v>
      </c>
      <c r="AQ128" s="28">
        <v>0.19</v>
      </c>
      <c r="AR128" s="28">
        <v>0.3</v>
      </c>
      <c r="AS128" s="28">
        <v>0.23</v>
      </c>
      <c r="AT128" s="28">
        <v>0.28000000000000003</v>
      </c>
      <c r="AU128" s="25">
        <v>1.54</v>
      </c>
      <c r="AV128" s="25">
        <v>3.44</v>
      </c>
      <c r="AW128" s="25">
        <v>1.9</v>
      </c>
      <c r="AX128" s="25">
        <v>2.8410526315789468</v>
      </c>
      <c r="AY128">
        <v>2.8410526315789468</v>
      </c>
      <c r="AZ128">
        <v>6.1729587136842099</v>
      </c>
      <c r="BA128" s="75">
        <v>0.52818907539878324</v>
      </c>
      <c r="BB128" s="75">
        <v>0.54796980145127927</v>
      </c>
      <c r="BE128">
        <v>4.7806671898840941E-2</v>
      </c>
      <c r="BF128">
        <v>4.9597035850610538E-2</v>
      </c>
      <c r="BH128">
        <v>9.7403707749451479E-2</v>
      </c>
      <c r="BI128">
        <v>4.870185387472574E-2</v>
      </c>
      <c r="BJ128">
        <v>0.53807943842503125</v>
      </c>
    </row>
    <row r="129" spans="1:68" x14ac:dyDescent="0.3">
      <c r="A129" s="2" t="s">
        <v>108</v>
      </c>
      <c r="B129" s="13" t="s">
        <v>751</v>
      </c>
      <c r="C129" s="13"/>
      <c r="F129" s="2">
        <v>3.1</v>
      </c>
      <c r="G129" s="2" t="s">
        <v>111</v>
      </c>
      <c r="H129" s="9" t="s">
        <v>568</v>
      </c>
      <c r="I129" t="s">
        <v>646</v>
      </c>
      <c r="J129"/>
      <c r="L129" s="25">
        <v>1</v>
      </c>
      <c r="M129">
        <v>4</v>
      </c>
      <c r="N129">
        <v>0</v>
      </c>
      <c r="T129" s="25">
        <v>12.951407789999999</v>
      </c>
      <c r="U129" s="25">
        <v>12.951407789999999</v>
      </c>
      <c r="V129" s="25">
        <v>12.951407789999999</v>
      </c>
      <c r="W129">
        <v>5.431</v>
      </c>
      <c r="X129">
        <v>5.3890000000000002</v>
      </c>
      <c r="Y129">
        <v>25.049990000000001</v>
      </c>
      <c r="Z129">
        <v>0</v>
      </c>
      <c r="AD129">
        <v>18</v>
      </c>
      <c r="AE129" s="55">
        <f t="shared" si="2"/>
        <v>0</v>
      </c>
      <c r="AF129" s="57">
        <v>189.23096942123021</v>
      </c>
      <c r="AG129" s="55">
        <v>733.15456527341007</v>
      </c>
      <c r="AH129" s="55">
        <v>0</v>
      </c>
      <c r="AJ129" s="51">
        <v>9.5121850588482687E-2</v>
      </c>
      <c r="AK129" s="52">
        <v>9.820575825392229E-2</v>
      </c>
      <c r="AM129" s="28">
        <v>1.928571428571429</v>
      </c>
      <c r="AN129" s="28">
        <v>3.214285714285714</v>
      </c>
      <c r="AO129" s="28">
        <v>2.5714285714285721</v>
      </c>
      <c r="AP129" s="28">
        <v>3</v>
      </c>
      <c r="AQ129" s="28">
        <v>0.18</v>
      </c>
      <c r="AR129" s="28">
        <v>0.3</v>
      </c>
      <c r="AS129" s="28">
        <v>0.24</v>
      </c>
      <c r="AT129" s="28">
        <v>0.28000000000000003</v>
      </c>
      <c r="AU129" s="25">
        <v>1.54</v>
      </c>
      <c r="AV129" s="25">
        <v>3.44</v>
      </c>
      <c r="AW129" s="25">
        <v>1.9</v>
      </c>
      <c r="AX129" s="25">
        <v>2.8685714285714292</v>
      </c>
      <c r="AY129">
        <v>2.8685714285714292</v>
      </c>
      <c r="AZ129">
        <v>6.249142824642858</v>
      </c>
      <c r="BA129" s="75">
        <v>0.5245372795477049</v>
      </c>
      <c r="BB129" s="75">
        <v>0</v>
      </c>
      <c r="BE129">
        <v>4.756092529424135E-2</v>
      </c>
      <c r="BF129">
        <v>4.9102879126961152E-2</v>
      </c>
      <c r="BH129">
        <v>9.6663804421202482E-2</v>
      </c>
      <c r="BI129">
        <v>4.8331902210601248E-2</v>
      </c>
      <c r="BJ129">
        <v>0.26226863977385251</v>
      </c>
    </row>
    <row r="130" spans="1:68" x14ac:dyDescent="0.3">
      <c r="A130" s="2" t="s">
        <v>109</v>
      </c>
      <c r="B130" s="13" t="s">
        <v>752</v>
      </c>
      <c r="C130" s="13"/>
      <c r="F130" s="2">
        <v>3</v>
      </c>
      <c r="G130" s="2" t="s">
        <v>111</v>
      </c>
      <c r="H130" s="9" t="s">
        <v>569</v>
      </c>
      <c r="I130" t="s">
        <v>647</v>
      </c>
      <c r="J130"/>
      <c r="L130" s="25">
        <v>16</v>
      </c>
      <c r="M130">
        <v>16</v>
      </c>
      <c r="N130">
        <v>0</v>
      </c>
      <c r="T130" s="25">
        <v>22.855297</v>
      </c>
      <c r="U130" s="25">
        <v>5.6559619999999997</v>
      </c>
      <c r="V130" s="25">
        <v>17.48922452</v>
      </c>
      <c r="W130">
        <v>17.24399</v>
      </c>
      <c r="X130">
        <v>22.428989999999999</v>
      </c>
      <c r="Y130">
        <v>5.5860000000000003</v>
      </c>
      <c r="Z130">
        <v>0</v>
      </c>
      <c r="AD130">
        <v>12</v>
      </c>
      <c r="AE130" s="55">
        <f t="shared" si="2"/>
        <v>0</v>
      </c>
      <c r="AF130" s="57">
        <v>2260.7115007974689</v>
      </c>
      <c r="AG130" s="55">
        <v>2160.393128160722</v>
      </c>
      <c r="AH130" s="55">
        <v>0</v>
      </c>
      <c r="AJ130" s="51">
        <v>8.4929014574514128E-2</v>
      </c>
      <c r="AK130" s="52">
        <v>8.8872713719220939E-2</v>
      </c>
      <c r="AM130" s="28">
        <v>1.8888888888888891</v>
      </c>
      <c r="AN130" s="28">
        <v>3.333333333333333</v>
      </c>
      <c r="AO130" s="28">
        <v>2.7777777777777781</v>
      </c>
      <c r="AP130" s="28">
        <v>3.1111111111111112</v>
      </c>
      <c r="AQ130" s="28">
        <v>0.17</v>
      </c>
      <c r="AR130" s="28">
        <v>0.3</v>
      </c>
      <c r="AS130" s="28">
        <v>0.25</v>
      </c>
      <c r="AT130" s="28">
        <v>0.28000000000000003</v>
      </c>
      <c r="AU130" s="25">
        <v>2.02</v>
      </c>
      <c r="AV130" s="25">
        <v>3.44</v>
      </c>
      <c r="AW130" s="25">
        <v>1.42</v>
      </c>
      <c r="AX130" s="25">
        <v>2.9822222222222221</v>
      </c>
      <c r="AY130">
        <v>2.9822222222222221</v>
      </c>
      <c r="AZ130">
        <v>6.3761376700000003</v>
      </c>
      <c r="BA130" s="75">
        <v>0.46231169000880379</v>
      </c>
      <c r="BB130" s="75">
        <v>0.48377924412573098</v>
      </c>
      <c r="BE130">
        <v>4.2464507287257078E-2</v>
      </c>
      <c r="BF130">
        <v>4.4436356859610462E-2</v>
      </c>
      <c r="BH130">
        <v>8.690086414686754E-2</v>
      </c>
      <c r="BI130">
        <v>4.345043207343377E-2</v>
      </c>
      <c r="BJ130">
        <v>0.47304546706726741</v>
      </c>
    </row>
    <row r="131" spans="1:68" x14ac:dyDescent="0.3">
      <c r="A131" s="2" t="s">
        <v>110</v>
      </c>
      <c r="B131" s="13" t="s">
        <v>753</v>
      </c>
      <c r="C131" s="13"/>
      <c r="F131" s="2">
        <v>3.3</v>
      </c>
      <c r="G131" s="2" t="s">
        <v>111</v>
      </c>
      <c r="H131" s="9" t="s">
        <v>570</v>
      </c>
      <c r="I131" t="s">
        <v>648</v>
      </c>
      <c r="J131"/>
      <c r="L131" s="25">
        <v>1</v>
      </c>
      <c r="M131">
        <v>1</v>
      </c>
      <c r="N131">
        <v>0</v>
      </c>
      <c r="T131" s="25">
        <v>20.551678089999999</v>
      </c>
      <c r="U131" s="25">
        <v>20.551678089999999</v>
      </c>
      <c r="V131" s="25">
        <v>20.551678089999999</v>
      </c>
      <c r="W131">
        <v>41.856999999999999</v>
      </c>
      <c r="X131">
        <v>5.4550999999999998</v>
      </c>
      <c r="Y131">
        <v>5.468</v>
      </c>
      <c r="Z131">
        <v>0</v>
      </c>
      <c r="AD131">
        <v>30</v>
      </c>
      <c r="AE131" s="55">
        <f t="shared" ref="AE131:AE194" si="6">O131*P131*Q131</f>
        <v>0</v>
      </c>
      <c r="AF131" s="57">
        <v>309.59189648929049</v>
      </c>
      <c r="AG131" s="55">
        <v>1248.5309719876</v>
      </c>
      <c r="AH131" s="55">
        <v>0</v>
      </c>
      <c r="AJ131" s="51">
        <v>9.6901761125513727E-2</v>
      </c>
      <c r="AK131" s="52">
        <v>2.4028238524384762E-2</v>
      </c>
      <c r="AM131" s="28">
        <v>2</v>
      </c>
      <c r="AN131" s="28">
        <v>3</v>
      </c>
      <c r="AO131" s="28">
        <v>2</v>
      </c>
      <c r="AP131" s="28">
        <v>2.333333333333333</v>
      </c>
      <c r="AQ131" s="28">
        <v>0.2142857142857143</v>
      </c>
      <c r="AR131" s="28">
        <v>0.3214285714285714</v>
      </c>
      <c r="AS131" s="28">
        <v>0.2142857142857143</v>
      </c>
      <c r="AT131" s="28">
        <v>0.25</v>
      </c>
      <c r="AU131" s="25">
        <v>0.89</v>
      </c>
      <c r="AV131" s="25">
        <v>3.44</v>
      </c>
      <c r="AW131" s="25">
        <v>2.5499999999999998</v>
      </c>
      <c r="AX131" s="25">
        <v>2.780416666666667</v>
      </c>
      <c r="AY131">
        <v>2.780416666666667</v>
      </c>
      <c r="AZ131">
        <v>6.0847889087500002</v>
      </c>
      <c r="BA131" s="75">
        <v>0.55979201272496915</v>
      </c>
      <c r="BE131">
        <v>4.8450880562756857E-2</v>
      </c>
      <c r="BF131">
        <v>1.2014119262192381E-2</v>
      </c>
      <c r="BH131">
        <v>6.0464999824949253E-2</v>
      </c>
      <c r="BI131">
        <v>3.023249991247462E-2</v>
      </c>
      <c r="BJ131">
        <v>0.55979201272496915</v>
      </c>
    </row>
    <row r="132" spans="1:68" x14ac:dyDescent="0.3">
      <c r="A132" s="2" t="s">
        <v>109</v>
      </c>
      <c r="B132" s="13" t="s">
        <v>752</v>
      </c>
      <c r="C132" s="13"/>
      <c r="F132" s="2">
        <v>2.64</v>
      </c>
      <c r="G132" s="2" t="s">
        <v>114</v>
      </c>
      <c r="H132" s="9" t="s">
        <v>569</v>
      </c>
      <c r="I132" t="s">
        <v>647</v>
      </c>
      <c r="J132"/>
      <c r="L132" s="25">
        <v>16</v>
      </c>
      <c r="M132">
        <v>16</v>
      </c>
      <c r="N132">
        <v>0</v>
      </c>
      <c r="T132" s="25">
        <v>22.855297</v>
      </c>
      <c r="U132" s="25">
        <v>5.6559619999999997</v>
      </c>
      <c r="V132" s="25">
        <v>17.48922452</v>
      </c>
      <c r="W132">
        <v>17.24399</v>
      </c>
      <c r="X132">
        <v>22.428989999999999</v>
      </c>
      <c r="Y132">
        <v>5.5860000000000003</v>
      </c>
      <c r="Z132">
        <v>0</v>
      </c>
      <c r="AD132">
        <v>12</v>
      </c>
      <c r="AE132" s="55">
        <f t="shared" si="6"/>
        <v>0</v>
      </c>
      <c r="AF132" s="57">
        <v>2260.7115007974689</v>
      </c>
      <c r="AG132" s="55">
        <v>2160.393128160722</v>
      </c>
      <c r="AH132" s="55">
        <v>0</v>
      </c>
      <c r="AJ132" s="51">
        <v>8.4929014574514128E-2</v>
      </c>
      <c r="AK132" s="52">
        <v>8.8872713719220939E-2</v>
      </c>
      <c r="AM132" s="28">
        <v>1.8888888888888891</v>
      </c>
      <c r="AN132" s="28">
        <v>3.333333333333333</v>
      </c>
      <c r="AO132" s="28">
        <v>2.7777777777777781</v>
      </c>
      <c r="AP132" s="28">
        <v>3.1111111111111112</v>
      </c>
      <c r="AQ132" s="28">
        <v>0.17</v>
      </c>
      <c r="AR132" s="28">
        <v>0.3</v>
      </c>
      <c r="AS132" s="28">
        <v>0.25</v>
      </c>
      <c r="AT132" s="28">
        <v>0.28000000000000003</v>
      </c>
      <c r="AU132" s="25">
        <v>2.02</v>
      </c>
      <c r="AV132" s="25">
        <v>3.44</v>
      </c>
      <c r="AW132" s="25">
        <v>1.42</v>
      </c>
      <c r="AX132" s="25">
        <v>2.9822222222222221</v>
      </c>
      <c r="AY132">
        <v>2.9822222222222221</v>
      </c>
      <c r="AZ132">
        <v>6.3761376700000003</v>
      </c>
      <c r="BA132" s="75">
        <v>0.46231169000880379</v>
      </c>
      <c r="BB132" s="75">
        <v>0.48377924412573098</v>
      </c>
      <c r="BE132">
        <v>4.2464507287257078E-2</v>
      </c>
      <c r="BF132">
        <v>4.4436356859610462E-2</v>
      </c>
      <c r="BH132">
        <v>8.690086414686754E-2</v>
      </c>
      <c r="BI132">
        <v>4.345043207343377E-2</v>
      </c>
      <c r="BJ132">
        <v>0.47304546706726741</v>
      </c>
      <c r="BP132" s="2">
        <v>2.2999999999999998</v>
      </c>
    </row>
    <row r="133" spans="1:68" x14ac:dyDescent="0.3">
      <c r="A133" s="2" t="s">
        <v>25</v>
      </c>
      <c r="B133" s="13" t="s">
        <v>708</v>
      </c>
      <c r="C133" s="13"/>
      <c r="F133" s="2">
        <v>2.88</v>
      </c>
      <c r="G133" s="2" t="s">
        <v>115</v>
      </c>
      <c r="H133" s="9" t="s">
        <v>541</v>
      </c>
      <c r="I133" t="s">
        <v>621</v>
      </c>
      <c r="J133"/>
      <c r="L133" s="25">
        <v>1</v>
      </c>
      <c r="M133">
        <v>4</v>
      </c>
      <c r="N133">
        <v>0</v>
      </c>
      <c r="O133" s="2">
        <v>5.4960000000000004</v>
      </c>
      <c r="P133" s="2">
        <v>5.4960000000000004</v>
      </c>
      <c r="Q133" s="2">
        <v>25.55</v>
      </c>
      <c r="R133" s="2" t="s">
        <v>450</v>
      </c>
      <c r="T133" s="25">
        <v>12.868820120000001</v>
      </c>
      <c r="U133" s="25">
        <v>12.868820120000001</v>
      </c>
      <c r="V133" s="25">
        <v>12.868820120000001</v>
      </c>
      <c r="W133">
        <v>5.5453000000000001</v>
      </c>
      <c r="X133">
        <v>5.5453000000000001</v>
      </c>
      <c r="Y133">
        <v>25.686699999999998</v>
      </c>
      <c r="Z133">
        <v>0</v>
      </c>
      <c r="AD133">
        <v>18</v>
      </c>
      <c r="AE133" s="55">
        <f t="shared" si="6"/>
        <v>771.76370880000013</v>
      </c>
      <c r="AF133" s="57">
        <v>197.4403766939285</v>
      </c>
      <c r="AG133" s="55">
        <v>789.87506903020289</v>
      </c>
      <c r="AH133" s="55">
        <v>0</v>
      </c>
      <c r="AJ133" s="51">
        <v>9.1166762854710051E-2</v>
      </c>
      <c r="AK133" s="52">
        <v>9.1153655588092616E-2</v>
      </c>
      <c r="AM133" s="28">
        <v>1.857142857142857</v>
      </c>
      <c r="AN133" s="28">
        <v>3.1428571428571428</v>
      </c>
      <c r="AO133" s="28">
        <v>2.714285714285714</v>
      </c>
      <c r="AP133" s="28">
        <v>3</v>
      </c>
      <c r="AQ133" s="28">
        <v>0.17333333333333331</v>
      </c>
      <c r="AR133" s="28">
        <v>0.29333333333333328</v>
      </c>
      <c r="AS133" s="28">
        <v>0.25333333333333341</v>
      </c>
      <c r="AT133" s="28">
        <v>0.28000000000000003</v>
      </c>
      <c r="AU133" s="25">
        <v>1.6</v>
      </c>
      <c r="AV133" s="25">
        <v>3.44</v>
      </c>
      <c r="AW133" s="25">
        <v>1.84</v>
      </c>
      <c r="AX133" s="25">
        <v>2.895</v>
      </c>
      <c r="AY133">
        <v>2.895</v>
      </c>
      <c r="AZ133">
        <v>6.260504073571429</v>
      </c>
      <c r="BA133" s="75">
        <v>0.51995616258071919</v>
      </c>
      <c r="BB133" s="75">
        <v>0.51988140722208986</v>
      </c>
      <c r="BE133">
        <v>4.5583381427355033E-2</v>
      </c>
      <c r="BF133">
        <v>4.5576827794046308E-2</v>
      </c>
      <c r="BH133">
        <v>9.1160209221401334E-2</v>
      </c>
      <c r="BI133">
        <v>4.5580104610700667E-2</v>
      </c>
      <c r="BJ133">
        <v>0.51991878490140453</v>
      </c>
    </row>
    <row r="134" spans="1:68" x14ac:dyDescent="0.3">
      <c r="A134" s="2" t="s">
        <v>8</v>
      </c>
      <c r="B134" s="13" t="s">
        <v>694</v>
      </c>
      <c r="C134" s="13"/>
      <c r="D134" s="2" t="s">
        <v>676</v>
      </c>
      <c r="E134" s="2" t="s">
        <v>1067</v>
      </c>
      <c r="F134" s="2">
        <v>2.73</v>
      </c>
      <c r="G134" s="2" t="s">
        <v>115</v>
      </c>
      <c r="H134" s="9" t="s">
        <v>530</v>
      </c>
      <c r="I134" t="s">
        <v>612</v>
      </c>
      <c r="J134"/>
      <c r="L134" s="25">
        <v>30</v>
      </c>
      <c r="M134">
        <v>4</v>
      </c>
      <c r="N134">
        <v>0</v>
      </c>
      <c r="Q134"/>
      <c r="T134" s="25">
        <v>10.59112378</v>
      </c>
      <c r="U134" s="25">
        <v>10.784736629999999</v>
      </c>
      <c r="V134" s="25">
        <v>10.486176179999999</v>
      </c>
      <c r="W134">
        <v>3.73</v>
      </c>
      <c r="X134">
        <v>3.73</v>
      </c>
      <c r="Y134">
        <v>9.3699999999999992</v>
      </c>
      <c r="Z134">
        <v>0</v>
      </c>
      <c r="AD134">
        <v>4</v>
      </c>
      <c r="AE134" s="55">
        <f t="shared" si="6"/>
        <v>0</v>
      </c>
      <c r="AF134" s="57">
        <v>1182.741260108548</v>
      </c>
      <c r="AG134" s="55">
        <v>130.36387300000001</v>
      </c>
      <c r="AH134" s="55">
        <v>0</v>
      </c>
      <c r="AJ134" s="51">
        <v>0.1014592151701775</v>
      </c>
      <c r="AK134" s="52">
        <v>0.1227333894874388</v>
      </c>
      <c r="AM134" s="28">
        <v>2</v>
      </c>
      <c r="AN134" s="28">
        <v>2.666666666666667</v>
      </c>
      <c r="AO134" s="28">
        <v>0.66666666666666663</v>
      </c>
      <c r="AP134" s="28">
        <v>0</v>
      </c>
      <c r="AQ134" s="28">
        <v>0.375</v>
      </c>
      <c r="AR134" s="28">
        <v>0.5</v>
      </c>
      <c r="AS134" s="28">
        <v>0.125</v>
      </c>
      <c r="AT134" s="28">
        <v>0</v>
      </c>
      <c r="AU134" s="25">
        <v>1.54</v>
      </c>
      <c r="AV134" s="25">
        <v>3.44</v>
      </c>
      <c r="AW134" s="25">
        <v>1.9</v>
      </c>
      <c r="AX134" s="25">
        <v>2.8066666666666671</v>
      </c>
      <c r="AY134">
        <v>2.8066666666666662</v>
      </c>
      <c r="AZ134">
        <v>6.1769976</v>
      </c>
      <c r="BA134" s="75">
        <v>0.46900407026869628</v>
      </c>
      <c r="BB134" s="75">
        <v>0.56734579634715776</v>
      </c>
      <c r="BE134">
        <v>5.072960758508873E-2</v>
      </c>
      <c r="BF134">
        <v>6.136669474371937E-2</v>
      </c>
      <c r="BH134">
        <v>0.1120963023288082</v>
      </c>
      <c r="BI134">
        <v>5.604815116440405E-2</v>
      </c>
      <c r="BJ134">
        <v>0.51817493330792708</v>
      </c>
    </row>
    <row r="135" spans="1:68" x14ac:dyDescent="0.3">
      <c r="A135" s="2" t="s">
        <v>19</v>
      </c>
      <c r="B135" s="13" t="s">
        <v>705</v>
      </c>
      <c r="C135" s="13"/>
      <c r="F135" s="2">
        <v>3.46</v>
      </c>
      <c r="G135" s="2" t="s">
        <v>116</v>
      </c>
      <c r="H135" s="9" t="s">
        <v>538</v>
      </c>
      <c r="I135">
        <v>-1</v>
      </c>
      <c r="J135"/>
      <c r="L135" s="25">
        <v>1</v>
      </c>
      <c r="M135">
        <v>0</v>
      </c>
      <c r="N135">
        <v>0</v>
      </c>
      <c r="R135" s="2" t="s">
        <v>450</v>
      </c>
      <c r="T135" s="25">
        <v>13.83861243</v>
      </c>
      <c r="U135" s="25">
        <v>13.83861243</v>
      </c>
      <c r="V135" s="25">
        <v>13.83861243</v>
      </c>
      <c r="W135">
        <v>0</v>
      </c>
      <c r="Z135">
        <v>0</v>
      </c>
      <c r="AD135">
        <v>18</v>
      </c>
      <c r="AE135" s="55">
        <f t="shared" si="6"/>
        <v>0</v>
      </c>
      <c r="AF135" s="57">
        <v>208.2630581553295</v>
      </c>
      <c r="AG135" s="55">
        <v>0</v>
      </c>
      <c r="AH135" s="55">
        <v>0</v>
      </c>
      <c r="AJ135" s="51">
        <v>8.6429154356194082E-2</v>
      </c>
      <c r="AM135" s="28">
        <v>1.857142857142857</v>
      </c>
      <c r="AN135" s="28">
        <v>3</v>
      </c>
      <c r="AO135" s="28">
        <v>2</v>
      </c>
      <c r="AP135" s="28">
        <v>2</v>
      </c>
      <c r="AQ135" s="28">
        <v>0.20967741935483869</v>
      </c>
      <c r="AR135" s="28">
        <v>0.33870967741935482</v>
      </c>
      <c r="AS135" s="28">
        <v>0.22580645161290319</v>
      </c>
      <c r="AT135" s="28">
        <v>0.22580645161290319</v>
      </c>
      <c r="AU135" s="25">
        <v>1</v>
      </c>
      <c r="AV135" s="25">
        <v>3.44</v>
      </c>
      <c r="AW135" s="25">
        <v>2.44</v>
      </c>
      <c r="AX135" s="25">
        <v>2.8</v>
      </c>
      <c r="AY135">
        <v>2.8</v>
      </c>
      <c r="AZ135">
        <v>6.2020864082142868</v>
      </c>
      <c r="BA135" s="75">
        <v>0.47541563854575991</v>
      </c>
      <c r="BE135">
        <v>4.3214577178097048E-2</v>
      </c>
      <c r="BH135">
        <v>8.6429154356194082E-2</v>
      </c>
      <c r="BI135">
        <v>4.3214577178097048E-2</v>
      </c>
      <c r="BJ135">
        <v>0.47541563854575991</v>
      </c>
    </row>
    <row r="136" spans="1:68" x14ac:dyDescent="0.3">
      <c r="A136" s="2" t="s">
        <v>20</v>
      </c>
      <c r="B136" s="13" t="s">
        <v>706</v>
      </c>
      <c r="C136" s="13"/>
      <c r="F136" s="2">
        <v>3.43</v>
      </c>
      <c r="G136" s="2" t="s">
        <v>116</v>
      </c>
      <c r="H136" s="9" t="s">
        <v>539</v>
      </c>
      <c r="I136" t="s">
        <v>619</v>
      </c>
      <c r="J136"/>
      <c r="L136" s="25">
        <v>2</v>
      </c>
      <c r="M136">
        <v>4</v>
      </c>
      <c r="N136">
        <v>0</v>
      </c>
      <c r="R136" s="2" t="s">
        <v>450</v>
      </c>
      <c r="T136" s="25">
        <v>13.01244535</v>
      </c>
      <c r="U136" s="25">
        <v>13.01244535</v>
      </c>
      <c r="V136" s="25">
        <v>5.6884839999999999</v>
      </c>
      <c r="W136">
        <v>5.5060000000000002</v>
      </c>
      <c r="X136">
        <v>5.5060000000000002</v>
      </c>
      <c r="Y136">
        <v>25</v>
      </c>
      <c r="Z136">
        <v>0</v>
      </c>
      <c r="AD136">
        <v>18</v>
      </c>
      <c r="AE136" s="55">
        <f t="shared" si="6"/>
        <v>0</v>
      </c>
      <c r="AF136" s="57">
        <v>408.08048566890238</v>
      </c>
      <c r="AG136" s="55">
        <v>757.90090000000009</v>
      </c>
      <c r="AH136" s="55">
        <v>0</v>
      </c>
      <c r="AJ136" s="51">
        <v>8.8217891480379992E-2</v>
      </c>
      <c r="AK136" s="52">
        <v>9.4999227471559922E-2</v>
      </c>
      <c r="AM136" s="28">
        <v>1.857142857142857</v>
      </c>
      <c r="AN136" s="28">
        <v>3</v>
      </c>
      <c r="AO136" s="28">
        <v>2</v>
      </c>
      <c r="AP136" s="28">
        <v>2</v>
      </c>
      <c r="AQ136" s="28">
        <v>0.20967741935483869</v>
      </c>
      <c r="AR136" s="28">
        <v>0.33870967741935482</v>
      </c>
      <c r="AS136" s="28">
        <v>0.22580645161290319</v>
      </c>
      <c r="AT136" s="28">
        <v>0.22580645161290319</v>
      </c>
      <c r="AU136" s="25">
        <v>0.95</v>
      </c>
      <c r="AV136" s="25">
        <v>3.44</v>
      </c>
      <c r="AW136" s="25">
        <v>2.4900000000000002</v>
      </c>
      <c r="AX136" s="25">
        <v>2.7964285714285722</v>
      </c>
      <c r="AY136">
        <v>2.7964285714285722</v>
      </c>
      <c r="AZ136">
        <v>6.1881302289285713</v>
      </c>
      <c r="BA136" s="75">
        <v>0.50205645606923555</v>
      </c>
      <c r="BB136" s="75">
        <v>0.54064968764634491</v>
      </c>
      <c r="BE136">
        <v>4.4108945740190003E-2</v>
      </c>
      <c r="BF136">
        <v>4.7499613735779961E-2</v>
      </c>
      <c r="BH136">
        <v>9.1608559475969964E-2</v>
      </c>
      <c r="BI136">
        <v>4.5804279737984982E-2</v>
      </c>
      <c r="BJ136">
        <v>0.52135307185779023</v>
      </c>
    </row>
    <row r="137" spans="1:68" x14ac:dyDescent="0.3">
      <c r="A137" s="2" t="s">
        <v>21</v>
      </c>
      <c r="B137" s="13" t="s">
        <v>707</v>
      </c>
      <c r="C137" s="13"/>
      <c r="F137" s="2">
        <v>3.3</v>
      </c>
      <c r="G137" s="2" t="s">
        <v>116</v>
      </c>
      <c r="H137" s="9" t="s">
        <v>540</v>
      </c>
      <c r="I137" t="s">
        <v>620</v>
      </c>
      <c r="J137"/>
      <c r="L137" s="25">
        <v>2</v>
      </c>
      <c r="M137">
        <v>2</v>
      </c>
      <c r="N137">
        <v>0</v>
      </c>
      <c r="R137" s="2" t="s">
        <v>440</v>
      </c>
      <c r="T137" s="25">
        <v>13.052871550000001</v>
      </c>
      <c r="U137" s="25">
        <v>13.052871550000001</v>
      </c>
      <c r="V137" s="25">
        <v>5.7602650000000004</v>
      </c>
      <c r="W137">
        <v>3.9390000000000001</v>
      </c>
      <c r="X137">
        <v>3.9390000000000001</v>
      </c>
      <c r="Y137">
        <v>25.636399999999998</v>
      </c>
      <c r="Z137">
        <v>0</v>
      </c>
      <c r="AD137">
        <v>18</v>
      </c>
      <c r="AE137" s="55">
        <f t="shared" si="6"/>
        <v>0</v>
      </c>
      <c r="AF137" s="57">
        <v>419.87909289623292</v>
      </c>
      <c r="AG137" s="55">
        <v>397.76722984439999</v>
      </c>
      <c r="AH137" s="55">
        <v>0</v>
      </c>
      <c r="AJ137" s="51">
        <v>8.5738967738736363E-2</v>
      </c>
      <c r="AK137" s="52">
        <v>9.0505193235960166E-2</v>
      </c>
      <c r="AM137" s="28">
        <v>1.857142857142857</v>
      </c>
      <c r="AN137" s="28">
        <v>3</v>
      </c>
      <c r="AO137" s="28">
        <v>2</v>
      </c>
      <c r="AP137" s="28">
        <v>2</v>
      </c>
      <c r="AQ137" s="28">
        <v>0.20967741935483869</v>
      </c>
      <c r="AR137" s="28">
        <v>0.33870967741935482</v>
      </c>
      <c r="AS137" s="28">
        <v>0.22580645161290319</v>
      </c>
      <c r="AT137" s="28">
        <v>0.22580645161290319</v>
      </c>
      <c r="AU137" s="25">
        <v>0.89</v>
      </c>
      <c r="AV137" s="25">
        <v>3.44</v>
      </c>
      <c r="AW137" s="25">
        <v>2.5499999999999998</v>
      </c>
      <c r="AX137" s="25">
        <v>2.7921428571428568</v>
      </c>
      <c r="AY137">
        <v>2.7921428571428568</v>
      </c>
      <c r="AZ137">
        <v>6.1741786985714304</v>
      </c>
      <c r="BA137" s="75">
        <v>0.50806026761966716</v>
      </c>
      <c r="BB137" s="75">
        <v>0</v>
      </c>
      <c r="BE137">
        <v>4.2869483869368182E-2</v>
      </c>
      <c r="BF137">
        <v>4.5252596617980083E-2</v>
      </c>
      <c r="BH137">
        <v>8.8122080487348264E-2</v>
      </c>
      <c r="BI137">
        <v>4.4061040243674132E-2</v>
      </c>
      <c r="BJ137">
        <v>0.25403013380983358</v>
      </c>
    </row>
    <row r="138" spans="1:68" x14ac:dyDescent="0.3">
      <c r="A138" s="2" t="s">
        <v>17</v>
      </c>
      <c r="B138" s="13" t="s">
        <v>702</v>
      </c>
      <c r="C138" s="13"/>
      <c r="F138" s="2">
        <v>3.67</v>
      </c>
      <c r="G138" s="2" t="s">
        <v>117</v>
      </c>
      <c r="H138" s="9" t="s">
        <v>535</v>
      </c>
      <c r="I138" t="s">
        <v>616</v>
      </c>
      <c r="J138"/>
      <c r="L138" s="25">
        <v>1</v>
      </c>
      <c r="M138">
        <v>4</v>
      </c>
      <c r="N138">
        <v>0</v>
      </c>
      <c r="O138" s="2">
        <v>5.4669999999999996</v>
      </c>
      <c r="P138" s="2">
        <v>5.4269999999999996</v>
      </c>
      <c r="Q138" s="2">
        <v>24.931000000000001</v>
      </c>
      <c r="R138" s="2" t="s">
        <v>450</v>
      </c>
      <c r="T138" s="25">
        <v>13.46934785</v>
      </c>
      <c r="U138" s="25">
        <v>13.46934785</v>
      </c>
      <c r="V138" s="25">
        <v>13.46934785</v>
      </c>
      <c r="W138">
        <v>5.4659000000000004</v>
      </c>
      <c r="X138">
        <v>5.4318</v>
      </c>
      <c r="Y138">
        <v>24.9619</v>
      </c>
      <c r="Z138">
        <v>0</v>
      </c>
      <c r="AC138"/>
      <c r="AD138">
        <v>18</v>
      </c>
      <c r="AE138" s="55">
        <f t="shared" si="6"/>
        <v>739.68803577899985</v>
      </c>
      <c r="AF138" s="57">
        <v>189.22149105491849</v>
      </c>
      <c r="AG138" s="55">
        <v>741.11071385887806</v>
      </c>
      <c r="AH138" s="55">
        <v>0</v>
      </c>
      <c r="AJ138" s="51">
        <v>9.5126615373598261E-2</v>
      </c>
      <c r="AK138" s="52">
        <v>9.7151476363233638E-2</v>
      </c>
      <c r="AM138" s="28">
        <v>2</v>
      </c>
      <c r="AN138" s="28">
        <v>3</v>
      </c>
      <c r="AO138" s="28">
        <v>1.857142857142857</v>
      </c>
      <c r="AP138" s="28">
        <v>4</v>
      </c>
      <c r="AQ138" s="28">
        <v>0.18421052631578949</v>
      </c>
      <c r="AR138" s="28">
        <v>0.27631578947368418</v>
      </c>
      <c r="AS138" s="28">
        <v>0.1710526315789474</v>
      </c>
      <c r="AT138" s="28">
        <v>0.36842105263157893</v>
      </c>
      <c r="AU138" s="25">
        <v>1</v>
      </c>
      <c r="AV138" s="25">
        <v>3.44</v>
      </c>
      <c r="AW138" s="25">
        <v>2.44</v>
      </c>
      <c r="AX138" s="25">
        <v>2.785714285714286</v>
      </c>
      <c r="AY138">
        <v>2.785714285714286</v>
      </c>
      <c r="AZ138">
        <v>6.216117408214286</v>
      </c>
      <c r="BA138" s="75">
        <v>0.52325723799350143</v>
      </c>
      <c r="BE138">
        <v>4.7563307686799138E-2</v>
      </c>
      <c r="BF138">
        <v>4.8575738181616819E-2</v>
      </c>
      <c r="BH138">
        <v>9.6139045868415957E-2</v>
      </c>
      <c r="BI138">
        <v>4.8069522934207978E-2</v>
      </c>
      <c r="BJ138">
        <v>0.52325723799350143</v>
      </c>
      <c r="BP138" s="2">
        <v>1.96</v>
      </c>
    </row>
    <row r="139" spans="1:68" x14ac:dyDescent="0.3">
      <c r="A139" s="2" t="s">
        <v>51</v>
      </c>
      <c r="B139" s="13" t="s">
        <v>703</v>
      </c>
      <c r="C139" s="13"/>
      <c r="F139" s="2">
        <v>3.64</v>
      </c>
      <c r="G139" s="2" t="s">
        <v>117</v>
      </c>
      <c r="H139" s="9" t="s">
        <v>536</v>
      </c>
      <c r="I139" t="s">
        <v>617</v>
      </c>
      <c r="J139"/>
      <c r="L139" s="25">
        <v>1</v>
      </c>
      <c r="M139">
        <v>4</v>
      </c>
      <c r="N139">
        <v>0</v>
      </c>
      <c r="O139" s="2">
        <v>5.4729999999999999</v>
      </c>
      <c r="P139" s="2">
        <v>5.5270000000000001</v>
      </c>
      <c r="Q139" s="2">
        <v>25.030999999999999</v>
      </c>
      <c r="R139" s="2" t="s">
        <v>450</v>
      </c>
      <c r="T139" s="25">
        <v>12.88926011</v>
      </c>
      <c r="U139" s="25">
        <v>12.88926011</v>
      </c>
      <c r="V139" s="25">
        <v>12.88926011</v>
      </c>
      <c r="W139">
        <v>5.5223699999999996</v>
      </c>
      <c r="X139">
        <v>5.5240799999999997</v>
      </c>
      <c r="Y139">
        <v>25.026399999999999</v>
      </c>
      <c r="Z139">
        <v>0</v>
      </c>
      <c r="AC139"/>
      <c r="AD139">
        <v>18</v>
      </c>
      <c r="AE139" s="55">
        <f t="shared" si="6"/>
        <v>757.16950240099993</v>
      </c>
      <c r="AF139" s="57">
        <v>195.03203980213701</v>
      </c>
      <c r="AG139" s="55">
        <v>763.45570050087724</v>
      </c>
      <c r="AH139" s="55">
        <v>0</v>
      </c>
      <c r="AJ139" s="51">
        <v>9.2292528029042184E-2</v>
      </c>
      <c r="AK139" s="52">
        <v>9.4308025930991482E-2</v>
      </c>
      <c r="AM139" s="28">
        <v>2</v>
      </c>
      <c r="AN139" s="28">
        <v>3</v>
      </c>
      <c r="AO139" s="28">
        <v>1.857142857142857</v>
      </c>
      <c r="AP139" s="28">
        <v>4</v>
      </c>
      <c r="AQ139" s="28">
        <v>0.18421052631578949</v>
      </c>
      <c r="AR139" s="28">
        <v>0.27631578947368418</v>
      </c>
      <c r="AS139" s="28">
        <v>0.1710526315789474</v>
      </c>
      <c r="AT139" s="28">
        <v>0.36842105263157893</v>
      </c>
      <c r="AU139" s="25">
        <v>0.95</v>
      </c>
      <c r="AV139" s="25">
        <v>3.44</v>
      </c>
      <c r="AW139" s="25">
        <v>2.4900000000000002</v>
      </c>
      <c r="AX139" s="25">
        <v>2.782142857142857</v>
      </c>
      <c r="AY139">
        <v>2.7821428571428579</v>
      </c>
      <c r="AZ139">
        <v>6.2021612289285706</v>
      </c>
      <c r="BA139" s="75">
        <v>0.52524560229640982</v>
      </c>
      <c r="BB139" s="75">
        <v>0.53671599358424449</v>
      </c>
      <c r="BE139">
        <v>4.6146264014521092E-2</v>
      </c>
      <c r="BF139">
        <v>4.7154012965495741E-2</v>
      </c>
      <c r="BH139">
        <v>9.3300276980016833E-2</v>
      </c>
      <c r="BI139">
        <v>4.6650138490008423E-2</v>
      </c>
      <c r="BJ139">
        <v>0.53098079794032715</v>
      </c>
      <c r="BP139" s="2">
        <v>2.36</v>
      </c>
    </row>
    <row r="140" spans="1:68" x14ac:dyDescent="0.3">
      <c r="A140" s="2" t="s">
        <v>18</v>
      </c>
      <c r="B140" s="13" t="s">
        <v>704</v>
      </c>
      <c r="C140" s="13"/>
      <c r="F140" s="2">
        <v>3.52</v>
      </c>
      <c r="G140" s="2" t="s">
        <v>117</v>
      </c>
      <c r="H140" s="9" t="s">
        <v>537</v>
      </c>
      <c r="I140" t="s">
        <v>618</v>
      </c>
      <c r="J140"/>
      <c r="L140" s="25">
        <v>1</v>
      </c>
      <c r="M140">
        <v>1</v>
      </c>
      <c r="N140">
        <v>0</v>
      </c>
      <c r="O140" s="2">
        <v>3.9540000000000002</v>
      </c>
      <c r="P140" s="2">
        <v>3.9540000000000002</v>
      </c>
      <c r="Q140" s="2">
        <v>25.486999999999998</v>
      </c>
      <c r="R140" s="2" t="s">
        <v>440</v>
      </c>
      <c r="T140" s="25">
        <v>12.939761450000001</v>
      </c>
      <c r="U140" s="25">
        <v>12.939761450000001</v>
      </c>
      <c r="V140" s="25">
        <v>12.939761450000001</v>
      </c>
      <c r="W140">
        <v>3.9355000000000002</v>
      </c>
      <c r="X140">
        <v>3.9355000000000002</v>
      </c>
      <c r="Y140">
        <v>25.5686</v>
      </c>
      <c r="Z140">
        <v>0</v>
      </c>
      <c r="AC140"/>
      <c r="AD140">
        <v>18</v>
      </c>
      <c r="AE140" s="55">
        <f t="shared" si="6"/>
        <v>398.46671449199999</v>
      </c>
      <c r="AF140" s="57">
        <v>198.96095988642259</v>
      </c>
      <c r="AG140" s="55">
        <v>396.01057416815007</v>
      </c>
      <c r="AH140" s="55">
        <v>0</v>
      </c>
      <c r="AJ140" s="51">
        <v>9.047000984653146E-2</v>
      </c>
      <c r="AK140" s="52">
        <v>4.5453331739462637E-2</v>
      </c>
      <c r="AM140" s="28">
        <v>2</v>
      </c>
      <c r="AN140" s="28">
        <v>3</v>
      </c>
      <c r="AO140" s="28">
        <v>1.857142857142857</v>
      </c>
      <c r="AP140" s="28">
        <v>4</v>
      </c>
      <c r="AQ140" s="28">
        <v>0.18421052631578949</v>
      </c>
      <c r="AR140" s="28">
        <v>0.27631578947368418</v>
      </c>
      <c r="AS140" s="28">
        <v>0.1710526315789474</v>
      </c>
      <c r="AT140" s="28">
        <v>0.36842105263157893</v>
      </c>
      <c r="AU140" s="25">
        <v>0.89</v>
      </c>
      <c r="AV140" s="25">
        <v>3.44</v>
      </c>
      <c r="AW140" s="25">
        <v>2.5499999999999998</v>
      </c>
      <c r="AX140" s="25">
        <v>2.777857142857143</v>
      </c>
      <c r="AY140">
        <v>2.777857142857143</v>
      </c>
      <c r="AZ140">
        <v>6.1882096985714297</v>
      </c>
      <c r="BA140" s="75">
        <v>0.53609483093200738</v>
      </c>
      <c r="BE140">
        <v>4.5235004923265723E-2</v>
      </c>
      <c r="BF140">
        <v>2.2726665869731318E-2</v>
      </c>
      <c r="BH140">
        <v>6.7961670792997045E-2</v>
      </c>
      <c r="BI140">
        <v>3.3980835396498522E-2</v>
      </c>
      <c r="BJ140">
        <v>0.53609483093200738</v>
      </c>
      <c r="BP140" s="2">
        <v>2.1800000000000002</v>
      </c>
    </row>
    <row r="141" spans="1:68" x14ac:dyDescent="0.3">
      <c r="A141" s="2" t="s">
        <v>118</v>
      </c>
      <c r="B141" s="17" t="s">
        <v>920</v>
      </c>
      <c r="C141" s="13"/>
      <c r="F141" s="2">
        <v>3.44</v>
      </c>
      <c r="G141" s="2" t="s">
        <v>122</v>
      </c>
      <c r="H141" s="9">
        <v>-1</v>
      </c>
      <c r="I141">
        <v>-1</v>
      </c>
      <c r="J141" t="s">
        <v>1218</v>
      </c>
      <c r="K141" s="2">
        <v>4</v>
      </c>
      <c r="L141" s="25">
        <v>0</v>
      </c>
      <c r="M141">
        <v>0</v>
      </c>
      <c r="N141">
        <v>4</v>
      </c>
      <c r="O141" s="2">
        <v>5.492</v>
      </c>
      <c r="P141" s="2">
        <v>5.5650000000000004</v>
      </c>
      <c r="Q141" s="2">
        <v>24.88</v>
      </c>
      <c r="R141" s="2" t="s">
        <v>1219</v>
      </c>
      <c r="S141" s="1"/>
      <c r="T141" s="25">
        <v>0</v>
      </c>
      <c r="U141" s="25"/>
      <c r="V141" s="25"/>
      <c r="W141">
        <v>0</v>
      </c>
      <c r="Z141">
        <v>0</v>
      </c>
      <c r="AD141">
        <v>18</v>
      </c>
      <c r="AE141" s="55">
        <f t="shared" si="6"/>
        <v>760.40694240000005</v>
      </c>
      <c r="AF141" s="57">
        <v>0</v>
      </c>
      <c r="AG141" s="55">
        <v>0</v>
      </c>
      <c r="AH141" s="55">
        <v>760.6</v>
      </c>
      <c r="AI141" s="52">
        <f>K141*AD141/AE141</f>
        <v>9.4686142360501407E-2</v>
      </c>
      <c r="AJ141" s="51"/>
      <c r="AL141" s="67">
        <f>N141*AD141/AH141</f>
        <v>9.466210886142519E-2</v>
      </c>
      <c r="AM141" s="28">
        <v>1.964285714285714</v>
      </c>
      <c r="AN141" s="28">
        <v>3</v>
      </c>
      <c r="AO141" s="28">
        <v>1.892857142857143</v>
      </c>
      <c r="AP141" s="28">
        <v>4</v>
      </c>
      <c r="AQ141" s="28">
        <v>0.1809210526315789</v>
      </c>
      <c r="AR141" s="28">
        <v>0.27631578947368418</v>
      </c>
      <c r="AS141" s="28">
        <v>0.17434210526315791</v>
      </c>
      <c r="AT141" s="28">
        <v>0.36842105263157893</v>
      </c>
      <c r="AU141" s="25">
        <v>0.82</v>
      </c>
      <c r="AV141" s="25">
        <v>3.44</v>
      </c>
      <c r="AW141" s="25">
        <v>2.62</v>
      </c>
      <c r="AX141" s="25">
        <v>2.7828571428571429</v>
      </c>
      <c r="AY141">
        <v>2.7828571428571429</v>
      </c>
      <c r="AZ141">
        <v>6.1929237675000008</v>
      </c>
      <c r="BC141" s="75">
        <v>0</v>
      </c>
      <c r="BD141">
        <v>4.7343071180250697E-2</v>
      </c>
      <c r="BG141">
        <v>4.7331054430712588E-2</v>
      </c>
      <c r="BH141">
        <v>9.4674125610963306E-2</v>
      </c>
      <c r="BI141">
        <v>4.7337062805481639E-2</v>
      </c>
      <c r="BJ141">
        <v>0</v>
      </c>
      <c r="BP141" s="2">
        <v>1.3</v>
      </c>
    </row>
    <row r="142" spans="1:68" x14ac:dyDescent="0.3">
      <c r="A142" s="2" t="s">
        <v>119</v>
      </c>
      <c r="B142" s="17" t="s">
        <v>921</v>
      </c>
      <c r="C142" s="13"/>
      <c r="F142" s="2">
        <v>3.22</v>
      </c>
      <c r="G142" s="2" t="s">
        <v>122</v>
      </c>
      <c r="H142" s="9">
        <v>-1</v>
      </c>
      <c r="I142">
        <v>-1</v>
      </c>
      <c r="J142"/>
      <c r="K142" s="2">
        <v>4</v>
      </c>
      <c r="L142" s="25">
        <v>0</v>
      </c>
      <c r="M142">
        <v>0</v>
      </c>
      <c r="N142">
        <v>4</v>
      </c>
      <c r="O142" s="2">
        <v>5.5019999999999998</v>
      </c>
      <c r="P142" s="2">
        <v>5.5069999999999997</v>
      </c>
      <c r="Q142" s="2">
        <v>25.09</v>
      </c>
      <c r="R142" s="2" t="s">
        <v>1219</v>
      </c>
      <c r="S142" s="1"/>
      <c r="T142" s="25">
        <v>0</v>
      </c>
      <c r="U142" s="25"/>
      <c r="V142" s="25"/>
      <c r="W142">
        <v>0</v>
      </c>
      <c r="Z142">
        <v>0</v>
      </c>
      <c r="AD142">
        <v>18</v>
      </c>
      <c r="AE142" s="55">
        <f t="shared" si="6"/>
        <v>760.21480625999993</v>
      </c>
      <c r="AF142" s="57">
        <v>0</v>
      </c>
      <c r="AG142" s="55">
        <v>0</v>
      </c>
      <c r="AH142" s="55">
        <v>0</v>
      </c>
      <c r="AI142" s="52">
        <f>K142*AD142/AE142</f>
        <v>9.4710073267601405E-2</v>
      </c>
      <c r="AJ142" s="51"/>
      <c r="AM142" s="28">
        <v>1.821428571428571</v>
      </c>
      <c r="AN142" s="28">
        <v>3</v>
      </c>
      <c r="AO142" s="28">
        <v>2.035714285714286</v>
      </c>
      <c r="AP142" s="28">
        <v>2</v>
      </c>
      <c r="AQ142" s="28">
        <v>0.20564516129032259</v>
      </c>
      <c r="AR142" s="28">
        <v>0.33870967741935482</v>
      </c>
      <c r="AS142" s="28">
        <v>0.22983870967741929</v>
      </c>
      <c r="AT142" s="28">
        <v>0.22580645161290319</v>
      </c>
      <c r="AU142" s="25">
        <v>0.82</v>
      </c>
      <c r="AV142" s="25">
        <v>3.44</v>
      </c>
      <c r="AW142" s="25">
        <v>2.62</v>
      </c>
      <c r="AX142" s="25">
        <v>2.7971428571428572</v>
      </c>
      <c r="AY142">
        <v>2.7971428571428572</v>
      </c>
      <c r="AZ142">
        <v>6.1788927675000007</v>
      </c>
      <c r="BD142">
        <v>4.7355036633800703E-2</v>
      </c>
      <c r="BG142" t="s">
        <v>459</v>
      </c>
      <c r="BH142">
        <v>9.4710073267601405E-2</v>
      </c>
      <c r="BI142" t="s">
        <v>459</v>
      </c>
      <c r="BJ142">
        <v>0</v>
      </c>
      <c r="BP142" s="2">
        <v>3.2</v>
      </c>
    </row>
    <row r="143" spans="1:68" x14ac:dyDescent="0.3">
      <c r="A143" s="2" t="s">
        <v>120</v>
      </c>
      <c r="B143" s="17" t="s">
        <v>922</v>
      </c>
      <c r="C143" s="13"/>
      <c r="F143" s="2">
        <v>4</v>
      </c>
      <c r="G143" s="2" t="s">
        <v>122</v>
      </c>
      <c r="H143" s="9">
        <v>-1</v>
      </c>
      <c r="I143">
        <v>-1</v>
      </c>
      <c r="J143"/>
      <c r="K143" s="2">
        <v>1</v>
      </c>
      <c r="L143" s="25">
        <v>0</v>
      </c>
      <c r="M143">
        <v>0</v>
      </c>
      <c r="N143">
        <v>0</v>
      </c>
      <c r="O143" s="2">
        <v>3.9060000000000001</v>
      </c>
      <c r="P143" s="2">
        <v>3.9060000000000001</v>
      </c>
      <c r="Q143" s="2">
        <v>9.8840000000000003</v>
      </c>
      <c r="T143" s="25">
        <v>0</v>
      </c>
      <c r="U143" s="25"/>
      <c r="V143" s="25"/>
      <c r="W143">
        <v>0</v>
      </c>
      <c r="Z143">
        <v>0</v>
      </c>
      <c r="AD143">
        <v>14</v>
      </c>
      <c r="AE143" s="55">
        <f t="shared" si="6"/>
        <v>150.79856702400002</v>
      </c>
      <c r="AF143" s="57">
        <v>0</v>
      </c>
      <c r="AG143" s="55">
        <v>0</v>
      </c>
      <c r="AH143" s="55">
        <v>0</v>
      </c>
      <c r="AI143" s="52">
        <f>K143*AD143/AE143</f>
        <v>9.2839078489199839E-2</v>
      </c>
      <c r="AJ143" s="51"/>
      <c r="AM143" s="28">
        <v>1.8135593220338979</v>
      </c>
      <c r="AN143" s="28">
        <v>2.398305084745763</v>
      </c>
      <c r="AO143" s="28">
        <v>0.63559322033898302</v>
      </c>
      <c r="AP143" s="28">
        <v>2.4915254237288131</v>
      </c>
      <c r="AQ143" s="28">
        <v>0.24711316397228639</v>
      </c>
      <c r="AR143" s="28">
        <v>0.32678983833718239</v>
      </c>
      <c r="AS143" s="28">
        <v>8.6605080831408776E-2</v>
      </c>
      <c r="AT143" s="28">
        <v>0.33949191685912239</v>
      </c>
      <c r="AU143" s="25">
        <v>0.82</v>
      </c>
      <c r="AV143" s="25">
        <v>3.44</v>
      </c>
      <c r="AW143" s="25">
        <v>2.62</v>
      </c>
      <c r="AX143" s="25">
        <v>2.733728813559321</v>
      </c>
      <c r="AY143">
        <v>2.7337288135593218</v>
      </c>
      <c r="AZ143">
        <v>6.5217336360353304</v>
      </c>
      <c r="BD143">
        <v>4.6419539244599919E-2</v>
      </c>
      <c r="BH143">
        <v>9.2839078489199839E-2</v>
      </c>
      <c r="BI143">
        <v>4.6419539244599919E-2</v>
      </c>
      <c r="BJ143">
        <v>0</v>
      </c>
      <c r="BP143" s="2">
        <v>3.5</v>
      </c>
    </row>
    <row r="144" spans="1:68" x14ac:dyDescent="0.3">
      <c r="A144" s="2" t="s">
        <v>121</v>
      </c>
      <c r="B144" s="33" t="s">
        <v>923</v>
      </c>
      <c r="C144" s="34"/>
      <c r="F144" s="2">
        <v>3.49</v>
      </c>
      <c r="G144" s="2" t="s">
        <v>122</v>
      </c>
      <c r="H144" s="35">
        <v>-1</v>
      </c>
      <c r="I144" s="2">
        <v>-1</v>
      </c>
      <c r="J144"/>
      <c r="K144" s="2">
        <v>1</v>
      </c>
      <c r="L144" s="25">
        <v>0</v>
      </c>
      <c r="M144">
        <v>0</v>
      </c>
      <c r="N144">
        <v>0</v>
      </c>
      <c r="O144" s="2">
        <v>3.903</v>
      </c>
      <c r="P144" s="2">
        <v>3.903</v>
      </c>
      <c r="Q144" s="2">
        <v>10.050000000000001</v>
      </c>
      <c r="T144" s="25">
        <v>0</v>
      </c>
      <c r="U144" s="25"/>
      <c r="V144" s="25"/>
      <c r="W144">
        <v>0</v>
      </c>
      <c r="Z144">
        <v>0</v>
      </c>
      <c r="AD144">
        <v>13</v>
      </c>
      <c r="AE144" s="55">
        <f t="shared" si="6"/>
        <v>153.09576045</v>
      </c>
      <c r="AF144" s="57">
        <v>0</v>
      </c>
      <c r="AG144" s="55">
        <v>0</v>
      </c>
      <c r="AH144" s="55">
        <v>0</v>
      </c>
      <c r="AI144" s="52">
        <f>K144*AD144/AE144</f>
        <v>8.4914173728838874E-2</v>
      </c>
      <c r="AJ144" s="51"/>
      <c r="AM144" s="28">
        <v>1.6448598130841121</v>
      </c>
      <c r="AN144" s="28">
        <v>2.457943925233645</v>
      </c>
      <c r="AO144" s="28">
        <v>0.86915887850467299</v>
      </c>
      <c r="AP144" s="28">
        <v>0.13084112149532709</v>
      </c>
      <c r="AQ144" s="28">
        <v>0.32234432234432231</v>
      </c>
      <c r="AR144" s="28">
        <v>0.48168498168498158</v>
      </c>
      <c r="AS144" s="28">
        <v>0.17032967032967031</v>
      </c>
      <c r="AT144" s="28">
        <v>2.564102564102564E-2</v>
      </c>
      <c r="AU144" s="25">
        <v>0.82</v>
      </c>
      <c r="AV144" s="25">
        <v>3.44</v>
      </c>
      <c r="AW144" s="25">
        <v>2.62</v>
      </c>
      <c r="AX144" s="25">
        <v>2.7828037383177571</v>
      </c>
      <c r="AY144">
        <v>2.782803738317758</v>
      </c>
      <c r="AZ144">
        <v>6.5403483343235136</v>
      </c>
      <c r="BD144">
        <v>4.2457086864419437E-2</v>
      </c>
      <c r="BH144">
        <v>8.4914173728838874E-2</v>
      </c>
      <c r="BI144">
        <v>4.2457086864419437E-2</v>
      </c>
      <c r="BJ144">
        <v>0</v>
      </c>
      <c r="BP144" s="2">
        <v>7.3</v>
      </c>
    </row>
    <row r="145" spans="1:68" x14ac:dyDescent="0.3">
      <c r="A145" s="2" t="s">
        <v>1185</v>
      </c>
      <c r="B145" s="47" t="s">
        <v>1186</v>
      </c>
      <c r="C145" s="34"/>
      <c r="F145" s="2">
        <v>4</v>
      </c>
      <c r="G145" s="2" t="s">
        <v>122</v>
      </c>
      <c r="H145" s="35" t="s">
        <v>1188</v>
      </c>
      <c r="I145" s="2">
        <v>-1</v>
      </c>
      <c r="J145" t="s">
        <v>1187</v>
      </c>
      <c r="L145" s="25">
        <v>0</v>
      </c>
      <c r="M145">
        <v>0</v>
      </c>
      <c r="N145">
        <v>2</v>
      </c>
      <c r="T145" s="25">
        <v>0</v>
      </c>
      <c r="U145" s="25"/>
      <c r="V145" s="25"/>
      <c r="W145">
        <v>0</v>
      </c>
      <c r="Z145">
        <v>12.5602</v>
      </c>
      <c r="AA145">
        <v>12.5602</v>
      </c>
      <c r="AB145">
        <v>3.9214000000000002</v>
      </c>
      <c r="AD145">
        <v>34</v>
      </c>
      <c r="AE145" s="55">
        <f t="shared" si="6"/>
        <v>0</v>
      </c>
      <c r="AF145" s="57">
        <v>0</v>
      </c>
      <c r="AG145" s="55">
        <v>0</v>
      </c>
      <c r="AH145" s="55">
        <v>618.63466831045605</v>
      </c>
      <c r="AJ145" s="51"/>
      <c r="AL145" s="52">
        <v>0.10991947830165059</v>
      </c>
      <c r="AM145" s="28">
        <v>1.92</v>
      </c>
      <c r="AN145" s="28">
        <v>2.72</v>
      </c>
      <c r="AO145" s="28">
        <v>0.64</v>
      </c>
      <c r="AP145" s="28">
        <v>2.8</v>
      </c>
      <c r="AQ145" s="28">
        <v>0.23762376237623761</v>
      </c>
      <c r="AR145" s="28">
        <v>0.33663366336633671</v>
      </c>
      <c r="AS145" s="28">
        <v>7.9207920792079209E-2</v>
      </c>
      <c r="AT145" s="28">
        <v>0.34653465346534651</v>
      </c>
      <c r="AU145" s="25">
        <v>0.82</v>
      </c>
      <c r="AV145" s="25">
        <v>3.44</v>
      </c>
      <c r="AW145" s="25">
        <v>2.62</v>
      </c>
      <c r="AX145" s="25">
        <v>2.7488000000000001</v>
      </c>
      <c r="AY145">
        <v>2.7488000000000001</v>
      </c>
      <c r="AZ145">
        <v>6.2305574404000001</v>
      </c>
      <c r="BC145" s="75">
        <v>0.5553845310307659</v>
      </c>
      <c r="BG145">
        <v>4.8493887486022333E-2</v>
      </c>
      <c r="BH145">
        <v>0.10991947830165059</v>
      </c>
      <c r="BI145">
        <v>4.8493887486022333E-2</v>
      </c>
      <c r="BJ145">
        <v>0.5553845310307659</v>
      </c>
      <c r="BP145" s="2">
        <v>2.1</v>
      </c>
    </row>
    <row r="146" spans="1:68" x14ac:dyDescent="0.3">
      <c r="A146" s="5" t="s">
        <v>123</v>
      </c>
      <c r="B146" s="17" t="s">
        <v>924</v>
      </c>
      <c r="C146" s="13"/>
      <c r="D146" s="5"/>
      <c r="E146" s="5"/>
      <c r="F146" s="5">
        <v>3.7</v>
      </c>
      <c r="G146" s="5" t="s">
        <v>122</v>
      </c>
      <c r="H146" s="40">
        <v>-2</v>
      </c>
      <c r="I146">
        <v>-1</v>
      </c>
      <c r="J146"/>
      <c r="K146" s="5"/>
      <c r="L146" s="25">
        <v>0</v>
      </c>
      <c r="M146">
        <v>0</v>
      </c>
      <c r="N146">
        <v>0</v>
      </c>
      <c r="T146" s="25">
        <v>0</v>
      </c>
      <c r="U146" s="25"/>
      <c r="V146" s="25"/>
      <c r="W146">
        <v>0</v>
      </c>
      <c r="Z146">
        <v>0</v>
      </c>
      <c r="AD146">
        <v>14</v>
      </c>
      <c r="AE146" s="55">
        <f t="shared" si="6"/>
        <v>0</v>
      </c>
      <c r="AF146" s="57">
        <v>0</v>
      </c>
      <c r="AG146" s="55">
        <v>0</v>
      </c>
      <c r="AH146" s="55">
        <v>0</v>
      </c>
      <c r="AJ146" s="51"/>
      <c r="AM146" s="28">
        <v>1.847457627118644</v>
      </c>
      <c r="AN146" s="28">
        <v>2.4237288135593218</v>
      </c>
      <c r="AO146" s="28">
        <v>0.67796610169491522</v>
      </c>
      <c r="AP146" s="28">
        <v>2.610169491525423</v>
      </c>
      <c r="AQ146" s="28">
        <v>0.2443946188340807</v>
      </c>
      <c r="AR146" s="28">
        <v>0.32062780269058289</v>
      </c>
      <c r="AS146" s="28">
        <v>8.9686098654708529E-2</v>
      </c>
      <c r="AT146" s="28">
        <v>0.3452914798206278</v>
      </c>
      <c r="AU146" s="25">
        <v>1</v>
      </c>
      <c r="AV146" s="25">
        <v>3.44</v>
      </c>
      <c r="AW146" s="25">
        <v>2.44</v>
      </c>
      <c r="AX146" s="25">
        <v>2.732542372881356</v>
      </c>
      <c r="AY146">
        <v>2.732542372881356</v>
      </c>
      <c r="AZ146">
        <v>6.5123179483671016</v>
      </c>
      <c r="BH146">
        <v>0</v>
      </c>
      <c r="BI146">
        <v>0</v>
      </c>
      <c r="BJ146">
        <v>0</v>
      </c>
    </row>
    <row r="147" spans="1:68" x14ac:dyDescent="0.3">
      <c r="A147" s="5" t="s">
        <v>124</v>
      </c>
      <c r="B147" s="17" t="s">
        <v>925</v>
      </c>
      <c r="C147" s="13"/>
      <c r="D147" s="5"/>
      <c r="E147" s="5"/>
      <c r="F147" s="5">
        <v>3.9</v>
      </c>
      <c r="G147" s="5" t="s">
        <v>122</v>
      </c>
      <c r="H147" s="40">
        <v>-2</v>
      </c>
      <c r="I147">
        <v>-1</v>
      </c>
      <c r="J147"/>
      <c r="K147" s="5"/>
      <c r="L147" s="25">
        <v>0</v>
      </c>
      <c r="M147">
        <v>0</v>
      </c>
      <c r="N147">
        <v>0</v>
      </c>
      <c r="T147" s="25">
        <v>0</v>
      </c>
      <c r="U147" s="25"/>
      <c r="V147" s="25"/>
      <c r="W147">
        <v>0</v>
      </c>
      <c r="Z147">
        <v>0</v>
      </c>
      <c r="AD147">
        <v>14</v>
      </c>
      <c r="AE147" s="55">
        <f t="shared" si="6"/>
        <v>0</v>
      </c>
      <c r="AF147" s="57">
        <v>0</v>
      </c>
      <c r="AG147" s="55">
        <v>0</v>
      </c>
      <c r="AH147" s="55">
        <v>0</v>
      </c>
      <c r="AJ147" s="51"/>
      <c r="AM147" s="28">
        <v>1.85</v>
      </c>
      <c r="AN147" s="28">
        <v>2.3833333333333329</v>
      </c>
      <c r="AO147" s="28">
        <v>0.66666666666666663</v>
      </c>
      <c r="AP147" s="28">
        <v>2.5666666666666669</v>
      </c>
      <c r="AQ147" s="28">
        <v>0.24776785714285721</v>
      </c>
      <c r="AR147" s="28">
        <v>0.3191964285714286</v>
      </c>
      <c r="AS147" s="28">
        <v>8.9285714285714288E-2</v>
      </c>
      <c r="AT147" s="28">
        <v>0.34375000000000011</v>
      </c>
      <c r="AU147" s="25">
        <v>0.95</v>
      </c>
      <c r="AV147" s="25">
        <v>3.44</v>
      </c>
      <c r="AW147" s="25">
        <v>2.4900000000000002</v>
      </c>
      <c r="AX147" s="25">
        <v>2.6995</v>
      </c>
      <c r="AY147">
        <v>2.6995</v>
      </c>
      <c r="AZ147">
        <v>6.4386446606443171</v>
      </c>
      <c r="BH147">
        <v>0</v>
      </c>
      <c r="BI147">
        <v>0</v>
      </c>
      <c r="BJ147">
        <v>0</v>
      </c>
    </row>
    <row r="148" spans="1:68" x14ac:dyDescent="0.3">
      <c r="A148" s="5" t="s">
        <v>125</v>
      </c>
      <c r="B148" s="17" t="s">
        <v>926</v>
      </c>
      <c r="C148" s="13"/>
      <c r="D148" s="5"/>
      <c r="E148" s="5"/>
      <c r="F148" s="5">
        <v>4</v>
      </c>
      <c r="G148" s="5" t="s">
        <v>122</v>
      </c>
      <c r="H148" s="40">
        <v>-2</v>
      </c>
      <c r="I148">
        <v>-1</v>
      </c>
      <c r="J148"/>
      <c r="K148" s="5"/>
      <c r="L148" s="25">
        <v>0</v>
      </c>
      <c r="M148">
        <v>0</v>
      </c>
      <c r="N148">
        <v>0</v>
      </c>
      <c r="T148" s="25">
        <v>0</v>
      </c>
      <c r="U148" s="25"/>
      <c r="V148" s="25"/>
      <c r="W148">
        <v>0</v>
      </c>
      <c r="Z148">
        <v>0</v>
      </c>
      <c r="AD148">
        <v>14</v>
      </c>
      <c r="AE148" s="55">
        <f t="shared" si="6"/>
        <v>0</v>
      </c>
      <c r="AF148" s="57">
        <v>0</v>
      </c>
      <c r="AG148" s="55">
        <v>0</v>
      </c>
      <c r="AH148" s="55">
        <v>0</v>
      </c>
      <c r="AJ148" s="51"/>
      <c r="AM148" s="28">
        <v>1.8389830508474569</v>
      </c>
      <c r="AN148" s="28">
        <v>2.398305084745763</v>
      </c>
      <c r="AO148" s="28">
        <v>0.59322033898305082</v>
      </c>
      <c r="AP148" s="28">
        <v>2.4915254237288131</v>
      </c>
      <c r="AQ148" s="28">
        <v>0.25115740740740738</v>
      </c>
      <c r="AR148" s="28">
        <v>0.32754629629629628</v>
      </c>
      <c r="AS148" s="28">
        <v>8.1018518518518517E-2</v>
      </c>
      <c r="AT148" s="28">
        <v>0.34027777777777768</v>
      </c>
      <c r="AU148" s="25">
        <v>0.89</v>
      </c>
      <c r="AV148" s="25">
        <v>3.44</v>
      </c>
      <c r="AW148" s="25">
        <v>2.5499999999999998</v>
      </c>
      <c r="AX148" s="25">
        <v>2.7266101694915248</v>
      </c>
      <c r="AY148">
        <v>2.7266101694915261</v>
      </c>
      <c r="AZ148">
        <v>6.5117833191709238</v>
      </c>
      <c r="BH148">
        <v>0</v>
      </c>
      <c r="BI148">
        <v>0</v>
      </c>
      <c r="BJ148">
        <v>0</v>
      </c>
    </row>
    <row r="149" spans="1:68" x14ac:dyDescent="0.3">
      <c r="A149" s="5" t="s">
        <v>120</v>
      </c>
      <c r="B149" s="17" t="s">
        <v>927</v>
      </c>
      <c r="C149" s="13"/>
      <c r="D149" s="5"/>
      <c r="E149" s="5"/>
      <c r="F149" s="5">
        <v>4.3</v>
      </c>
      <c r="G149" s="5" t="s">
        <v>122</v>
      </c>
      <c r="H149" s="40">
        <v>-2</v>
      </c>
      <c r="I149">
        <v>-1</v>
      </c>
      <c r="J149"/>
      <c r="K149" s="5"/>
      <c r="L149" s="25">
        <v>0</v>
      </c>
      <c r="M149">
        <v>0</v>
      </c>
      <c r="N149">
        <v>0</v>
      </c>
      <c r="T149" s="25">
        <v>0</v>
      </c>
      <c r="U149" s="25"/>
      <c r="V149" s="25"/>
      <c r="W149">
        <v>0</v>
      </c>
      <c r="Z149">
        <v>0</v>
      </c>
      <c r="AD149">
        <v>14</v>
      </c>
      <c r="AE149" s="55">
        <f t="shared" si="6"/>
        <v>0</v>
      </c>
      <c r="AF149" s="57">
        <v>0</v>
      </c>
      <c r="AG149" s="55">
        <v>0</v>
      </c>
      <c r="AH149" s="55">
        <v>0</v>
      </c>
      <c r="AJ149" s="51"/>
      <c r="AM149" s="28">
        <v>1.8135593220338979</v>
      </c>
      <c r="AN149" s="28">
        <v>2.398305084745763</v>
      </c>
      <c r="AO149" s="28">
        <v>0.63559322033898302</v>
      </c>
      <c r="AP149" s="28">
        <v>2.4915254237288131</v>
      </c>
      <c r="AQ149" s="28">
        <v>0.24711316397228639</v>
      </c>
      <c r="AR149" s="28">
        <v>0.32678983833718239</v>
      </c>
      <c r="AS149" s="28">
        <v>8.6605080831408776E-2</v>
      </c>
      <c r="AT149" s="28">
        <v>0.33949191685912239</v>
      </c>
      <c r="AU149" s="25">
        <v>0.82</v>
      </c>
      <c r="AV149" s="25">
        <v>3.44</v>
      </c>
      <c r="AW149" s="25">
        <v>2.62</v>
      </c>
      <c r="AX149" s="25">
        <v>2.733728813559321</v>
      </c>
      <c r="AY149">
        <v>2.7337288135593218</v>
      </c>
      <c r="AZ149">
        <v>6.5217336360353304</v>
      </c>
      <c r="BH149">
        <v>0</v>
      </c>
      <c r="BI149">
        <v>0</v>
      </c>
      <c r="BJ149">
        <v>0</v>
      </c>
    </row>
    <row r="150" spans="1:68" x14ac:dyDescent="0.3">
      <c r="A150" s="2" t="s">
        <v>127</v>
      </c>
      <c r="B150" s="13" t="s">
        <v>754</v>
      </c>
      <c r="C150" s="13"/>
      <c r="F150" s="2">
        <v>2.39</v>
      </c>
      <c r="G150" s="2" t="s">
        <v>126</v>
      </c>
      <c r="H150" s="9">
        <v>-1</v>
      </c>
      <c r="I150">
        <v>-1</v>
      </c>
      <c r="J150"/>
      <c r="L150" s="25">
        <v>0</v>
      </c>
      <c r="M150">
        <v>0</v>
      </c>
      <c r="N150">
        <v>0</v>
      </c>
      <c r="O150" s="2">
        <v>5.4930000000000003</v>
      </c>
      <c r="P150" s="2">
        <v>5.4930000000000003</v>
      </c>
      <c r="Q150" s="2">
        <v>28.75</v>
      </c>
      <c r="S150" s="2">
        <f>Q150/2</f>
        <v>14.375</v>
      </c>
      <c r="T150" s="25">
        <v>0</v>
      </c>
      <c r="U150" s="25"/>
      <c r="V150" s="25"/>
      <c r="W150">
        <v>0</v>
      </c>
      <c r="Z150">
        <v>0</v>
      </c>
      <c r="AD150">
        <v>2</v>
      </c>
      <c r="AE150" s="55">
        <f t="shared" si="6"/>
        <v>867.47515875000011</v>
      </c>
      <c r="AF150" s="57">
        <v>0</v>
      </c>
      <c r="AG150" s="55">
        <v>0</v>
      </c>
      <c r="AH150" s="55">
        <v>0</v>
      </c>
      <c r="AJ150" s="51"/>
      <c r="AM150" s="28">
        <v>1.428571428571429</v>
      </c>
      <c r="AN150" s="28">
        <v>1.5</v>
      </c>
      <c r="AO150" s="28">
        <v>5.1428571428571432</v>
      </c>
      <c r="AP150" s="28">
        <v>4</v>
      </c>
      <c r="AQ150" s="28">
        <v>0.1183431952662722</v>
      </c>
      <c r="AR150" s="28">
        <v>0.1242603550295858</v>
      </c>
      <c r="AS150" s="28">
        <v>0.42603550295857989</v>
      </c>
      <c r="AT150" s="28">
        <v>0.33136094674556221</v>
      </c>
      <c r="AU150" s="25">
        <v>1.6</v>
      </c>
      <c r="AV150" s="25">
        <v>3.44</v>
      </c>
      <c r="AW150" s="25">
        <v>1.84</v>
      </c>
      <c r="AX150" s="25">
        <v>1.9628571428571431</v>
      </c>
      <c r="AY150">
        <v>1.9628571428571431</v>
      </c>
      <c r="AZ150">
        <v>4.4993245392857144</v>
      </c>
      <c r="BH150">
        <v>0</v>
      </c>
      <c r="BI150">
        <v>0</v>
      </c>
      <c r="BJ150">
        <v>0</v>
      </c>
    </row>
    <row r="151" spans="1:68" x14ac:dyDescent="0.3">
      <c r="A151" s="2" t="s">
        <v>128</v>
      </c>
      <c r="B151" s="13" t="s">
        <v>755</v>
      </c>
      <c r="C151" s="13"/>
      <c r="F151" s="2">
        <v>3.42</v>
      </c>
      <c r="G151" s="2" t="s">
        <v>126</v>
      </c>
      <c r="H151" s="9" t="s">
        <v>571</v>
      </c>
      <c r="I151" t="s">
        <v>649</v>
      </c>
      <c r="J151"/>
      <c r="L151" s="25">
        <v>2</v>
      </c>
      <c r="M151">
        <v>2</v>
      </c>
      <c r="N151">
        <v>0</v>
      </c>
      <c r="T151" s="25">
        <v>3.8933966999999998</v>
      </c>
      <c r="U151" s="25">
        <v>3.8933966999999998</v>
      </c>
      <c r="V151" s="25">
        <v>7.4931887499999998</v>
      </c>
      <c r="W151">
        <v>3.89</v>
      </c>
      <c r="X151">
        <v>3.89</v>
      </c>
      <c r="Y151">
        <v>7.37</v>
      </c>
      <c r="Z151">
        <v>0</v>
      </c>
      <c r="AD151">
        <v>2</v>
      </c>
      <c r="AE151" s="55">
        <f t="shared" si="6"/>
        <v>0</v>
      </c>
      <c r="AF151" s="57">
        <v>113.5857853857584</v>
      </c>
      <c r="AG151" s="55">
        <v>111.523577</v>
      </c>
      <c r="AH151" s="55">
        <v>0</v>
      </c>
      <c r="AJ151" s="51">
        <v>3.5215674095268677E-2</v>
      </c>
      <c r="AK151" s="52">
        <v>3.5866855310783291E-2</v>
      </c>
      <c r="AM151" s="28">
        <v>2</v>
      </c>
      <c r="AN151" s="28">
        <v>4</v>
      </c>
      <c r="AO151" s="28">
        <v>3.333333333333333</v>
      </c>
      <c r="AP151" s="28">
        <v>4.666666666666667</v>
      </c>
      <c r="AQ151" s="28">
        <v>0.14285714285714279</v>
      </c>
      <c r="AR151" s="28">
        <v>0.2857142857142857</v>
      </c>
      <c r="AS151" s="28">
        <v>0.23809523809523811</v>
      </c>
      <c r="AT151" s="28">
        <v>0.33333333333333343</v>
      </c>
      <c r="AU151" s="25">
        <v>2.02</v>
      </c>
      <c r="AV151" s="25">
        <v>3.44</v>
      </c>
      <c r="AW151" s="25">
        <v>1.42</v>
      </c>
      <c r="AX151" s="25">
        <v>2.8733333333333331</v>
      </c>
      <c r="AY151">
        <v>2.8733333333333331</v>
      </c>
      <c r="AZ151">
        <v>6.6478994516666674</v>
      </c>
      <c r="BA151" s="75">
        <v>0.60918030397914924</v>
      </c>
      <c r="BB151" s="75">
        <v>0.6204447985828746</v>
      </c>
      <c r="BE151">
        <v>1.7607837047634339E-2</v>
      </c>
      <c r="BF151">
        <v>1.7933427655391649E-2</v>
      </c>
      <c r="BH151">
        <v>3.5541264703025988E-2</v>
      </c>
      <c r="BI151">
        <v>1.777063235151299E-2</v>
      </c>
      <c r="BJ151">
        <v>0.61481255128101187</v>
      </c>
    </row>
    <row r="152" spans="1:68" x14ac:dyDescent="0.3">
      <c r="A152" s="2" t="s">
        <v>129</v>
      </c>
      <c r="B152" s="13" t="s">
        <v>756</v>
      </c>
      <c r="C152" s="13"/>
      <c r="F152" s="2">
        <v>2.39</v>
      </c>
      <c r="G152" s="2" t="s">
        <v>133</v>
      </c>
      <c r="H152" s="9" t="s">
        <v>572</v>
      </c>
      <c r="I152" t="s">
        <v>650</v>
      </c>
      <c r="J152"/>
      <c r="L152" s="25">
        <v>4</v>
      </c>
      <c r="M152">
        <v>4</v>
      </c>
      <c r="N152">
        <v>0</v>
      </c>
      <c r="T152" s="25">
        <v>5.5026178200000002</v>
      </c>
      <c r="U152" s="25">
        <v>5.5582516699999998</v>
      </c>
      <c r="V152" s="25">
        <v>28.882220520000001</v>
      </c>
      <c r="W152">
        <v>5.4930000000000003</v>
      </c>
      <c r="X152">
        <v>5.4960000000000004</v>
      </c>
      <c r="Y152">
        <v>28.75</v>
      </c>
      <c r="Z152">
        <v>0</v>
      </c>
      <c r="AD152">
        <v>16</v>
      </c>
      <c r="AE152" s="55">
        <f t="shared" si="6"/>
        <v>0</v>
      </c>
      <c r="AF152" s="57">
        <v>883.36082823090169</v>
      </c>
      <c r="AG152" s="55">
        <v>867.94893000000013</v>
      </c>
      <c r="AH152" s="55">
        <v>0</v>
      </c>
      <c r="AJ152" s="51">
        <v>7.2450575070407169E-2</v>
      </c>
      <c r="AK152" s="52">
        <v>7.3737057317416116E-2</v>
      </c>
      <c r="AM152" s="28">
        <v>1.928571428571429</v>
      </c>
      <c r="AN152" s="28">
        <v>3.5</v>
      </c>
      <c r="AO152" s="28">
        <v>3.1428571428571428</v>
      </c>
      <c r="AP152" s="28">
        <v>4</v>
      </c>
      <c r="AQ152" s="28">
        <v>0.15340909090909091</v>
      </c>
      <c r="AR152" s="28">
        <v>0.27840909090909088</v>
      </c>
      <c r="AS152" s="28">
        <v>0.25</v>
      </c>
      <c r="AT152" s="28">
        <v>0.31818181818181818</v>
      </c>
      <c r="AU152" s="25">
        <v>1.6</v>
      </c>
      <c r="AV152" s="25">
        <v>3.44</v>
      </c>
      <c r="AW152" s="25">
        <v>1.84</v>
      </c>
      <c r="AX152" s="25">
        <v>2.882857142857143</v>
      </c>
      <c r="AY152">
        <v>2.882857142857143</v>
      </c>
      <c r="AZ152">
        <v>6.350050364285714</v>
      </c>
      <c r="BA152" s="75">
        <v>0.52239337321040458</v>
      </c>
      <c r="BB152" s="75">
        <v>0.53166934928012111</v>
      </c>
      <c r="BE152">
        <v>3.6225287535203578E-2</v>
      </c>
      <c r="BF152">
        <v>3.6868528658708058E-2</v>
      </c>
      <c r="BH152">
        <v>7.3093816193911643E-2</v>
      </c>
      <c r="BI152">
        <v>3.6546908096955821E-2</v>
      </c>
      <c r="BJ152">
        <v>0.52703136124526284</v>
      </c>
    </row>
    <row r="153" spans="1:68" x14ac:dyDescent="0.3">
      <c r="A153" s="2" t="s">
        <v>130</v>
      </c>
      <c r="B153" s="13" t="s">
        <v>757</v>
      </c>
      <c r="C153" s="13"/>
      <c r="F153" s="2">
        <v>2.2200000000000002</v>
      </c>
      <c r="G153" s="2" t="s">
        <v>133</v>
      </c>
      <c r="H153" s="9" t="s">
        <v>573</v>
      </c>
      <c r="I153">
        <v>-1</v>
      </c>
      <c r="J153"/>
      <c r="L153" s="25">
        <v>4</v>
      </c>
      <c r="M153">
        <v>0</v>
      </c>
      <c r="N153">
        <v>0</v>
      </c>
      <c r="T153" s="25">
        <v>5.5809040000000003</v>
      </c>
      <c r="U153" s="25">
        <v>5.6539380000000001</v>
      </c>
      <c r="V153" s="25">
        <v>29.812771999999999</v>
      </c>
      <c r="W153">
        <v>0</v>
      </c>
      <c r="Z153">
        <v>0</v>
      </c>
      <c r="AD153">
        <v>16</v>
      </c>
      <c r="AE153" s="55">
        <f t="shared" si="6"/>
        <v>0</v>
      </c>
      <c r="AF153" s="57">
        <v>940.71474773474347</v>
      </c>
      <c r="AG153" s="55">
        <v>0</v>
      </c>
      <c r="AH153" s="55">
        <v>0</v>
      </c>
      <c r="AJ153" s="51">
        <v>6.8033375849706881E-2</v>
      </c>
      <c r="AM153" s="28">
        <v>1.928571428571429</v>
      </c>
      <c r="AN153" s="28">
        <v>3.5</v>
      </c>
      <c r="AO153" s="28">
        <v>3.8571428571428572</v>
      </c>
      <c r="AP153" s="28">
        <v>4</v>
      </c>
      <c r="AQ153" s="28">
        <v>0.1451612903225806</v>
      </c>
      <c r="AR153" s="28">
        <v>0.26344086021505381</v>
      </c>
      <c r="AS153" s="28">
        <v>0.29032258064516131</v>
      </c>
      <c r="AT153" s="28">
        <v>0.30107526881720431</v>
      </c>
      <c r="AU153" s="25">
        <v>1.6</v>
      </c>
      <c r="AV153" s="25">
        <v>3.44</v>
      </c>
      <c r="AW153" s="25">
        <v>1.84</v>
      </c>
      <c r="AX153" s="25">
        <v>2.8685714285714279</v>
      </c>
      <c r="AY153">
        <v>2.8685714285714279</v>
      </c>
      <c r="AZ153">
        <v>6.299944650714286</v>
      </c>
      <c r="BA153" s="75">
        <v>0.51496474224831645</v>
      </c>
      <c r="BE153">
        <v>3.4016687924853441E-2</v>
      </c>
      <c r="BH153">
        <v>6.8033375849706881E-2</v>
      </c>
      <c r="BI153">
        <v>3.4016687924853441E-2</v>
      </c>
      <c r="BJ153">
        <v>0.51496474224831645</v>
      </c>
    </row>
    <row r="154" spans="1:68" x14ac:dyDescent="0.3">
      <c r="A154" s="2" t="s">
        <v>131</v>
      </c>
      <c r="B154" s="13" t="s">
        <v>758</v>
      </c>
      <c r="C154" s="13"/>
      <c r="F154" s="2">
        <v>2.29</v>
      </c>
      <c r="G154" s="2" t="s">
        <v>133</v>
      </c>
      <c r="H154" s="9" t="s">
        <v>574</v>
      </c>
      <c r="I154" t="s">
        <v>651</v>
      </c>
      <c r="J154"/>
      <c r="L154" s="25">
        <v>1</v>
      </c>
      <c r="M154">
        <v>4</v>
      </c>
      <c r="N154">
        <v>0</v>
      </c>
      <c r="T154" s="25">
        <v>3.9070640000000001</v>
      </c>
      <c r="U154" s="25">
        <v>3.9070640000000001</v>
      </c>
      <c r="V154" s="25">
        <v>14.317354999999999</v>
      </c>
      <c r="W154">
        <v>5.4588999999999999</v>
      </c>
      <c r="X154">
        <v>5.5044000000000004</v>
      </c>
      <c r="Y154">
        <v>28.6998</v>
      </c>
      <c r="Z154">
        <v>0</v>
      </c>
      <c r="AD154">
        <v>16</v>
      </c>
      <c r="AE154" s="55">
        <f t="shared" si="6"/>
        <v>0</v>
      </c>
      <c r="AF154" s="57">
        <v>218.55655879400501</v>
      </c>
      <c r="AG154" s="55">
        <v>862.37070529816799</v>
      </c>
      <c r="AH154" s="55">
        <v>0</v>
      </c>
      <c r="AJ154" s="51">
        <v>7.320759481338833E-2</v>
      </c>
      <c r="AK154" s="52">
        <v>7.4214023745010863E-2</v>
      </c>
      <c r="AM154" s="28">
        <v>2</v>
      </c>
      <c r="AN154" s="28">
        <v>3.5</v>
      </c>
      <c r="AO154" s="28">
        <v>3.0714285714285721</v>
      </c>
      <c r="AP154" s="28">
        <v>5</v>
      </c>
      <c r="AQ154" s="28">
        <v>0.14736842105263159</v>
      </c>
      <c r="AR154" s="28">
        <v>0.25789473684210529</v>
      </c>
      <c r="AS154" s="28">
        <v>0.22631578947368419</v>
      </c>
      <c r="AT154" s="28">
        <v>0.36842105263157893</v>
      </c>
      <c r="AU154" s="25">
        <v>1.5</v>
      </c>
      <c r="AV154" s="25">
        <v>3.44</v>
      </c>
      <c r="AW154" s="25">
        <v>1.94</v>
      </c>
      <c r="AX154" s="25">
        <v>2.875714285714285</v>
      </c>
      <c r="AY154">
        <v>2.875714285714285</v>
      </c>
      <c r="AZ154">
        <v>6.3570658642857136</v>
      </c>
      <c r="BA154" s="75">
        <v>0.52785174392365897</v>
      </c>
      <c r="BB154" s="75">
        <v>0.53510844000890001</v>
      </c>
      <c r="BE154">
        <v>3.6603797406694158E-2</v>
      </c>
      <c r="BF154">
        <v>3.7107011872505431E-2</v>
      </c>
      <c r="BH154">
        <v>7.3710809279199596E-2</v>
      </c>
      <c r="BI154">
        <v>3.6855404639599798E-2</v>
      </c>
      <c r="BJ154">
        <v>0.53148009196627943</v>
      </c>
    </row>
    <row r="155" spans="1:68" x14ac:dyDescent="0.3">
      <c r="A155" s="2" t="s">
        <v>132</v>
      </c>
      <c r="B155" s="13" t="s">
        <v>759</v>
      </c>
      <c r="C155" s="13"/>
      <c r="F155" s="2">
        <v>2.27</v>
      </c>
      <c r="G155" s="2" t="s">
        <v>133</v>
      </c>
      <c r="H155" s="9" t="s">
        <v>575</v>
      </c>
      <c r="I155">
        <v>-1</v>
      </c>
      <c r="J155"/>
      <c r="L155" s="25">
        <v>4</v>
      </c>
      <c r="M155">
        <v>0</v>
      </c>
      <c r="N155">
        <v>0</v>
      </c>
      <c r="T155" s="25">
        <v>5.4952131800000004</v>
      </c>
      <c r="U155" s="25">
        <v>5.5421627200000003</v>
      </c>
      <c r="V155" s="25">
        <v>29.451395720000001</v>
      </c>
      <c r="W155">
        <v>0</v>
      </c>
      <c r="Z155">
        <v>0</v>
      </c>
      <c r="AD155">
        <v>16</v>
      </c>
      <c r="AE155" s="55">
        <f t="shared" si="6"/>
        <v>0</v>
      </c>
      <c r="AF155" s="57">
        <v>896.95302480881253</v>
      </c>
      <c r="AG155" s="55">
        <v>0</v>
      </c>
      <c r="AH155" s="55">
        <v>0</v>
      </c>
      <c r="AJ155" s="51">
        <v>7.1352677598296457E-2</v>
      </c>
      <c r="AM155" s="28">
        <v>2</v>
      </c>
      <c r="AN155" s="28">
        <v>3.5</v>
      </c>
      <c r="AO155" s="28">
        <v>3.785714285714286</v>
      </c>
      <c r="AP155" s="28">
        <v>5</v>
      </c>
      <c r="AQ155" s="28">
        <v>0.14000000000000001</v>
      </c>
      <c r="AR155" s="28">
        <v>0.245</v>
      </c>
      <c r="AS155" s="28">
        <v>0.26500000000000001</v>
      </c>
      <c r="AT155" s="28">
        <v>0.35</v>
      </c>
      <c r="AU155" s="25">
        <v>1.5</v>
      </c>
      <c r="AV155" s="25">
        <v>3.44</v>
      </c>
      <c r="AW155" s="25">
        <v>1.94</v>
      </c>
      <c r="AX155" s="25">
        <v>2.8614285714285721</v>
      </c>
      <c r="AY155">
        <v>2.8614285714285712</v>
      </c>
      <c r="AZ155">
        <v>6.3069601507142856</v>
      </c>
      <c r="BA155" s="75">
        <v>0.54008951884595136</v>
      </c>
      <c r="BE155">
        <v>3.5676338799148229E-2</v>
      </c>
      <c r="BH155">
        <v>7.1352677598296457E-2</v>
      </c>
      <c r="BI155">
        <v>3.5676338799148229E-2</v>
      </c>
      <c r="BJ155">
        <v>0.54008951884595136</v>
      </c>
    </row>
    <row r="156" spans="1:68" x14ac:dyDescent="0.3">
      <c r="A156" s="2" t="s">
        <v>136</v>
      </c>
      <c r="B156" s="13" t="s">
        <v>760</v>
      </c>
      <c r="C156" s="13"/>
      <c r="F156" s="2">
        <v>3.8</v>
      </c>
      <c r="G156" s="2" t="s">
        <v>135</v>
      </c>
      <c r="H156" s="9">
        <v>-1</v>
      </c>
      <c r="I156">
        <v>-1</v>
      </c>
      <c r="J156" t="s">
        <v>1164</v>
      </c>
      <c r="L156" s="25">
        <v>0</v>
      </c>
      <c r="M156">
        <v>0</v>
      </c>
      <c r="N156">
        <v>1</v>
      </c>
      <c r="O156" s="2">
        <v>3.89</v>
      </c>
      <c r="P156" s="2">
        <v>3.89</v>
      </c>
      <c r="Q156" s="2">
        <v>10.34</v>
      </c>
      <c r="R156" s="2" t="s">
        <v>440</v>
      </c>
      <c r="T156" s="25">
        <v>0</v>
      </c>
      <c r="U156" s="25"/>
      <c r="V156" s="25"/>
      <c r="W156">
        <v>0</v>
      </c>
      <c r="Z156">
        <v>3.88</v>
      </c>
      <c r="AA156">
        <v>3.88</v>
      </c>
      <c r="AB156">
        <v>10.66</v>
      </c>
      <c r="AC156" s="2">
        <v>2</v>
      </c>
      <c r="AD156">
        <v>14</v>
      </c>
      <c r="AE156" s="55">
        <f t="shared" si="6"/>
        <v>156.465914</v>
      </c>
      <c r="AF156" s="57">
        <v>0</v>
      </c>
      <c r="AG156" s="55">
        <v>0</v>
      </c>
      <c r="AH156" s="55">
        <v>160.479904</v>
      </c>
      <c r="AJ156" s="51"/>
      <c r="AL156" s="52">
        <v>8.7238337331009372E-2</v>
      </c>
      <c r="AM156" s="28">
        <v>1.9090909090909089</v>
      </c>
      <c r="AN156" s="28">
        <v>2.545454545454545</v>
      </c>
      <c r="AO156" s="28">
        <v>0.63636363636363635</v>
      </c>
      <c r="AP156" s="28">
        <v>2.545454545454545</v>
      </c>
      <c r="AQ156" s="28">
        <v>0.25</v>
      </c>
      <c r="AR156" s="28">
        <v>0.33333333333333331</v>
      </c>
      <c r="AS156" s="28">
        <v>8.3333333333333329E-2</v>
      </c>
      <c r="AT156" s="28">
        <v>0.33333333333333331</v>
      </c>
      <c r="AU156" s="25">
        <v>1.1000000000000001</v>
      </c>
      <c r="AV156" s="25">
        <v>3.44</v>
      </c>
      <c r="AW156" s="25">
        <v>2.34</v>
      </c>
      <c r="AX156" s="25">
        <v>2.7618181818181822</v>
      </c>
      <c r="AY156">
        <v>2.7618181818181822</v>
      </c>
      <c r="AZ156">
        <v>6.4448628590773636</v>
      </c>
      <c r="BC156" s="75">
        <v>0</v>
      </c>
      <c r="BG156">
        <v>4.3619168665504693E-2</v>
      </c>
      <c r="BH156">
        <v>8.7238337331009372E-2</v>
      </c>
      <c r="BI156">
        <v>4.3619168665504693E-2</v>
      </c>
      <c r="BJ156">
        <v>0</v>
      </c>
    </row>
    <row r="157" spans="1:68" x14ac:dyDescent="0.3">
      <c r="A157" s="2" t="s">
        <v>137</v>
      </c>
      <c r="B157" s="13" t="s">
        <v>761</v>
      </c>
      <c r="C157" s="13"/>
      <c r="F157" s="2">
        <v>3.85</v>
      </c>
      <c r="G157" s="2" t="s">
        <v>135</v>
      </c>
      <c r="H157" s="9" t="s">
        <v>576</v>
      </c>
      <c r="I157" t="s">
        <v>652</v>
      </c>
      <c r="J157"/>
      <c r="L157" s="25">
        <v>1</v>
      </c>
      <c r="M157">
        <v>2</v>
      </c>
      <c r="N157">
        <v>0</v>
      </c>
      <c r="O157" s="2">
        <v>3.85</v>
      </c>
      <c r="P157" s="2">
        <v>3.85</v>
      </c>
      <c r="Q157" s="2">
        <v>12.77</v>
      </c>
      <c r="R157" s="2" t="s">
        <v>440</v>
      </c>
      <c r="T157" s="25">
        <v>11.210029909999999</v>
      </c>
      <c r="U157" s="25">
        <v>11.210029909999999</v>
      </c>
      <c r="V157" s="25">
        <v>11.210029909999999</v>
      </c>
      <c r="W157">
        <v>3.8955000000000002</v>
      </c>
      <c r="X157">
        <v>3.8955000000000002</v>
      </c>
      <c r="Y157">
        <v>21.436</v>
      </c>
      <c r="Z157">
        <v>0</v>
      </c>
      <c r="AC157" s="2">
        <v>2</v>
      </c>
      <c r="AD157">
        <v>14</v>
      </c>
      <c r="AE157" s="55">
        <f t="shared" si="6"/>
        <v>189.28332500000002</v>
      </c>
      <c r="AF157" s="57">
        <v>167.3639996655379</v>
      </c>
      <c r="AG157" s="55">
        <v>325.28959047900003</v>
      </c>
      <c r="AH157" s="55">
        <v>0</v>
      </c>
      <c r="AJ157" s="51">
        <v>8.365000853216796E-2</v>
      </c>
      <c r="AK157" s="52">
        <v>8.607714731593176E-2</v>
      </c>
      <c r="AM157" s="28">
        <v>1.9090909090909089</v>
      </c>
      <c r="AN157" s="28">
        <v>2.545454545454545</v>
      </c>
      <c r="AO157" s="28">
        <v>0.63636363636363635</v>
      </c>
      <c r="AP157" s="28">
        <v>2.545454545454545</v>
      </c>
      <c r="AQ157" s="28">
        <v>0.25</v>
      </c>
      <c r="AR157" s="28">
        <v>0.33333333333333331</v>
      </c>
      <c r="AS157" s="28">
        <v>8.3333333333333329E-2</v>
      </c>
      <c r="AT157" s="28">
        <v>0.33333333333333331</v>
      </c>
      <c r="AU157" s="25">
        <v>0.93</v>
      </c>
      <c r="AV157" s="25">
        <v>3.44</v>
      </c>
      <c r="AW157" s="25">
        <v>2.5099999999999998</v>
      </c>
      <c r="AX157" s="25">
        <v>2.646363636363636</v>
      </c>
      <c r="AY157">
        <v>2.646363636363636</v>
      </c>
      <c r="AZ157">
        <v>6.0509524322727266</v>
      </c>
      <c r="BA157" s="75">
        <v>0.45356967584663088</v>
      </c>
      <c r="BB157" s="75">
        <v>0</v>
      </c>
      <c r="BE157">
        <v>4.1825004266083973E-2</v>
      </c>
      <c r="BF157">
        <v>4.303857365796588E-2</v>
      </c>
      <c r="BH157">
        <v>8.486357792404986E-2</v>
      </c>
      <c r="BI157">
        <v>4.243178896202493E-2</v>
      </c>
      <c r="BJ157">
        <v>0.22678483792331541</v>
      </c>
    </row>
    <row r="158" spans="1:68" x14ac:dyDescent="0.3">
      <c r="A158" s="2" t="s">
        <v>10</v>
      </c>
      <c r="B158" s="13" t="s">
        <v>695</v>
      </c>
      <c r="C158" s="13"/>
      <c r="F158" s="2">
        <v>3.9</v>
      </c>
      <c r="G158" s="2" t="s">
        <v>135</v>
      </c>
      <c r="H158" s="9" t="s">
        <v>531</v>
      </c>
      <c r="I158">
        <v>-1</v>
      </c>
      <c r="J158"/>
      <c r="L158" s="25">
        <v>1</v>
      </c>
      <c r="M158">
        <v>0</v>
      </c>
      <c r="N158">
        <v>0</v>
      </c>
      <c r="O158" s="2">
        <v>3.88</v>
      </c>
      <c r="P158" s="2">
        <v>3.88</v>
      </c>
      <c r="Q158" s="2">
        <v>11.07</v>
      </c>
      <c r="R158" s="2" t="s">
        <v>439</v>
      </c>
      <c r="T158" s="25">
        <v>3.9103940000000001</v>
      </c>
      <c r="U158" s="25">
        <v>3.9103940000000001</v>
      </c>
      <c r="V158" s="25">
        <v>11.314458</v>
      </c>
      <c r="W158">
        <v>0</v>
      </c>
      <c r="Z158">
        <v>0</v>
      </c>
      <c r="AC158" s="2">
        <v>2</v>
      </c>
      <c r="AD158">
        <v>14</v>
      </c>
      <c r="AE158" s="55">
        <f t="shared" si="6"/>
        <v>166.652208</v>
      </c>
      <c r="AF158" s="57">
        <v>173.0114278564659</v>
      </c>
      <c r="AG158" s="55">
        <v>0</v>
      </c>
      <c r="AH158" s="55">
        <v>0</v>
      </c>
      <c r="AJ158" s="51">
        <v>8.0919510193365449E-2</v>
      </c>
      <c r="AM158" s="28">
        <v>1.9090909090909089</v>
      </c>
      <c r="AN158" s="28">
        <v>2.545454545454545</v>
      </c>
      <c r="AO158" s="28">
        <v>0.63636363636363635</v>
      </c>
      <c r="AP158" s="28">
        <v>2.545454545454545</v>
      </c>
      <c r="AQ158" s="28">
        <v>0.25</v>
      </c>
      <c r="AR158" s="28">
        <v>0.33333333333333331</v>
      </c>
      <c r="AS158" s="28">
        <v>8.3333333333333329E-2</v>
      </c>
      <c r="AT158" s="28">
        <v>0.33333333333333331</v>
      </c>
      <c r="AU158" s="25">
        <v>0.82</v>
      </c>
      <c r="AV158" s="25">
        <v>3.44</v>
      </c>
      <c r="AW158" s="25">
        <v>2.62</v>
      </c>
      <c r="AX158" s="25">
        <v>2.6363636363636358</v>
      </c>
      <c r="AY158">
        <v>2.6363636363636371</v>
      </c>
      <c r="AZ158">
        <v>6.0044088459090901</v>
      </c>
      <c r="BA158" s="75">
        <v>0.5117218936152963</v>
      </c>
      <c r="BE158">
        <v>4.0459755096682717E-2</v>
      </c>
      <c r="BH158">
        <v>8.0919510193365449E-2</v>
      </c>
      <c r="BI158">
        <v>4.0459755096682717E-2</v>
      </c>
      <c r="BJ158">
        <v>0.5117218936152963</v>
      </c>
    </row>
    <row r="159" spans="1:68" x14ac:dyDescent="0.3">
      <c r="A159" s="2" t="s">
        <v>138</v>
      </c>
      <c r="B159" s="13" t="s">
        <v>762</v>
      </c>
      <c r="C159" s="13"/>
      <c r="F159" s="2">
        <v>3.95</v>
      </c>
      <c r="G159" s="2" t="s">
        <v>135</v>
      </c>
      <c r="H159" s="9">
        <v>-1</v>
      </c>
      <c r="I159">
        <v>-1</v>
      </c>
      <c r="J159" t="s">
        <v>1165</v>
      </c>
      <c r="L159" s="25">
        <v>0</v>
      </c>
      <c r="M159">
        <v>0</v>
      </c>
      <c r="N159">
        <v>1</v>
      </c>
      <c r="O159" s="2">
        <v>3.88</v>
      </c>
      <c r="P159" s="2">
        <v>3.88</v>
      </c>
      <c r="Q159" s="2">
        <v>11.07</v>
      </c>
      <c r="R159" s="2" t="s">
        <v>439</v>
      </c>
      <c r="T159" s="25">
        <v>0</v>
      </c>
      <c r="U159" s="25"/>
      <c r="V159" s="25"/>
      <c r="W159">
        <v>0</v>
      </c>
      <c r="Z159">
        <v>3.899</v>
      </c>
      <c r="AA159">
        <v>3.899</v>
      </c>
      <c r="AB159">
        <v>11.292</v>
      </c>
      <c r="AC159" s="2">
        <v>2</v>
      </c>
      <c r="AD159">
        <v>14</v>
      </c>
      <c r="AE159" s="55">
        <f t="shared" si="6"/>
        <v>166.652208</v>
      </c>
      <c r="AF159" s="57">
        <v>0</v>
      </c>
      <c r="AG159" s="55">
        <v>0</v>
      </c>
      <c r="AH159" s="55">
        <v>171.66325369200001</v>
      </c>
      <c r="AJ159" s="51"/>
      <c r="AL159" s="52">
        <v>8.1555019486691915E-2</v>
      </c>
      <c r="AM159" s="28">
        <v>1.9090909090909089</v>
      </c>
      <c r="AN159" s="28">
        <v>2.545454545454545</v>
      </c>
      <c r="AO159" s="28">
        <v>0.63636363636363635</v>
      </c>
      <c r="AP159" s="28">
        <v>2.545454545454545</v>
      </c>
      <c r="AQ159" s="28">
        <v>0.25</v>
      </c>
      <c r="AR159" s="28">
        <v>0.33333333333333331</v>
      </c>
      <c r="AS159" s="28">
        <v>8.3333333333333329E-2</v>
      </c>
      <c r="AT159" s="28">
        <v>0.33333333333333331</v>
      </c>
      <c r="AU159" s="25">
        <v>0.79</v>
      </c>
      <c r="AV159" s="25">
        <v>3.44</v>
      </c>
      <c r="AW159" s="25">
        <v>2.65</v>
      </c>
      <c r="AX159" s="25">
        <v>2.6336363636363629</v>
      </c>
      <c r="AY159">
        <v>2.6336363636363642</v>
      </c>
      <c r="AZ159">
        <v>5.9908857398831818</v>
      </c>
      <c r="BC159" s="75">
        <v>0.54881524259093173</v>
      </c>
      <c r="BG159">
        <v>4.0777509743345958E-2</v>
      </c>
      <c r="BH159">
        <v>8.1555019486691915E-2</v>
      </c>
      <c r="BI159">
        <v>4.0777509743345958E-2</v>
      </c>
      <c r="BJ159">
        <v>0.54881524259093173</v>
      </c>
    </row>
    <row r="160" spans="1:68" x14ac:dyDescent="0.3">
      <c r="A160" s="2" t="s">
        <v>139</v>
      </c>
      <c r="B160" s="13" t="s">
        <v>763</v>
      </c>
      <c r="C160" s="13"/>
      <c r="F160" s="2">
        <v>3.55</v>
      </c>
      <c r="G160" s="2" t="s">
        <v>135</v>
      </c>
      <c r="H160" s="9">
        <v>-1</v>
      </c>
      <c r="I160">
        <v>-1</v>
      </c>
      <c r="J160"/>
      <c r="K160" s="2">
        <v>1</v>
      </c>
      <c r="L160" s="25">
        <v>0</v>
      </c>
      <c r="M160">
        <v>0</v>
      </c>
      <c r="N160">
        <v>0</v>
      </c>
      <c r="O160" s="2">
        <v>3.9</v>
      </c>
      <c r="P160" s="2">
        <v>3.9</v>
      </c>
      <c r="Q160" s="2">
        <v>11.07</v>
      </c>
      <c r="R160" s="2" t="s">
        <v>519</v>
      </c>
      <c r="T160" s="25">
        <v>0</v>
      </c>
      <c r="U160" s="25"/>
      <c r="V160" s="25"/>
      <c r="W160">
        <v>0</v>
      </c>
      <c r="Z160">
        <v>0</v>
      </c>
      <c r="AC160" s="2">
        <v>2</v>
      </c>
      <c r="AD160">
        <v>14</v>
      </c>
      <c r="AE160" s="55">
        <f t="shared" si="6"/>
        <v>168.37469999999999</v>
      </c>
      <c r="AF160" s="57">
        <v>0</v>
      </c>
      <c r="AG160" s="55">
        <v>0</v>
      </c>
      <c r="AH160" s="55">
        <v>0</v>
      </c>
      <c r="AI160" s="52">
        <f>K160*AD160/AE160</f>
        <v>8.3147883856660179E-2</v>
      </c>
      <c r="AJ160" s="51"/>
      <c r="AM160" s="28">
        <v>1.9090909090909089</v>
      </c>
      <c r="AN160" s="28">
        <v>2.545454545454545</v>
      </c>
      <c r="AO160" s="28">
        <v>0.54545454545454541</v>
      </c>
      <c r="AP160" s="28">
        <v>2.8181818181818179</v>
      </c>
      <c r="AQ160" s="28">
        <v>0.2441860465116279</v>
      </c>
      <c r="AR160" s="28">
        <v>0.32558139534883718</v>
      </c>
      <c r="AS160" s="28">
        <v>6.9767441860465115E-2</v>
      </c>
      <c r="AT160" s="28">
        <v>0.3604651162790698</v>
      </c>
      <c r="AU160" s="25">
        <v>1.1299999999999999</v>
      </c>
      <c r="AV160" s="25">
        <v>3.44</v>
      </c>
      <c r="AW160" s="25">
        <v>2.31</v>
      </c>
      <c r="AX160" s="25">
        <v>2.7645454545454542</v>
      </c>
      <c r="AY160">
        <v>2.7645454545454551</v>
      </c>
      <c r="AZ160">
        <v>6.4196350590773639</v>
      </c>
      <c r="BD160">
        <v>4.157394192833009E-2</v>
      </c>
      <c r="BH160">
        <v>8.3147883856660179E-2</v>
      </c>
      <c r="BI160">
        <v>4.157394192833009E-2</v>
      </c>
      <c r="BJ160">
        <v>0</v>
      </c>
    </row>
    <row r="161" spans="1:68" x14ac:dyDescent="0.3">
      <c r="A161" s="2" t="s">
        <v>140</v>
      </c>
      <c r="B161" s="13" t="s">
        <v>764</v>
      </c>
      <c r="C161" s="13"/>
      <c r="F161" s="2">
        <v>3.55</v>
      </c>
      <c r="G161" s="2" t="s">
        <v>135</v>
      </c>
      <c r="H161" s="9">
        <v>-1</v>
      </c>
      <c r="I161">
        <v>-1</v>
      </c>
      <c r="J161"/>
      <c r="K161" s="2">
        <v>1</v>
      </c>
      <c r="L161" s="25">
        <v>0</v>
      </c>
      <c r="M161">
        <v>0</v>
      </c>
      <c r="N161">
        <v>0</v>
      </c>
      <c r="O161" s="2">
        <v>3.88</v>
      </c>
      <c r="P161" s="2">
        <v>3.88</v>
      </c>
      <c r="Q161" s="2">
        <v>11.297000000000001</v>
      </c>
      <c r="R161" s="2" t="s">
        <v>439</v>
      </c>
      <c r="T161" s="25">
        <v>0</v>
      </c>
      <c r="U161" s="25"/>
      <c r="V161" s="25"/>
      <c r="W161">
        <v>0</v>
      </c>
      <c r="Z161">
        <v>0</v>
      </c>
      <c r="AC161" s="2">
        <v>2</v>
      </c>
      <c r="AD161">
        <v>14</v>
      </c>
      <c r="AE161" s="55">
        <f t="shared" si="6"/>
        <v>170.06955680000002</v>
      </c>
      <c r="AF161" s="57">
        <v>0</v>
      </c>
      <c r="AG161" s="55">
        <v>0</v>
      </c>
      <c r="AH161" s="55">
        <v>0</v>
      </c>
      <c r="AI161" s="52">
        <f>K161*AD161/AE161</f>
        <v>8.2319259621896068E-2</v>
      </c>
      <c r="AJ161" s="51"/>
      <c r="AM161" s="28">
        <v>1.9090909090909089</v>
      </c>
      <c r="AN161" s="28">
        <v>2.545454545454545</v>
      </c>
      <c r="AO161" s="28">
        <v>0.54545454545454541</v>
      </c>
      <c r="AP161" s="28">
        <v>2.8181818181818179</v>
      </c>
      <c r="AQ161" s="28">
        <v>0.2441860465116279</v>
      </c>
      <c r="AR161" s="28">
        <v>0.32558139534883718</v>
      </c>
      <c r="AS161" s="28">
        <v>6.9767441860465115E-2</v>
      </c>
      <c r="AT161" s="28">
        <v>0.3604651162790698</v>
      </c>
      <c r="AU161" s="25">
        <v>0.93</v>
      </c>
      <c r="AV161" s="25">
        <v>3.44</v>
      </c>
      <c r="AW161" s="25">
        <v>2.5099999999999998</v>
      </c>
      <c r="AX161" s="25">
        <v>2.6490909090909089</v>
      </c>
      <c r="AY161">
        <v>2.6490909090909081</v>
      </c>
      <c r="AZ161">
        <v>6.0257246322727269</v>
      </c>
      <c r="BD161">
        <v>4.1159629810948027E-2</v>
      </c>
      <c r="BH161">
        <v>8.2319259621896068E-2</v>
      </c>
      <c r="BI161">
        <v>4.1159629810948027E-2</v>
      </c>
      <c r="BJ161">
        <v>0</v>
      </c>
    </row>
    <row r="162" spans="1:68" x14ac:dyDescent="0.3">
      <c r="A162" s="2" t="s">
        <v>11</v>
      </c>
      <c r="B162" s="13" t="s">
        <v>696</v>
      </c>
      <c r="C162" s="13"/>
      <c r="F162" s="2">
        <v>3.55</v>
      </c>
      <c r="G162" s="2" t="s">
        <v>135</v>
      </c>
      <c r="H162" s="9">
        <v>-1</v>
      </c>
      <c r="I162">
        <v>-1</v>
      </c>
      <c r="J162" t="s">
        <v>1144</v>
      </c>
      <c r="K162" s="2">
        <v>1</v>
      </c>
      <c r="L162" s="25">
        <v>0</v>
      </c>
      <c r="M162">
        <v>0</v>
      </c>
      <c r="N162">
        <v>1</v>
      </c>
      <c r="O162" s="2">
        <v>3.88</v>
      </c>
      <c r="P162" s="2">
        <v>3.88</v>
      </c>
      <c r="Q162" s="2">
        <v>10.647</v>
      </c>
      <c r="R162" s="2" t="s">
        <v>439</v>
      </c>
      <c r="T162" s="25">
        <v>0</v>
      </c>
      <c r="U162" s="25"/>
      <c r="V162" s="25"/>
      <c r="W162">
        <v>0</v>
      </c>
      <c r="Z162">
        <v>3.8653</v>
      </c>
      <c r="AA162">
        <v>3.8653</v>
      </c>
      <c r="AB162">
        <v>11.0131</v>
      </c>
      <c r="AC162" s="2">
        <v>2</v>
      </c>
      <c r="AD162">
        <v>14</v>
      </c>
      <c r="AE162" s="55">
        <f t="shared" si="6"/>
        <v>160.28419679999999</v>
      </c>
      <c r="AF162" s="57">
        <v>0</v>
      </c>
      <c r="AG162" s="55">
        <v>0</v>
      </c>
      <c r="AH162" s="55">
        <v>164.541706117579</v>
      </c>
      <c r="AI162" s="52">
        <f>K162*AD162/AE162</f>
        <v>8.7344855447408651E-2</v>
      </c>
      <c r="AJ162" s="51"/>
      <c r="AL162" s="52">
        <v>8.5084811202795069E-2</v>
      </c>
      <c r="AM162" s="28">
        <v>1.9090909090909089</v>
      </c>
      <c r="AN162" s="28">
        <v>2.545454545454545</v>
      </c>
      <c r="AO162" s="28">
        <v>0.54545454545454541</v>
      </c>
      <c r="AP162" s="28">
        <v>2.8181818181818179</v>
      </c>
      <c r="AQ162" s="28">
        <v>0.2441860465116279</v>
      </c>
      <c r="AR162" s="28">
        <v>0.32558139534883718</v>
      </c>
      <c r="AS162" s="28">
        <v>6.9767441860465115E-2</v>
      </c>
      <c r="AT162" s="28">
        <v>0.3604651162790698</v>
      </c>
      <c r="AU162" s="25">
        <v>0.82</v>
      </c>
      <c r="AV162" s="25">
        <v>3.44</v>
      </c>
      <c r="AW162" s="25">
        <v>2.62</v>
      </c>
      <c r="AX162" s="25">
        <v>2.6390909090909092</v>
      </c>
      <c r="AY162">
        <v>2.6390909090909092</v>
      </c>
      <c r="AZ162">
        <v>5.9791810459090904</v>
      </c>
      <c r="BC162" s="75">
        <v>0.53381265134868672</v>
      </c>
      <c r="BD162">
        <v>4.3672427723704332E-2</v>
      </c>
      <c r="BG162">
        <v>4.2542405601397527E-2</v>
      </c>
      <c r="BH162">
        <v>8.6214833325101853E-2</v>
      </c>
      <c r="BI162">
        <v>4.3107416662550933E-2</v>
      </c>
      <c r="BJ162">
        <v>0.53381265134868672</v>
      </c>
    </row>
    <row r="163" spans="1:68" x14ac:dyDescent="0.3">
      <c r="A163" s="2" t="s">
        <v>141</v>
      </c>
      <c r="B163" s="13" t="s">
        <v>765</v>
      </c>
      <c r="C163" s="13"/>
      <c r="F163" s="2">
        <v>3.55</v>
      </c>
      <c r="G163" s="2" t="s">
        <v>135</v>
      </c>
      <c r="H163" s="9">
        <v>-1</v>
      </c>
      <c r="I163">
        <v>-1</v>
      </c>
      <c r="J163"/>
      <c r="K163" s="2">
        <v>1</v>
      </c>
      <c r="L163" s="25">
        <v>0</v>
      </c>
      <c r="M163">
        <v>0</v>
      </c>
      <c r="N163">
        <v>0</v>
      </c>
      <c r="O163" s="2">
        <v>3.88</v>
      </c>
      <c r="P163" s="2">
        <v>3.88</v>
      </c>
      <c r="Q163" s="2">
        <v>11.066000000000001</v>
      </c>
      <c r="R163" s="2" t="s">
        <v>439</v>
      </c>
      <c r="T163" s="25">
        <v>0</v>
      </c>
      <c r="U163" s="25"/>
      <c r="V163" s="25"/>
      <c r="W163">
        <v>0</v>
      </c>
      <c r="Z163">
        <v>0</v>
      </c>
      <c r="AC163" s="2">
        <v>2</v>
      </c>
      <c r="AD163">
        <v>14</v>
      </c>
      <c r="AE163" s="55">
        <f t="shared" si="6"/>
        <v>166.59199040000001</v>
      </c>
      <c r="AF163" s="57">
        <v>0</v>
      </c>
      <c r="AG163" s="55">
        <v>0</v>
      </c>
      <c r="AH163" s="55">
        <v>0</v>
      </c>
      <c r="AI163" s="52">
        <f>K163*AD163/AE163</f>
        <v>8.4037653709430671E-2</v>
      </c>
      <c r="AJ163" s="51"/>
      <c r="AM163" s="28">
        <v>1.9090909090909089</v>
      </c>
      <c r="AN163" s="28">
        <v>2.545454545454545</v>
      </c>
      <c r="AO163" s="28">
        <v>0.54545454545454541</v>
      </c>
      <c r="AP163" s="28">
        <v>2.8181818181818179</v>
      </c>
      <c r="AQ163" s="28">
        <v>0.2441860465116279</v>
      </c>
      <c r="AR163" s="28">
        <v>0.32558139534883718</v>
      </c>
      <c r="AS163" s="28">
        <v>6.9767441860465115E-2</v>
      </c>
      <c r="AT163" s="28">
        <v>0.3604651162790698</v>
      </c>
      <c r="AU163" s="25">
        <v>0.79</v>
      </c>
      <c r="AV163" s="25">
        <v>3.44</v>
      </c>
      <c r="AW163" s="25">
        <v>2.65</v>
      </c>
      <c r="AX163" s="25">
        <v>2.6363636363636358</v>
      </c>
      <c r="AY163">
        <v>2.6363636363636358</v>
      </c>
      <c r="AZ163">
        <v>5.9656579398831813</v>
      </c>
      <c r="BD163">
        <v>4.2018826854715342E-2</v>
      </c>
      <c r="BH163">
        <v>8.4037653709430671E-2</v>
      </c>
      <c r="BI163">
        <v>4.2018826854715342E-2</v>
      </c>
      <c r="BJ163">
        <v>0</v>
      </c>
    </row>
    <row r="164" spans="1:68" x14ac:dyDescent="0.3">
      <c r="A164" s="2" t="s">
        <v>142</v>
      </c>
      <c r="B164" s="13" t="s">
        <v>766</v>
      </c>
      <c r="C164" s="13"/>
      <c r="F164" s="2">
        <v>4.2</v>
      </c>
      <c r="G164" s="2" t="s">
        <v>135</v>
      </c>
      <c r="H164" s="9">
        <v>-1</v>
      </c>
      <c r="I164">
        <v>-1</v>
      </c>
      <c r="J164"/>
      <c r="K164" s="2">
        <v>1</v>
      </c>
      <c r="L164" s="25">
        <v>0</v>
      </c>
      <c r="M164">
        <v>0</v>
      </c>
      <c r="N164">
        <v>0</v>
      </c>
      <c r="O164" s="2">
        <v>3.92</v>
      </c>
      <c r="P164" s="2">
        <v>3.92</v>
      </c>
      <c r="Q164" s="2">
        <v>11.065</v>
      </c>
      <c r="R164" s="2" t="s">
        <v>439</v>
      </c>
      <c r="T164" s="25">
        <v>0</v>
      </c>
      <c r="U164" s="25"/>
      <c r="V164" s="25"/>
      <c r="W164">
        <v>0</v>
      </c>
      <c r="Z164">
        <v>0</v>
      </c>
      <c r="AC164" s="2">
        <v>2</v>
      </c>
      <c r="AD164">
        <v>14</v>
      </c>
      <c r="AE164" s="55">
        <f t="shared" si="6"/>
        <v>170.02921599999999</v>
      </c>
      <c r="AF164" s="57">
        <v>0</v>
      </c>
      <c r="AG164" s="55">
        <v>0</v>
      </c>
      <c r="AH164" s="55">
        <v>0</v>
      </c>
      <c r="AI164" s="52">
        <f t="shared" ref="AI164:AI171" si="7">K164*AD164/AE164</f>
        <v>8.2338790528799485E-2</v>
      </c>
      <c r="AJ164" s="51"/>
      <c r="AM164" s="28">
        <v>1.9090909090909089</v>
      </c>
      <c r="AN164" s="28">
        <v>2.545454545454545</v>
      </c>
      <c r="AO164" s="28">
        <v>0.54545454545454541</v>
      </c>
      <c r="AP164" s="28">
        <v>2.9090909090909092</v>
      </c>
      <c r="AQ164" s="28">
        <v>0.2413793103448276</v>
      </c>
      <c r="AR164" s="28">
        <v>0.32183908045977011</v>
      </c>
      <c r="AS164" s="28">
        <v>6.8965517241379309E-2</v>
      </c>
      <c r="AT164" s="28">
        <v>0.36781609195402298</v>
      </c>
      <c r="AU164" s="25">
        <v>1.1399999999999999</v>
      </c>
      <c r="AV164" s="25">
        <v>3.44</v>
      </c>
      <c r="AW164" s="25">
        <v>2.2999999999999998</v>
      </c>
      <c r="AX164" s="25">
        <v>2.7654545454545452</v>
      </c>
      <c r="AY164">
        <v>2.7654545454545461</v>
      </c>
      <c r="AZ164">
        <v>6.4215922727137267</v>
      </c>
      <c r="BD164">
        <v>4.1169395264399743E-2</v>
      </c>
      <c r="BH164">
        <v>8.2338790528799485E-2</v>
      </c>
      <c r="BI164">
        <v>4.1169395264399743E-2</v>
      </c>
      <c r="BJ164">
        <v>0</v>
      </c>
    </row>
    <row r="165" spans="1:68" x14ac:dyDescent="0.3">
      <c r="A165" s="2" t="s">
        <v>143</v>
      </c>
      <c r="B165" s="13" t="s">
        <v>767</v>
      </c>
      <c r="C165" s="13"/>
      <c r="F165" s="2">
        <v>4.1500000000000004</v>
      </c>
      <c r="G165" s="2" t="s">
        <v>135</v>
      </c>
      <c r="H165" s="9">
        <v>-1</v>
      </c>
      <c r="I165">
        <v>-1</v>
      </c>
      <c r="J165"/>
      <c r="K165" s="2">
        <v>1</v>
      </c>
      <c r="L165" s="25">
        <v>0</v>
      </c>
      <c r="M165">
        <v>0</v>
      </c>
      <c r="N165">
        <v>0</v>
      </c>
      <c r="O165" s="2">
        <v>3.92</v>
      </c>
      <c r="P165" s="2">
        <v>3.92</v>
      </c>
      <c r="Q165" s="2">
        <v>11.7911</v>
      </c>
      <c r="R165" s="2" t="s">
        <v>439</v>
      </c>
      <c r="T165" s="25">
        <v>0</v>
      </c>
      <c r="U165" s="25"/>
      <c r="V165" s="25"/>
      <c r="W165">
        <v>0</v>
      </c>
      <c r="Z165">
        <v>0</v>
      </c>
      <c r="AC165" s="2">
        <v>2</v>
      </c>
      <c r="AD165">
        <v>14</v>
      </c>
      <c r="AE165" s="55">
        <f t="shared" si="6"/>
        <v>181.18675904</v>
      </c>
      <c r="AF165" s="57">
        <v>0</v>
      </c>
      <c r="AG165" s="55">
        <v>0</v>
      </c>
      <c r="AH165" s="55">
        <v>0</v>
      </c>
      <c r="AI165" s="52">
        <f t="shared" si="7"/>
        <v>7.7268339442559744E-2</v>
      </c>
      <c r="AJ165" s="51"/>
      <c r="AM165" s="28">
        <v>1.9090909090909089</v>
      </c>
      <c r="AN165" s="28">
        <v>2.545454545454545</v>
      </c>
      <c r="AO165" s="28">
        <v>0.54545454545454541</v>
      </c>
      <c r="AP165" s="28">
        <v>2.9090909090909092</v>
      </c>
      <c r="AQ165" s="28">
        <v>0.2413793103448276</v>
      </c>
      <c r="AR165" s="28">
        <v>0.32183908045977011</v>
      </c>
      <c r="AS165" s="28">
        <v>6.8965517241379309E-2</v>
      </c>
      <c r="AT165" s="28">
        <v>0.36781609195402298</v>
      </c>
      <c r="AU165" s="25">
        <v>0.93</v>
      </c>
      <c r="AV165" s="25">
        <v>3.44</v>
      </c>
      <c r="AW165" s="25">
        <v>2.5099999999999998</v>
      </c>
      <c r="AX165" s="25">
        <v>2.65</v>
      </c>
      <c r="AY165">
        <v>2.649999999999999</v>
      </c>
      <c r="AZ165">
        <v>6.0276818459090906</v>
      </c>
      <c r="BD165">
        <v>3.8634169721279872E-2</v>
      </c>
      <c r="BH165">
        <v>7.7268339442559744E-2</v>
      </c>
      <c r="BI165">
        <v>3.8634169721279872E-2</v>
      </c>
      <c r="BJ165">
        <v>0</v>
      </c>
    </row>
    <row r="166" spans="1:68" x14ac:dyDescent="0.3">
      <c r="A166" s="2" t="s">
        <v>12</v>
      </c>
      <c r="B166" s="13" t="s">
        <v>697</v>
      </c>
      <c r="C166" s="13"/>
      <c r="F166" s="2">
        <v>4.1500000000000004</v>
      </c>
      <c r="G166" s="2" t="s">
        <v>135</v>
      </c>
      <c r="H166" s="9">
        <v>-1</v>
      </c>
      <c r="I166">
        <v>-1</v>
      </c>
      <c r="J166"/>
      <c r="K166" s="2">
        <v>1</v>
      </c>
      <c r="L166" s="25">
        <v>0</v>
      </c>
      <c r="M166">
        <v>0</v>
      </c>
      <c r="N166">
        <v>0</v>
      </c>
      <c r="O166" s="2">
        <v>3.92</v>
      </c>
      <c r="P166" s="2">
        <v>3.92</v>
      </c>
      <c r="Q166" s="2">
        <v>11.5395</v>
      </c>
      <c r="R166" s="2" t="s">
        <v>439</v>
      </c>
      <c r="T166" s="25">
        <v>0</v>
      </c>
      <c r="U166" s="25"/>
      <c r="V166" s="25"/>
      <c r="W166">
        <v>0</v>
      </c>
      <c r="Z166">
        <v>0</v>
      </c>
      <c r="AC166" s="2">
        <v>2</v>
      </c>
      <c r="AD166">
        <v>14</v>
      </c>
      <c r="AE166" s="55">
        <f t="shared" si="6"/>
        <v>177.32057279999998</v>
      </c>
      <c r="AF166" s="57">
        <v>0</v>
      </c>
      <c r="AG166" s="55">
        <v>0</v>
      </c>
      <c r="AH166" s="55">
        <v>0</v>
      </c>
      <c r="AI166" s="52">
        <f t="shared" si="7"/>
        <v>7.8953049716293272E-2</v>
      </c>
      <c r="AJ166" s="51"/>
      <c r="AM166" s="28">
        <v>1.9090909090909089</v>
      </c>
      <c r="AN166" s="28">
        <v>2.545454545454545</v>
      </c>
      <c r="AO166" s="28">
        <v>0.54545454545454541</v>
      </c>
      <c r="AP166" s="28">
        <v>2.9090909090909092</v>
      </c>
      <c r="AQ166" s="28">
        <v>0.2413793103448276</v>
      </c>
      <c r="AR166" s="28">
        <v>0.32183908045977011</v>
      </c>
      <c r="AS166" s="28">
        <v>6.8965517241379309E-2</v>
      </c>
      <c r="AT166" s="28">
        <v>0.36781609195402298</v>
      </c>
      <c r="AU166" s="25">
        <v>0.82</v>
      </c>
      <c r="AV166" s="25">
        <v>3.44</v>
      </c>
      <c r="AW166" s="25">
        <v>2.62</v>
      </c>
      <c r="AX166" s="25">
        <v>2.64</v>
      </c>
      <c r="AY166">
        <v>2.64</v>
      </c>
      <c r="AZ166">
        <v>5.9811382595454541</v>
      </c>
      <c r="BD166">
        <v>3.9476524858146643E-2</v>
      </c>
      <c r="BH166">
        <v>7.8953049716293272E-2</v>
      </c>
      <c r="BI166">
        <v>3.9476524858146643E-2</v>
      </c>
      <c r="BJ166">
        <v>0</v>
      </c>
    </row>
    <row r="167" spans="1:68" x14ac:dyDescent="0.3">
      <c r="A167" s="2" t="s">
        <v>144</v>
      </c>
      <c r="B167" s="13" t="s">
        <v>768</v>
      </c>
      <c r="C167" s="13"/>
      <c r="F167" s="2">
        <v>4.1500000000000004</v>
      </c>
      <c r="G167" s="2" t="s">
        <v>135</v>
      </c>
      <c r="H167" s="9">
        <v>-1</v>
      </c>
      <c r="I167">
        <v>-1</v>
      </c>
      <c r="J167"/>
      <c r="K167" s="2">
        <v>1</v>
      </c>
      <c r="L167" s="25">
        <v>0</v>
      </c>
      <c r="M167">
        <v>0</v>
      </c>
      <c r="N167">
        <v>0</v>
      </c>
      <c r="O167" s="2">
        <v>3.84</v>
      </c>
      <c r="P167" s="2">
        <v>3.84</v>
      </c>
      <c r="Q167" s="2">
        <v>11.5395</v>
      </c>
      <c r="R167" s="2" t="s">
        <v>439</v>
      </c>
      <c r="T167" s="25">
        <v>0</v>
      </c>
      <c r="U167" s="25"/>
      <c r="V167" s="25"/>
      <c r="W167">
        <v>0</v>
      </c>
      <c r="Z167">
        <v>0</v>
      </c>
      <c r="AC167" s="2">
        <v>2</v>
      </c>
      <c r="AD167">
        <v>14</v>
      </c>
      <c r="AE167" s="55">
        <f t="shared" si="6"/>
        <v>170.15685120000001</v>
      </c>
      <c r="AF167" s="57">
        <v>0</v>
      </c>
      <c r="AG167" s="55">
        <v>0</v>
      </c>
      <c r="AH167" s="55">
        <v>0</v>
      </c>
      <c r="AI167" s="52">
        <f t="shared" si="7"/>
        <v>8.2277027937855962E-2</v>
      </c>
      <c r="AJ167" s="51"/>
      <c r="AM167" s="28">
        <v>1.9090909090909089</v>
      </c>
      <c r="AN167" s="28">
        <v>2.545454545454545</v>
      </c>
      <c r="AO167" s="28">
        <v>0.54545454545454541</v>
      </c>
      <c r="AP167" s="28">
        <v>2.9090909090909092</v>
      </c>
      <c r="AQ167" s="28">
        <v>0.2413793103448276</v>
      </c>
      <c r="AR167" s="28">
        <v>0.32183908045977011</v>
      </c>
      <c r="AS167" s="28">
        <v>6.8965517241379309E-2</v>
      </c>
      <c r="AT167" s="28">
        <v>0.36781609195402298</v>
      </c>
      <c r="AU167" s="25">
        <v>0.79</v>
      </c>
      <c r="AV167" s="25">
        <v>3.44</v>
      </c>
      <c r="AW167" s="25">
        <v>2.65</v>
      </c>
      <c r="AX167" s="25">
        <v>2.6372727272727272</v>
      </c>
      <c r="AY167">
        <v>2.6372727272727272</v>
      </c>
      <c r="AZ167">
        <v>5.967615153519545</v>
      </c>
      <c r="BD167">
        <v>4.1138513968927981E-2</v>
      </c>
      <c r="BH167">
        <v>8.2277027937855962E-2</v>
      </c>
      <c r="BI167">
        <v>4.1138513968927981E-2</v>
      </c>
      <c r="BJ167">
        <v>0</v>
      </c>
    </row>
    <row r="168" spans="1:68" x14ac:dyDescent="0.3">
      <c r="A168" s="2" t="s">
        <v>145</v>
      </c>
      <c r="B168" s="13" t="s">
        <v>769</v>
      </c>
      <c r="C168" s="13"/>
      <c r="F168" s="2">
        <v>4.1500000000000004</v>
      </c>
      <c r="G168" s="2" t="s">
        <v>135</v>
      </c>
      <c r="H168" s="9">
        <v>-1</v>
      </c>
      <c r="I168">
        <v>-1</v>
      </c>
      <c r="J168"/>
      <c r="K168" s="2">
        <v>1</v>
      </c>
      <c r="L168" s="25">
        <v>0</v>
      </c>
      <c r="M168">
        <v>0</v>
      </c>
      <c r="N168">
        <v>0</v>
      </c>
      <c r="O168" s="2">
        <v>3.85</v>
      </c>
      <c r="P168" s="2">
        <v>3.85</v>
      </c>
      <c r="Q168" s="2">
        <v>10.95</v>
      </c>
      <c r="R168" s="2" t="s">
        <v>439</v>
      </c>
      <c r="T168" s="25">
        <v>0</v>
      </c>
      <c r="U168" s="25"/>
      <c r="V168" s="25"/>
      <c r="W168">
        <v>0</v>
      </c>
      <c r="Z168">
        <v>0</v>
      </c>
      <c r="AC168" s="2">
        <v>2</v>
      </c>
      <c r="AD168">
        <v>14</v>
      </c>
      <c r="AE168" s="55">
        <f t="shared" si="6"/>
        <v>162.306375</v>
      </c>
      <c r="AF168" s="57">
        <v>0</v>
      </c>
      <c r="AG168" s="55">
        <v>0</v>
      </c>
      <c r="AH168" s="55">
        <v>0</v>
      </c>
      <c r="AI168" s="52">
        <f t="shared" si="7"/>
        <v>8.6256624239189617E-2</v>
      </c>
      <c r="AJ168" s="51"/>
      <c r="AM168" s="28">
        <v>1.9090909090909089</v>
      </c>
      <c r="AN168" s="28">
        <v>2.545454545454545</v>
      </c>
      <c r="AO168" s="28">
        <v>0.54545454545454541</v>
      </c>
      <c r="AP168" s="28">
        <v>3.0909090909090908</v>
      </c>
      <c r="AQ168" s="28">
        <v>0.2359550561797753</v>
      </c>
      <c r="AR168" s="28">
        <v>0.3146067415730337</v>
      </c>
      <c r="AS168" s="28">
        <v>6.7415730337078636E-2</v>
      </c>
      <c r="AT168" s="28">
        <v>0.38202247191011229</v>
      </c>
      <c r="AU168" s="25">
        <v>1.17</v>
      </c>
      <c r="AV168" s="25">
        <v>3.44</v>
      </c>
      <c r="AW168" s="25">
        <v>2.27</v>
      </c>
      <c r="AX168" s="25">
        <v>2.7681818181818181</v>
      </c>
      <c r="AY168">
        <v>2.768181818181819</v>
      </c>
      <c r="AZ168">
        <v>6.4299203045319091</v>
      </c>
      <c r="BD168">
        <v>4.3128312119594808E-2</v>
      </c>
      <c r="BH168">
        <v>8.6256624239189617E-2</v>
      </c>
      <c r="BI168">
        <v>4.3128312119594808E-2</v>
      </c>
      <c r="BJ168">
        <v>0</v>
      </c>
    </row>
    <row r="169" spans="1:68" x14ac:dyDescent="0.3">
      <c r="A169" s="2" t="s">
        <v>146</v>
      </c>
      <c r="B169" s="13" t="s">
        <v>770</v>
      </c>
      <c r="C169" s="13"/>
      <c r="F169" s="2">
        <v>4.25</v>
      </c>
      <c r="G169" s="2" t="s">
        <v>135</v>
      </c>
      <c r="H169" s="9">
        <v>-1</v>
      </c>
      <c r="I169">
        <v>-1</v>
      </c>
      <c r="J169"/>
      <c r="K169" s="2">
        <v>1</v>
      </c>
      <c r="L169" s="25">
        <v>0</v>
      </c>
      <c r="M169">
        <v>0</v>
      </c>
      <c r="N169">
        <v>0</v>
      </c>
      <c r="O169" s="2">
        <v>3.88</v>
      </c>
      <c r="P169" s="2">
        <v>3.88</v>
      </c>
      <c r="Q169" s="2">
        <v>11.54</v>
      </c>
      <c r="R169" s="2" t="s">
        <v>439</v>
      </c>
      <c r="T169" s="25">
        <v>0</v>
      </c>
      <c r="U169" s="25"/>
      <c r="V169" s="25"/>
      <c r="W169">
        <v>0</v>
      </c>
      <c r="Z169">
        <v>0</v>
      </c>
      <c r="AC169" s="2">
        <v>2</v>
      </c>
      <c r="AD169">
        <v>14</v>
      </c>
      <c r="AE169" s="55">
        <f t="shared" si="6"/>
        <v>173.72777599999998</v>
      </c>
      <c r="AF169" s="57">
        <v>0</v>
      </c>
      <c r="AG169" s="55">
        <v>0</v>
      </c>
      <c r="AH169" s="55">
        <v>0</v>
      </c>
      <c r="AI169" s="52">
        <f t="shared" si="7"/>
        <v>8.0585847135923747E-2</v>
      </c>
      <c r="AJ169" s="51"/>
      <c r="AM169" s="28">
        <v>1.9090909090909089</v>
      </c>
      <c r="AN169" s="28">
        <v>2.545454545454545</v>
      </c>
      <c r="AO169" s="28">
        <v>0.54545454545454541</v>
      </c>
      <c r="AP169" s="28">
        <v>3.0909090909090908</v>
      </c>
      <c r="AQ169" s="28">
        <v>0.2359550561797753</v>
      </c>
      <c r="AR169" s="28">
        <v>0.3146067415730337</v>
      </c>
      <c r="AS169" s="28">
        <v>6.7415730337078636E-2</v>
      </c>
      <c r="AT169" s="28">
        <v>0.38202247191011229</v>
      </c>
      <c r="AU169" s="25">
        <v>0.93</v>
      </c>
      <c r="AV169" s="25">
        <v>3.44</v>
      </c>
      <c r="AW169" s="25">
        <v>2.5099999999999998</v>
      </c>
      <c r="AX169" s="25">
        <v>2.6527272727272728</v>
      </c>
      <c r="AY169">
        <v>2.6527272727272719</v>
      </c>
      <c r="AZ169">
        <v>6.0360098777272722</v>
      </c>
      <c r="BD169">
        <v>4.0292923567961873E-2</v>
      </c>
      <c r="BH169">
        <v>8.0585847135923747E-2</v>
      </c>
      <c r="BI169">
        <v>4.0292923567961873E-2</v>
      </c>
      <c r="BJ169">
        <v>0</v>
      </c>
    </row>
    <row r="170" spans="1:68" x14ac:dyDescent="0.3">
      <c r="A170" s="2" t="s">
        <v>13</v>
      </c>
      <c r="B170" s="13" t="s">
        <v>698</v>
      </c>
      <c r="C170" s="13"/>
      <c r="F170" s="2">
        <v>4.25</v>
      </c>
      <c r="G170" s="2" t="s">
        <v>135</v>
      </c>
      <c r="H170" s="9">
        <v>-1</v>
      </c>
      <c r="I170">
        <v>-1</v>
      </c>
      <c r="J170"/>
      <c r="K170" s="2">
        <v>1</v>
      </c>
      <c r="L170" s="25">
        <v>0</v>
      </c>
      <c r="M170">
        <v>0</v>
      </c>
      <c r="N170">
        <v>0</v>
      </c>
      <c r="O170" s="2">
        <v>3.85</v>
      </c>
      <c r="P170" s="2">
        <v>3.85</v>
      </c>
      <c r="Q170" s="2">
        <v>11.3</v>
      </c>
      <c r="R170" s="2" t="s">
        <v>439</v>
      </c>
      <c r="T170" s="25">
        <v>0</v>
      </c>
      <c r="U170" s="25"/>
      <c r="V170" s="25"/>
      <c r="W170">
        <v>0</v>
      </c>
      <c r="Z170">
        <v>0</v>
      </c>
      <c r="AC170" s="2">
        <v>2</v>
      </c>
      <c r="AD170">
        <v>14</v>
      </c>
      <c r="AE170" s="55">
        <f t="shared" si="6"/>
        <v>167.49425000000002</v>
      </c>
      <c r="AF170" s="57">
        <v>0</v>
      </c>
      <c r="AG170" s="55">
        <v>0</v>
      </c>
      <c r="AH170" s="55">
        <v>0</v>
      </c>
      <c r="AI170" s="52">
        <f t="shared" si="7"/>
        <v>8.3584958886648339E-2</v>
      </c>
      <c r="AJ170" s="51"/>
      <c r="AM170" s="28">
        <v>1.9090909090909089</v>
      </c>
      <c r="AN170" s="28">
        <v>2.545454545454545</v>
      </c>
      <c r="AO170" s="28">
        <v>0.54545454545454541</v>
      </c>
      <c r="AP170" s="28">
        <v>3.0909090909090908</v>
      </c>
      <c r="AQ170" s="28">
        <v>0.2359550561797753</v>
      </c>
      <c r="AR170" s="28">
        <v>0.3146067415730337</v>
      </c>
      <c r="AS170" s="28">
        <v>6.7415730337078636E-2</v>
      </c>
      <c r="AT170" s="28">
        <v>0.38202247191011229</v>
      </c>
      <c r="AU170" s="25">
        <v>0.82</v>
      </c>
      <c r="AV170" s="25">
        <v>3.44</v>
      </c>
      <c r="AW170" s="25">
        <v>2.62</v>
      </c>
      <c r="AX170" s="25">
        <v>2.642727272727273</v>
      </c>
      <c r="AY170">
        <v>2.642727272727273</v>
      </c>
      <c r="AZ170">
        <v>5.9894662913636356</v>
      </c>
      <c r="BD170">
        <v>4.1792479443324169E-2</v>
      </c>
      <c r="BH170">
        <v>8.3584958886648339E-2</v>
      </c>
      <c r="BI170">
        <v>4.1792479443324169E-2</v>
      </c>
      <c r="BJ170">
        <v>0</v>
      </c>
    </row>
    <row r="171" spans="1:68" x14ac:dyDescent="0.3">
      <c r="A171" s="2" t="s">
        <v>147</v>
      </c>
      <c r="B171" s="13" t="s">
        <v>771</v>
      </c>
      <c r="C171" s="13"/>
      <c r="F171" s="2">
        <v>4.25</v>
      </c>
      <c r="G171" s="2" t="s">
        <v>135</v>
      </c>
      <c r="H171" s="9">
        <v>-1</v>
      </c>
      <c r="I171">
        <v>-1</v>
      </c>
      <c r="J171"/>
      <c r="K171" s="2">
        <v>1</v>
      </c>
      <c r="L171" s="25">
        <v>0</v>
      </c>
      <c r="M171">
        <v>0</v>
      </c>
      <c r="N171">
        <v>0</v>
      </c>
      <c r="O171" s="2">
        <v>3.76</v>
      </c>
      <c r="P171" s="2">
        <v>3.76</v>
      </c>
      <c r="Q171" s="2">
        <v>11.41</v>
      </c>
      <c r="R171" s="2" t="s">
        <v>439</v>
      </c>
      <c r="T171" s="25">
        <v>0</v>
      </c>
      <c r="U171" s="25"/>
      <c r="V171" s="25"/>
      <c r="W171">
        <v>0</v>
      </c>
      <c r="Z171">
        <v>0</v>
      </c>
      <c r="AC171" s="2">
        <v>2</v>
      </c>
      <c r="AD171">
        <v>14</v>
      </c>
      <c r="AE171" s="55">
        <f t="shared" si="6"/>
        <v>161.31001599999999</v>
      </c>
      <c r="AF171" s="57">
        <v>0</v>
      </c>
      <c r="AG171" s="55">
        <v>0</v>
      </c>
      <c r="AH171" s="55">
        <v>0</v>
      </c>
      <c r="AI171" s="52">
        <f t="shared" si="7"/>
        <v>8.678940308331505E-2</v>
      </c>
      <c r="AJ171" s="51"/>
      <c r="AM171" s="28">
        <v>1.9090909090909089</v>
      </c>
      <c r="AN171" s="28">
        <v>2.545454545454545</v>
      </c>
      <c r="AO171" s="28">
        <v>0.54545454545454541</v>
      </c>
      <c r="AP171" s="28">
        <v>3.0909090909090908</v>
      </c>
      <c r="AQ171" s="28">
        <v>0.2359550561797753</v>
      </c>
      <c r="AR171" s="28">
        <v>0.3146067415730337</v>
      </c>
      <c r="AS171" s="28">
        <v>6.7415730337078636E-2</v>
      </c>
      <c r="AT171" s="28">
        <v>0.38202247191011229</v>
      </c>
      <c r="AU171" s="25">
        <v>0.79</v>
      </c>
      <c r="AV171" s="25">
        <v>3.44</v>
      </c>
      <c r="AW171" s="25">
        <v>2.65</v>
      </c>
      <c r="AX171" s="25">
        <v>2.64</v>
      </c>
      <c r="AY171">
        <v>2.64</v>
      </c>
      <c r="AZ171">
        <v>5.9759431853377274</v>
      </c>
      <c r="BD171">
        <v>4.3394701541657532E-2</v>
      </c>
      <c r="BH171">
        <v>8.678940308331505E-2</v>
      </c>
      <c r="BI171">
        <v>4.3394701541657532E-2</v>
      </c>
      <c r="BJ171">
        <v>0</v>
      </c>
    </row>
    <row r="172" spans="1:68" x14ac:dyDescent="0.3">
      <c r="A172" s="2" t="s">
        <v>148</v>
      </c>
      <c r="B172" s="13" t="s">
        <v>772</v>
      </c>
      <c r="C172" s="13"/>
      <c r="F172" s="2">
        <v>3.2</v>
      </c>
      <c r="G172" s="2" t="s">
        <v>149</v>
      </c>
      <c r="H172" s="9" t="s">
        <v>577</v>
      </c>
      <c r="I172" t="s">
        <v>653</v>
      </c>
      <c r="J172"/>
      <c r="L172" s="25">
        <v>1</v>
      </c>
      <c r="M172">
        <v>2</v>
      </c>
      <c r="N172">
        <v>0</v>
      </c>
      <c r="O172" s="2">
        <v>3.85</v>
      </c>
      <c r="P172" s="2">
        <v>3.85</v>
      </c>
      <c r="Q172" s="2">
        <v>28.361999999999998</v>
      </c>
      <c r="R172" s="2" t="s">
        <v>440</v>
      </c>
      <c r="T172" s="25">
        <v>14.183127929999999</v>
      </c>
      <c r="U172" s="25">
        <v>14.183127929999999</v>
      </c>
      <c r="V172" s="25">
        <v>14.183127929999999</v>
      </c>
      <c r="W172">
        <v>3.8515000000000001</v>
      </c>
      <c r="X172">
        <v>3.8515000000000001</v>
      </c>
      <c r="Y172">
        <v>28.338999999999999</v>
      </c>
      <c r="Z172">
        <v>0</v>
      </c>
      <c r="AD172">
        <v>20</v>
      </c>
      <c r="AE172" s="55">
        <f t="shared" si="6"/>
        <v>420.39574500000003</v>
      </c>
      <c r="AF172" s="57">
        <v>215.8165104701838</v>
      </c>
      <c r="AG172" s="55">
        <v>420.38220671275002</v>
      </c>
      <c r="AH172" s="55">
        <v>0</v>
      </c>
      <c r="AJ172" s="51">
        <v>9.2671315815585423E-2</v>
      </c>
      <c r="AK172" s="52">
        <v>9.5151505846992876E-2</v>
      </c>
      <c r="AM172" s="28">
        <v>1.9375</v>
      </c>
      <c r="AN172" s="28">
        <v>2.5</v>
      </c>
      <c r="AO172" s="28">
        <v>0.5625</v>
      </c>
      <c r="AP172" s="28">
        <v>2.625</v>
      </c>
      <c r="AQ172" s="28">
        <v>0.25409836065573771</v>
      </c>
      <c r="AR172" s="28">
        <v>0.32786885245901642</v>
      </c>
      <c r="AS172" s="28">
        <v>7.3770491803278687E-2</v>
      </c>
      <c r="AT172" s="28">
        <v>0.34426229508196721</v>
      </c>
      <c r="AU172" s="25">
        <v>0.98</v>
      </c>
      <c r="AV172" s="25">
        <v>3.44</v>
      </c>
      <c r="AW172" s="25">
        <v>2.46</v>
      </c>
      <c r="AX172" s="25">
        <v>2.6175000000000002</v>
      </c>
      <c r="AY172">
        <v>2.6175000000000002</v>
      </c>
      <c r="AZ172">
        <v>6.0217141611250007</v>
      </c>
      <c r="BA172" s="75">
        <v>0.48754533225959679</v>
      </c>
      <c r="BB172" s="75">
        <v>0</v>
      </c>
      <c r="BE172">
        <v>4.6335657907792711E-2</v>
      </c>
      <c r="BF172">
        <v>4.7575752923496438E-2</v>
      </c>
      <c r="BH172">
        <v>9.3911410831289149E-2</v>
      </c>
      <c r="BI172">
        <v>4.6955705415644568E-2</v>
      </c>
      <c r="BJ172">
        <v>0.24377266612979839</v>
      </c>
    </row>
    <row r="173" spans="1:68" x14ac:dyDescent="0.3">
      <c r="A173" s="2" t="s">
        <v>63</v>
      </c>
      <c r="B173" s="13" t="s">
        <v>773</v>
      </c>
      <c r="C173" s="13"/>
      <c r="F173" s="2">
        <v>3.5</v>
      </c>
      <c r="G173" s="2" t="s">
        <v>150</v>
      </c>
      <c r="H173" s="9">
        <v>-1</v>
      </c>
      <c r="I173">
        <v>-1</v>
      </c>
      <c r="J173" t="s">
        <v>1144</v>
      </c>
      <c r="L173" s="25">
        <v>0</v>
      </c>
      <c r="M173">
        <v>0</v>
      </c>
      <c r="N173">
        <v>1</v>
      </c>
      <c r="T173" s="25">
        <v>0</v>
      </c>
      <c r="U173" s="25"/>
      <c r="V173" s="25"/>
      <c r="W173">
        <v>0</v>
      </c>
      <c r="Z173">
        <v>3.8653</v>
      </c>
      <c r="AA173">
        <v>3.8653</v>
      </c>
      <c r="AB173">
        <v>11.0131</v>
      </c>
      <c r="AD173">
        <v>20</v>
      </c>
      <c r="AE173" s="55">
        <f t="shared" si="6"/>
        <v>0</v>
      </c>
      <c r="AF173" s="57">
        <v>0</v>
      </c>
      <c r="AG173" s="55">
        <v>0</v>
      </c>
      <c r="AH173" s="55">
        <v>164.541706117579</v>
      </c>
      <c r="AJ173" s="51"/>
      <c r="AL173" s="52">
        <v>0.12154973028970729</v>
      </c>
      <c r="AM173" s="28">
        <v>1.75</v>
      </c>
      <c r="AN173" s="28">
        <v>2.5</v>
      </c>
      <c r="AO173" s="28">
        <v>0.75</v>
      </c>
      <c r="AP173" s="28">
        <v>0</v>
      </c>
      <c r="AQ173" s="28">
        <v>0.35</v>
      </c>
      <c r="AR173" s="28">
        <v>0.5</v>
      </c>
      <c r="AS173" s="28">
        <v>0.15</v>
      </c>
      <c r="AT173" s="28">
        <v>0</v>
      </c>
      <c r="AU173" s="25">
        <v>1</v>
      </c>
      <c r="AV173" s="25">
        <v>3.44</v>
      </c>
      <c r="AW173" s="25">
        <v>2.44</v>
      </c>
      <c r="AX173" s="25">
        <v>2.7124999999999999</v>
      </c>
      <c r="AY173">
        <v>2.7124999999999999</v>
      </c>
      <c r="AZ173">
        <v>6.264025610615688</v>
      </c>
      <c r="BC173" s="75">
        <v>0.53381265134868672</v>
      </c>
      <c r="BG173">
        <v>6.0774865144853633E-2</v>
      </c>
      <c r="BH173">
        <v>0.12154973028970729</v>
      </c>
      <c r="BI173">
        <v>6.0774865144853633E-2</v>
      </c>
      <c r="BJ173">
        <v>0.53381265134868672</v>
      </c>
      <c r="BP173" s="2">
        <v>50</v>
      </c>
    </row>
    <row r="174" spans="1:68" x14ac:dyDescent="0.3">
      <c r="A174" s="2" t="s">
        <v>63</v>
      </c>
      <c r="B174" s="13" t="s">
        <v>773</v>
      </c>
      <c r="C174" s="13"/>
      <c r="F174" s="2">
        <v>3.5</v>
      </c>
      <c r="G174" s="2" t="s">
        <v>152</v>
      </c>
      <c r="H174" s="9">
        <v>-1</v>
      </c>
      <c r="I174">
        <v>-1</v>
      </c>
      <c r="J174" t="s">
        <v>1144</v>
      </c>
      <c r="L174" s="25">
        <v>0</v>
      </c>
      <c r="M174">
        <v>0</v>
      </c>
      <c r="N174">
        <v>1</v>
      </c>
      <c r="O174" s="2">
        <v>3.85</v>
      </c>
      <c r="P174" s="2">
        <v>3.85</v>
      </c>
      <c r="Q174" s="2">
        <v>29.296700000000001</v>
      </c>
      <c r="R174" s="2" t="s">
        <v>519</v>
      </c>
      <c r="S174"/>
      <c r="T174" s="25">
        <v>0</v>
      </c>
      <c r="U174" s="25"/>
      <c r="V174" s="25"/>
      <c r="W174">
        <v>0</v>
      </c>
      <c r="Z174">
        <v>3.8653</v>
      </c>
      <c r="AA174">
        <v>3.8653</v>
      </c>
      <c r="AB174">
        <v>11.0131</v>
      </c>
      <c r="AD174">
        <v>20</v>
      </c>
      <c r="AE174" s="55">
        <f t="shared" si="6"/>
        <v>434.25033575000009</v>
      </c>
      <c r="AF174" s="57">
        <v>0</v>
      </c>
      <c r="AG174" s="55">
        <v>0</v>
      </c>
      <c r="AH174" s="55">
        <v>164.541706117579</v>
      </c>
      <c r="AJ174" s="51"/>
      <c r="AL174" s="52">
        <v>0.12154973028970729</v>
      </c>
      <c r="AM174" s="28">
        <v>1.75</v>
      </c>
      <c r="AN174" s="28">
        <v>2.5</v>
      </c>
      <c r="AO174" s="28">
        <v>0.75</v>
      </c>
      <c r="AP174" s="28">
        <v>0</v>
      </c>
      <c r="AQ174" s="28">
        <v>0.35</v>
      </c>
      <c r="AR174" s="28">
        <v>0.5</v>
      </c>
      <c r="AS174" s="28">
        <v>0.15</v>
      </c>
      <c r="AT174" s="28">
        <v>0</v>
      </c>
      <c r="AU174" s="25">
        <v>1</v>
      </c>
      <c r="AV174" s="25">
        <v>3.44</v>
      </c>
      <c r="AW174" s="25">
        <v>2.44</v>
      </c>
      <c r="AX174" s="25">
        <v>2.7124999999999999</v>
      </c>
      <c r="AY174">
        <v>2.7124999999999999</v>
      </c>
      <c r="AZ174">
        <v>6.264025610615688</v>
      </c>
      <c r="BC174" s="75">
        <v>0.53381265134868672</v>
      </c>
      <c r="BG174">
        <v>6.0774865144853633E-2</v>
      </c>
      <c r="BH174">
        <v>0.12154973028970729</v>
      </c>
      <c r="BI174">
        <v>6.0774865144853633E-2</v>
      </c>
      <c r="BJ174">
        <v>0.53381265134868672</v>
      </c>
      <c r="BP174" s="2">
        <v>50</v>
      </c>
    </row>
    <row r="175" spans="1:68" x14ac:dyDescent="0.3">
      <c r="A175" s="2" t="s">
        <v>151</v>
      </c>
      <c r="B175" s="13" t="s">
        <v>774</v>
      </c>
      <c r="C175" s="13"/>
      <c r="F175" s="2">
        <v>3.3</v>
      </c>
      <c r="G175" s="2" t="s">
        <v>152</v>
      </c>
      <c r="H175" s="9">
        <v>-1</v>
      </c>
      <c r="I175">
        <v>-1</v>
      </c>
      <c r="J175"/>
      <c r="K175" s="2">
        <v>2</v>
      </c>
      <c r="L175" s="25">
        <v>0</v>
      </c>
      <c r="M175">
        <v>0</v>
      </c>
      <c r="N175">
        <v>0</v>
      </c>
      <c r="O175" s="2">
        <v>3.89</v>
      </c>
      <c r="P175" s="2">
        <v>3.89</v>
      </c>
      <c r="Q175" s="2">
        <v>33.299999999999997</v>
      </c>
      <c r="R175" s="2" t="s">
        <v>519</v>
      </c>
      <c r="T175" s="25">
        <v>0</v>
      </c>
      <c r="U175" s="25"/>
      <c r="V175" s="25"/>
      <c r="W175">
        <v>0</v>
      </c>
      <c r="Z175">
        <v>0</v>
      </c>
      <c r="AD175">
        <v>20</v>
      </c>
      <c r="AE175" s="55">
        <f t="shared" si="6"/>
        <v>503.89893000000001</v>
      </c>
      <c r="AF175" s="57">
        <v>0</v>
      </c>
      <c r="AG175" s="55">
        <v>0</v>
      </c>
      <c r="AH175" s="55">
        <v>0</v>
      </c>
      <c r="AI175" s="52">
        <f t="shared" ref="AI175:AI200" si="8">K175*AD175/AE175</f>
        <v>7.9380998090232108E-2</v>
      </c>
      <c r="AJ175" s="51"/>
      <c r="AM175" s="28">
        <v>1.75</v>
      </c>
      <c r="AN175" s="28">
        <v>2.5</v>
      </c>
      <c r="AO175" s="28">
        <v>0.75</v>
      </c>
      <c r="AP175" s="28">
        <v>0</v>
      </c>
      <c r="AQ175" s="28">
        <v>0.35</v>
      </c>
      <c r="AR175" s="28">
        <v>0.5</v>
      </c>
      <c r="AS175" s="28">
        <v>0.15</v>
      </c>
      <c r="AT175" s="28">
        <v>0</v>
      </c>
      <c r="AU175" s="25">
        <v>0.95</v>
      </c>
      <c r="AV175" s="25">
        <v>3.44</v>
      </c>
      <c r="AW175" s="25">
        <v>2.4900000000000002</v>
      </c>
      <c r="AX175" s="25">
        <v>2.7062499999999998</v>
      </c>
      <c r="AY175">
        <v>2.7062499999999998</v>
      </c>
      <c r="AZ175">
        <v>6.2396022968656872</v>
      </c>
      <c r="BD175">
        <v>3.9690499045116047E-2</v>
      </c>
      <c r="BH175">
        <v>7.9380998090232108E-2</v>
      </c>
      <c r="BI175">
        <v>3.9690499045116047E-2</v>
      </c>
      <c r="BJ175">
        <v>0</v>
      </c>
      <c r="BP175" s="2">
        <v>56</v>
      </c>
    </row>
    <row r="176" spans="1:68" x14ac:dyDescent="0.3">
      <c r="A176" s="2" t="s">
        <v>153</v>
      </c>
      <c r="B176" s="13" t="s">
        <v>775</v>
      </c>
      <c r="C176" s="13"/>
      <c r="F176" s="2">
        <v>3.23</v>
      </c>
      <c r="G176" s="2" t="s">
        <v>152</v>
      </c>
      <c r="H176" s="9" t="s">
        <v>578</v>
      </c>
      <c r="I176">
        <v>-1</v>
      </c>
      <c r="J176" t="s">
        <v>1166</v>
      </c>
      <c r="L176" s="25">
        <v>1</v>
      </c>
      <c r="M176">
        <v>0</v>
      </c>
      <c r="N176">
        <v>1</v>
      </c>
      <c r="O176" s="2">
        <v>3.89</v>
      </c>
      <c r="P176" s="2">
        <v>3.89</v>
      </c>
      <c r="Q176" s="2">
        <v>21.29</v>
      </c>
      <c r="R176" s="2" t="s">
        <v>519</v>
      </c>
      <c r="T176" s="25">
        <v>3.9263319999999999</v>
      </c>
      <c r="U176" s="25">
        <v>3.9263319999999999</v>
      </c>
      <c r="V176" s="25">
        <v>10.74639</v>
      </c>
      <c r="W176">
        <v>0</v>
      </c>
      <c r="Z176">
        <v>3.8913000000000002</v>
      </c>
      <c r="AA176">
        <v>3.8913000000000002</v>
      </c>
      <c r="AB176">
        <v>10.47</v>
      </c>
      <c r="AD176">
        <v>14</v>
      </c>
      <c r="AE176" s="55">
        <f t="shared" si="6"/>
        <v>322.16240900000003</v>
      </c>
      <c r="AF176" s="57">
        <v>165.66723991337099</v>
      </c>
      <c r="AG176" s="55">
        <v>0</v>
      </c>
      <c r="AH176" s="55">
        <v>158.53899827430001</v>
      </c>
      <c r="AJ176" s="51">
        <v>8.4506749839743392E-2</v>
      </c>
      <c r="AL176" s="52">
        <v>8.8306348295310685E-2</v>
      </c>
      <c r="AM176" s="28">
        <v>1.7272727272727271</v>
      </c>
      <c r="AN176" s="28">
        <v>2.545454545454545</v>
      </c>
      <c r="AO176" s="28">
        <v>0.81818181818181823</v>
      </c>
      <c r="AP176" s="28">
        <v>0</v>
      </c>
      <c r="AQ176" s="28">
        <v>0.3392857142857143</v>
      </c>
      <c r="AR176" s="28">
        <v>0.5</v>
      </c>
      <c r="AS176" s="28">
        <v>0.1607142857142857</v>
      </c>
      <c r="AT176" s="28">
        <v>0</v>
      </c>
      <c r="AU176" s="25">
        <v>1.1000000000000001</v>
      </c>
      <c r="AV176" s="25">
        <v>3.44</v>
      </c>
      <c r="AW176" s="25">
        <v>2.34</v>
      </c>
      <c r="AX176" s="25">
        <v>2.78</v>
      </c>
      <c r="AY176">
        <v>2.78</v>
      </c>
      <c r="AZ176">
        <v>6.4270052227137269</v>
      </c>
      <c r="BA176" s="75">
        <v>0.41874886813759421</v>
      </c>
      <c r="BC176" s="75">
        <v>0</v>
      </c>
      <c r="BE176">
        <v>4.2253374919871717E-2</v>
      </c>
      <c r="BG176">
        <v>4.4153174147655357E-2</v>
      </c>
      <c r="BH176">
        <v>8.6406549067527039E-2</v>
      </c>
      <c r="BI176">
        <v>4.3203274533763533E-2</v>
      </c>
      <c r="BJ176">
        <v>0.20937443406879711</v>
      </c>
      <c r="BP176" s="2">
        <v>68</v>
      </c>
    </row>
    <row r="177" spans="1:62" x14ac:dyDescent="0.3">
      <c r="A177" s="2" t="s">
        <v>7</v>
      </c>
      <c r="B177" s="13" t="s">
        <v>692</v>
      </c>
      <c r="C177" s="13"/>
      <c r="F177" s="2">
        <v>3.47</v>
      </c>
      <c r="G177" s="2" t="s">
        <v>154</v>
      </c>
      <c r="H177" s="9">
        <v>-1</v>
      </c>
      <c r="I177">
        <v>-1</v>
      </c>
      <c r="J177"/>
      <c r="K177" s="2">
        <v>8</v>
      </c>
      <c r="L177" s="25">
        <v>0</v>
      </c>
      <c r="M177">
        <v>0</v>
      </c>
      <c r="N177">
        <v>0</v>
      </c>
      <c r="O177" s="2">
        <v>7.8209999999999997</v>
      </c>
      <c r="P177" s="2">
        <v>7.7649999999999997</v>
      </c>
      <c r="Q177" s="2">
        <v>30.08</v>
      </c>
      <c r="R177" t="s">
        <v>495</v>
      </c>
      <c r="S177"/>
      <c r="T177" s="25">
        <v>0</v>
      </c>
      <c r="U177" s="25"/>
      <c r="V177" s="25"/>
      <c r="W177">
        <v>0</v>
      </c>
      <c r="Z177">
        <v>0</v>
      </c>
      <c r="AD177">
        <v>20</v>
      </c>
      <c r="AE177" s="55">
        <f t="shared" si="6"/>
        <v>1826.7603551999998</v>
      </c>
      <c r="AF177" s="57">
        <v>0</v>
      </c>
      <c r="AG177" s="55">
        <v>0</v>
      </c>
      <c r="AH177" s="55">
        <v>0</v>
      </c>
      <c r="AI177" s="52">
        <f t="shared" si="8"/>
        <v>8.7586748609115E-2</v>
      </c>
      <c r="AJ177" s="51"/>
      <c r="AM177" s="28">
        <v>1.75</v>
      </c>
      <c r="AN177" s="28">
        <v>2.5</v>
      </c>
      <c r="AO177" s="28">
        <v>0.75</v>
      </c>
      <c r="AP177" s="28">
        <v>0</v>
      </c>
      <c r="AQ177" s="28">
        <v>0.35</v>
      </c>
      <c r="AR177" s="28">
        <v>0.5</v>
      </c>
      <c r="AS177" s="28">
        <v>0.15</v>
      </c>
      <c r="AT177" s="28">
        <v>0</v>
      </c>
      <c r="AU177" s="25">
        <v>0.82</v>
      </c>
      <c r="AV177" s="25">
        <v>3.44</v>
      </c>
      <c r="AW177" s="25">
        <v>2.62</v>
      </c>
      <c r="AX177" s="25">
        <v>2.62</v>
      </c>
      <c r="AY177">
        <v>2.62</v>
      </c>
      <c r="AZ177">
        <v>5.9423863675000002</v>
      </c>
      <c r="BD177">
        <v>4.37933743045575E-2</v>
      </c>
      <c r="BH177">
        <v>8.7586748609115E-2</v>
      </c>
      <c r="BI177">
        <v>4.37933743045575E-2</v>
      </c>
      <c r="BJ177">
        <v>0</v>
      </c>
    </row>
    <row r="178" spans="1:62" x14ac:dyDescent="0.3">
      <c r="A178" s="2" t="s">
        <v>155</v>
      </c>
      <c r="B178" s="13" t="s">
        <v>776</v>
      </c>
      <c r="C178" s="13"/>
      <c r="F178" s="2">
        <v>3.76</v>
      </c>
      <c r="G178" s="2" t="s">
        <v>154</v>
      </c>
      <c r="H178" s="9">
        <v>-1</v>
      </c>
      <c r="I178">
        <v>-1</v>
      </c>
      <c r="J178"/>
      <c r="K178" s="2">
        <v>8</v>
      </c>
      <c r="L178" s="25">
        <v>0</v>
      </c>
      <c r="M178">
        <v>0</v>
      </c>
      <c r="N178">
        <v>0</v>
      </c>
      <c r="O178" s="2">
        <v>7.8209999999999997</v>
      </c>
      <c r="P178" s="2">
        <v>7.7649999999999997</v>
      </c>
      <c r="Q178" s="2">
        <v>30.96</v>
      </c>
      <c r="R178" t="s">
        <v>495</v>
      </c>
      <c r="S178"/>
      <c r="T178" s="25">
        <v>0</v>
      </c>
      <c r="U178" s="25"/>
      <c r="V178" s="25"/>
      <c r="W178">
        <v>0</v>
      </c>
      <c r="Z178">
        <v>0</v>
      </c>
      <c r="AD178">
        <v>20</v>
      </c>
      <c r="AE178" s="55">
        <f t="shared" si="6"/>
        <v>1880.2028123999999</v>
      </c>
      <c r="AF178" s="57">
        <v>0</v>
      </c>
      <c r="AG178" s="55">
        <v>0</v>
      </c>
      <c r="AH178" s="55">
        <v>0</v>
      </c>
      <c r="AI178" s="52">
        <f t="shared" si="8"/>
        <v>8.5097202783016121E-2</v>
      </c>
      <c r="AJ178" s="51"/>
      <c r="AM178" s="28">
        <v>1.8125</v>
      </c>
      <c r="AN178" s="28">
        <v>2.5</v>
      </c>
      <c r="AO178" s="28">
        <v>0.6875</v>
      </c>
      <c r="AP178" s="28">
        <v>0.875</v>
      </c>
      <c r="AQ178" s="28">
        <v>0.30851063829787229</v>
      </c>
      <c r="AR178" s="28">
        <v>0.42553191489361702</v>
      </c>
      <c r="AS178" s="28">
        <v>0.1170212765957447</v>
      </c>
      <c r="AT178" s="28">
        <v>0.14893617021276601</v>
      </c>
      <c r="AU178" s="25">
        <v>0.82</v>
      </c>
      <c r="AV178" s="25">
        <v>3.44</v>
      </c>
      <c r="AW178" s="25">
        <v>2.62</v>
      </c>
      <c r="AX178" s="25">
        <v>2.61375</v>
      </c>
      <c r="AY178">
        <v>2.61375</v>
      </c>
      <c r="AZ178">
        <v>5.9485249299999996</v>
      </c>
      <c r="BD178">
        <v>4.254860139150806E-2</v>
      </c>
      <c r="BH178">
        <v>8.5097202783016121E-2</v>
      </c>
      <c r="BI178">
        <v>4.254860139150806E-2</v>
      </c>
      <c r="BJ178">
        <v>0</v>
      </c>
    </row>
    <row r="179" spans="1:62" x14ac:dyDescent="0.3">
      <c r="A179" s="2" t="s">
        <v>156</v>
      </c>
      <c r="B179" s="13" t="s">
        <v>777</v>
      </c>
      <c r="C179" s="13"/>
      <c r="F179" s="2">
        <v>3.76</v>
      </c>
      <c r="G179" s="2" t="s">
        <v>154</v>
      </c>
      <c r="H179" s="9">
        <v>-1</v>
      </c>
      <c r="I179">
        <v>-1</v>
      </c>
      <c r="J179"/>
      <c r="K179" s="2">
        <v>8</v>
      </c>
      <c r="L179" s="25">
        <v>0</v>
      </c>
      <c r="M179">
        <v>0</v>
      </c>
      <c r="N179">
        <v>0</v>
      </c>
      <c r="O179" s="2">
        <v>7.8209999999999997</v>
      </c>
      <c r="P179" s="2">
        <v>7.7649999999999997</v>
      </c>
      <c r="Q179" s="2">
        <v>29.84</v>
      </c>
      <c r="R179" t="s">
        <v>495</v>
      </c>
      <c r="S179"/>
      <c r="T179" s="25">
        <v>0</v>
      </c>
      <c r="U179" s="25"/>
      <c r="V179" s="25"/>
      <c r="W179">
        <v>0</v>
      </c>
      <c r="Z179">
        <v>0</v>
      </c>
      <c r="AD179">
        <v>20</v>
      </c>
      <c r="AE179" s="55">
        <f t="shared" si="6"/>
        <v>1812.1851396</v>
      </c>
      <c r="AF179" s="57">
        <v>0</v>
      </c>
      <c r="AG179" s="55">
        <v>0</v>
      </c>
      <c r="AH179" s="55">
        <v>0</v>
      </c>
      <c r="AI179" s="52">
        <f t="shared" si="8"/>
        <v>8.8291199670314305E-2</v>
      </c>
      <c r="AJ179" s="51"/>
      <c r="AM179" s="28">
        <v>1.8666666666666669</v>
      </c>
      <c r="AN179" s="28">
        <v>2.666666666666667</v>
      </c>
      <c r="AO179" s="28">
        <v>0.46666666666666667</v>
      </c>
      <c r="AP179" s="28">
        <v>0.93333333333333335</v>
      </c>
      <c r="AQ179" s="28">
        <v>0.3146067415730337</v>
      </c>
      <c r="AR179" s="28">
        <v>0.44943820224719089</v>
      </c>
      <c r="AS179" s="28">
        <v>7.8651685393258425E-2</v>
      </c>
      <c r="AT179" s="28">
        <v>0.15730337078651679</v>
      </c>
      <c r="AU179" s="25">
        <v>0.82</v>
      </c>
      <c r="AV179" s="25">
        <v>3.44</v>
      </c>
      <c r="AW179" s="25">
        <v>2.62</v>
      </c>
      <c r="AX179" s="25">
        <v>2.6813333333333329</v>
      </c>
      <c r="AY179">
        <v>2.6813333333333329</v>
      </c>
      <c r="AZ179">
        <v>6.0892180253333326</v>
      </c>
      <c r="BD179">
        <v>4.4145599835157152E-2</v>
      </c>
      <c r="BH179">
        <v>8.8291199670314305E-2</v>
      </c>
      <c r="BI179">
        <v>4.4145599835157152E-2</v>
      </c>
      <c r="BJ179">
        <v>0</v>
      </c>
    </row>
    <row r="180" spans="1:62" x14ac:dyDescent="0.3">
      <c r="A180" s="2" t="s">
        <v>157</v>
      </c>
      <c r="B180" s="13" t="s">
        <v>778</v>
      </c>
      <c r="C180" s="13"/>
      <c r="F180" s="2">
        <v>3.91</v>
      </c>
      <c r="G180" s="2" t="s">
        <v>154</v>
      </c>
      <c r="H180" s="9">
        <v>-1</v>
      </c>
      <c r="I180">
        <v>-1</v>
      </c>
      <c r="J180"/>
      <c r="K180" s="2">
        <v>8</v>
      </c>
      <c r="L180" s="25">
        <v>0</v>
      </c>
      <c r="M180">
        <v>0</v>
      </c>
      <c r="N180">
        <v>0</v>
      </c>
      <c r="O180" s="2">
        <v>7.8209999999999997</v>
      </c>
      <c r="P180" s="2">
        <v>7.7649999999999997</v>
      </c>
      <c r="Q180" s="2">
        <v>30.08</v>
      </c>
      <c r="R180" t="s">
        <v>495</v>
      </c>
      <c r="S180"/>
      <c r="T180" s="25">
        <v>0</v>
      </c>
      <c r="U180" s="25"/>
      <c r="V180" s="25"/>
      <c r="W180">
        <v>0</v>
      </c>
      <c r="Z180">
        <v>0</v>
      </c>
      <c r="AD180">
        <v>20</v>
      </c>
      <c r="AE180" s="55">
        <f t="shared" si="6"/>
        <v>1826.7603551999998</v>
      </c>
      <c r="AF180" s="57">
        <v>0</v>
      </c>
      <c r="AG180" s="55">
        <v>0</v>
      </c>
      <c r="AH180" s="55">
        <v>0</v>
      </c>
      <c r="AI180" s="52">
        <f t="shared" si="8"/>
        <v>8.7586748609115E-2</v>
      </c>
      <c r="AJ180" s="51"/>
      <c r="AM180" s="28">
        <v>1.875</v>
      </c>
      <c r="AN180" s="28">
        <v>2.5</v>
      </c>
      <c r="AO180" s="28">
        <v>0.625</v>
      </c>
      <c r="AP180" s="28">
        <v>1.75</v>
      </c>
      <c r="AQ180" s="28">
        <v>0.27777777777777779</v>
      </c>
      <c r="AR180" s="28">
        <v>0.37037037037037029</v>
      </c>
      <c r="AS180" s="28">
        <v>9.2592592592592587E-2</v>
      </c>
      <c r="AT180" s="28">
        <v>0.25925925925925919</v>
      </c>
      <c r="AU180" s="25">
        <v>0.82</v>
      </c>
      <c r="AV180" s="25">
        <v>3.44</v>
      </c>
      <c r="AW180" s="25">
        <v>2.62</v>
      </c>
      <c r="AX180" s="25">
        <v>2.6074999999999999</v>
      </c>
      <c r="AY180">
        <v>2.6074999999999999</v>
      </c>
      <c r="AZ180">
        <v>5.9546634925000008</v>
      </c>
      <c r="BD180">
        <v>4.37933743045575E-2</v>
      </c>
      <c r="BH180">
        <v>8.7586748609115E-2</v>
      </c>
      <c r="BI180">
        <v>4.37933743045575E-2</v>
      </c>
      <c r="BJ180">
        <v>0</v>
      </c>
    </row>
    <row r="181" spans="1:62" x14ac:dyDescent="0.3">
      <c r="A181" s="2" t="s">
        <v>158</v>
      </c>
      <c r="B181" s="13" t="s">
        <v>779</v>
      </c>
      <c r="C181" s="13"/>
      <c r="F181" s="2">
        <v>4.29</v>
      </c>
      <c r="G181" s="2" t="s">
        <v>154</v>
      </c>
      <c r="H181" s="9">
        <v>-1</v>
      </c>
      <c r="I181">
        <v>-1</v>
      </c>
      <c r="J181"/>
      <c r="K181" s="2">
        <v>8</v>
      </c>
      <c r="L181" s="25">
        <v>0</v>
      </c>
      <c r="M181">
        <v>0</v>
      </c>
      <c r="N181">
        <v>0</v>
      </c>
      <c r="O181" s="2">
        <v>7.8440000000000003</v>
      </c>
      <c r="P181" s="2">
        <v>7.7690000000000001</v>
      </c>
      <c r="Q181" s="2">
        <v>29.72</v>
      </c>
      <c r="R181" t="s">
        <v>495</v>
      </c>
      <c r="S181"/>
      <c r="T181" s="25">
        <v>0</v>
      </c>
      <c r="U181" s="25"/>
      <c r="V181" s="25"/>
      <c r="W181">
        <v>0</v>
      </c>
      <c r="Z181">
        <v>0</v>
      </c>
      <c r="AD181">
        <v>20</v>
      </c>
      <c r="AE181" s="55">
        <f t="shared" si="6"/>
        <v>1811.1378699200002</v>
      </c>
      <c r="AF181" s="57">
        <v>0</v>
      </c>
      <c r="AG181" s="55">
        <v>0</v>
      </c>
      <c r="AH181" s="55">
        <v>0</v>
      </c>
      <c r="AI181" s="52">
        <f t="shared" si="8"/>
        <v>8.8342253042871535E-2</v>
      </c>
      <c r="AJ181" s="51"/>
      <c r="AM181" s="28">
        <v>1.9375</v>
      </c>
      <c r="AN181" s="28">
        <v>2.5</v>
      </c>
      <c r="AO181" s="28">
        <v>0.5625</v>
      </c>
      <c r="AP181" s="28">
        <v>2.625</v>
      </c>
      <c r="AQ181" s="28">
        <v>0.25409836065573771</v>
      </c>
      <c r="AR181" s="28">
        <v>0.32786885245901642</v>
      </c>
      <c r="AS181" s="28">
        <v>7.3770491803278687E-2</v>
      </c>
      <c r="AT181" s="28">
        <v>0.34426229508196721</v>
      </c>
      <c r="AU181" s="25">
        <v>0.82</v>
      </c>
      <c r="AV181" s="25">
        <v>3.44</v>
      </c>
      <c r="AW181" s="25">
        <v>2.62</v>
      </c>
      <c r="AX181" s="25">
        <v>2.6012499999999998</v>
      </c>
      <c r="AY181">
        <v>2.6012499999999998</v>
      </c>
      <c r="AZ181">
        <v>5.9608020550000003</v>
      </c>
      <c r="BD181">
        <v>4.4171126521435768E-2</v>
      </c>
      <c r="BH181">
        <v>8.8342253042871535E-2</v>
      </c>
      <c r="BI181">
        <v>4.4171126521435768E-2</v>
      </c>
      <c r="BJ181">
        <v>0</v>
      </c>
    </row>
    <row r="182" spans="1:62" x14ac:dyDescent="0.3">
      <c r="A182" s="2" t="s">
        <v>151</v>
      </c>
      <c r="B182" s="13" t="s">
        <v>774</v>
      </c>
      <c r="C182" s="13"/>
      <c r="F182" s="2">
        <v>3.5</v>
      </c>
      <c r="G182" s="2" t="s">
        <v>154</v>
      </c>
      <c r="H182" s="9">
        <v>-1</v>
      </c>
      <c r="I182">
        <v>-1</v>
      </c>
      <c r="J182"/>
      <c r="K182" s="2">
        <v>8</v>
      </c>
      <c r="L182" s="25">
        <v>0</v>
      </c>
      <c r="M182">
        <v>0</v>
      </c>
      <c r="N182">
        <v>0</v>
      </c>
      <c r="O182" s="2">
        <f>3.907*2</f>
        <v>7.8140000000000001</v>
      </c>
      <c r="P182" s="2">
        <f>3.907*2</f>
        <v>7.8140000000000001</v>
      </c>
      <c r="Q182" s="2">
        <v>33.06</v>
      </c>
      <c r="T182" s="25">
        <v>0</v>
      </c>
      <c r="U182" s="25"/>
      <c r="V182" s="25"/>
      <c r="W182">
        <v>0</v>
      </c>
      <c r="Z182">
        <v>0</v>
      </c>
      <c r="AD182">
        <v>20</v>
      </c>
      <c r="AE182" s="55">
        <f t="shared" si="6"/>
        <v>2018.5971837600002</v>
      </c>
      <c r="AF182" s="57">
        <v>0</v>
      </c>
      <c r="AG182" s="55">
        <v>0</v>
      </c>
      <c r="AH182" s="55">
        <v>0</v>
      </c>
      <c r="AI182" s="52">
        <f t="shared" si="8"/>
        <v>7.9262966027710005E-2</v>
      </c>
      <c r="AJ182" s="51"/>
      <c r="AM182" s="28">
        <v>1.75</v>
      </c>
      <c r="AN182" s="28">
        <v>2.5</v>
      </c>
      <c r="AO182" s="28">
        <v>0.75</v>
      </c>
      <c r="AP182" s="28">
        <v>0</v>
      </c>
      <c r="AQ182" s="28">
        <v>0.35</v>
      </c>
      <c r="AR182" s="28">
        <v>0.5</v>
      </c>
      <c r="AS182" s="28">
        <v>0.15</v>
      </c>
      <c r="AT182" s="28">
        <v>0</v>
      </c>
      <c r="AU182" s="25">
        <v>0.95</v>
      </c>
      <c r="AV182" s="25">
        <v>3.44</v>
      </c>
      <c r="AW182" s="25">
        <v>2.4900000000000002</v>
      </c>
      <c r="AX182" s="25">
        <v>2.7062499999999998</v>
      </c>
      <c r="AY182">
        <v>2.7062499999999998</v>
      </c>
      <c r="AZ182">
        <v>6.2396022968656872</v>
      </c>
      <c r="BD182">
        <v>3.9631483013855003E-2</v>
      </c>
      <c r="BH182">
        <v>7.9262966027710005E-2</v>
      </c>
      <c r="BI182">
        <v>3.9631483013855003E-2</v>
      </c>
      <c r="BJ182">
        <v>0</v>
      </c>
    </row>
    <row r="183" spans="1:62" x14ac:dyDescent="0.3">
      <c r="A183" s="2" t="s">
        <v>159</v>
      </c>
      <c r="B183" s="13" t="s">
        <v>780</v>
      </c>
      <c r="C183" s="13"/>
      <c r="F183" s="2">
        <v>3.77</v>
      </c>
      <c r="G183" s="2" t="s">
        <v>154</v>
      </c>
      <c r="H183" s="9">
        <v>-1</v>
      </c>
      <c r="I183">
        <v>-1</v>
      </c>
      <c r="J183"/>
      <c r="K183" s="2">
        <v>8</v>
      </c>
      <c r="L183" s="25">
        <v>0</v>
      </c>
      <c r="M183">
        <v>0</v>
      </c>
      <c r="N183">
        <v>0</v>
      </c>
      <c r="O183" s="2">
        <f t="shared" ref="O183:P186" si="9">3.907*2</f>
        <v>7.8140000000000001</v>
      </c>
      <c r="P183" s="2">
        <f t="shared" si="9"/>
        <v>7.8140000000000001</v>
      </c>
      <c r="Q183" s="2">
        <v>32.86</v>
      </c>
      <c r="T183" s="25">
        <v>0</v>
      </c>
      <c r="U183" s="25"/>
      <c r="V183" s="25"/>
      <c r="W183">
        <v>0</v>
      </c>
      <c r="Z183">
        <v>0</v>
      </c>
      <c r="AD183">
        <v>20</v>
      </c>
      <c r="AE183" s="55">
        <f t="shared" si="6"/>
        <v>2006.3854645599999</v>
      </c>
      <c r="AF183" s="57">
        <v>0</v>
      </c>
      <c r="AG183" s="55">
        <v>0</v>
      </c>
      <c r="AH183" s="55">
        <v>0</v>
      </c>
      <c r="AI183" s="52">
        <f t="shared" si="8"/>
        <v>7.9745394305419756E-2</v>
      </c>
      <c r="AJ183" s="51"/>
      <c r="AM183" s="28">
        <v>1.8125</v>
      </c>
      <c r="AN183" s="28">
        <v>2.5</v>
      </c>
      <c r="AO183" s="28">
        <v>0.6875</v>
      </c>
      <c r="AP183" s="28">
        <v>0.875</v>
      </c>
      <c r="AQ183" s="28">
        <v>0.30851063829787229</v>
      </c>
      <c r="AR183" s="28">
        <v>0.42553191489361702</v>
      </c>
      <c r="AS183" s="28">
        <v>0.1170212765957447</v>
      </c>
      <c r="AT183" s="28">
        <v>0.14893617021276601</v>
      </c>
      <c r="AU183" s="25">
        <v>0.95</v>
      </c>
      <c r="AV183" s="25">
        <v>3.44</v>
      </c>
      <c r="AW183" s="25">
        <v>2.4900000000000002</v>
      </c>
      <c r="AX183" s="25">
        <v>2.7</v>
      </c>
      <c r="AY183">
        <v>2.7</v>
      </c>
      <c r="AZ183">
        <v>6.2457408593656876</v>
      </c>
      <c r="BD183">
        <v>3.9872697152709878E-2</v>
      </c>
      <c r="BH183">
        <v>7.9745394305419756E-2</v>
      </c>
      <c r="BI183">
        <v>3.9872697152709878E-2</v>
      </c>
      <c r="BJ183">
        <v>0</v>
      </c>
    </row>
    <row r="184" spans="1:62" x14ac:dyDescent="0.3">
      <c r="A184" s="2" t="s">
        <v>160</v>
      </c>
      <c r="B184" s="13" t="s">
        <v>781</v>
      </c>
      <c r="C184" s="13"/>
      <c r="F184" s="2">
        <v>3.8</v>
      </c>
      <c r="G184" s="2" t="s">
        <v>154</v>
      </c>
      <c r="H184" s="9">
        <v>-1</v>
      </c>
      <c r="I184">
        <v>-1</v>
      </c>
      <c r="J184"/>
      <c r="K184" s="2">
        <v>8</v>
      </c>
      <c r="L184" s="25">
        <v>0</v>
      </c>
      <c r="M184">
        <v>0</v>
      </c>
      <c r="N184">
        <v>0</v>
      </c>
      <c r="O184" s="2">
        <f t="shared" si="9"/>
        <v>7.8140000000000001</v>
      </c>
      <c r="P184" s="2">
        <f t="shared" si="9"/>
        <v>7.8140000000000001</v>
      </c>
      <c r="Q184" s="2">
        <v>32.42</v>
      </c>
      <c r="T184" s="25">
        <v>0</v>
      </c>
      <c r="U184" s="25"/>
      <c r="V184" s="25"/>
      <c r="W184">
        <v>0</v>
      </c>
      <c r="Z184">
        <v>0</v>
      </c>
      <c r="AD184">
        <v>20</v>
      </c>
      <c r="AE184" s="55">
        <f t="shared" si="6"/>
        <v>1979.5196823200001</v>
      </c>
      <c r="AF184" s="57">
        <v>0</v>
      </c>
      <c r="AG184" s="55">
        <v>0</v>
      </c>
      <c r="AH184" s="55">
        <v>0</v>
      </c>
      <c r="AI184" s="52">
        <f t="shared" si="8"/>
        <v>8.082768836755376E-2</v>
      </c>
      <c r="AJ184" s="51"/>
      <c r="AM184" s="28">
        <v>1.8666666666666669</v>
      </c>
      <c r="AN184" s="28">
        <v>2.666666666666667</v>
      </c>
      <c r="AO184" s="28">
        <v>0.46666666666666667</v>
      </c>
      <c r="AP184" s="28">
        <v>0.93333333333333335</v>
      </c>
      <c r="AQ184" s="28">
        <v>0.3146067415730337</v>
      </c>
      <c r="AR184" s="28">
        <v>0.44943820224719089</v>
      </c>
      <c r="AS184" s="28">
        <v>7.8651685393258425E-2</v>
      </c>
      <c r="AT184" s="28">
        <v>0.15730337078651679</v>
      </c>
      <c r="AU184" s="25">
        <v>0.95</v>
      </c>
      <c r="AV184" s="25">
        <v>3.44</v>
      </c>
      <c r="AW184" s="25">
        <v>2.4900000000000002</v>
      </c>
      <c r="AX184" s="25">
        <v>2.773333333333333</v>
      </c>
      <c r="AY184">
        <v>2.773333333333333</v>
      </c>
      <c r="AZ184">
        <v>6.4062483499900669</v>
      </c>
      <c r="BD184">
        <v>4.041384418377688E-2</v>
      </c>
      <c r="BH184">
        <v>8.082768836755376E-2</v>
      </c>
      <c r="BI184">
        <v>4.041384418377688E-2</v>
      </c>
      <c r="BJ184">
        <v>0</v>
      </c>
    </row>
    <row r="185" spans="1:62" x14ac:dyDescent="0.3">
      <c r="A185" s="2" t="s">
        <v>161</v>
      </c>
      <c r="B185" s="13" t="s">
        <v>782</v>
      </c>
      <c r="C185" s="13"/>
      <c r="F185" s="2">
        <v>3.92</v>
      </c>
      <c r="G185" s="2" t="s">
        <v>154</v>
      </c>
      <c r="H185" s="9">
        <v>-1</v>
      </c>
      <c r="I185">
        <v>-1</v>
      </c>
      <c r="J185"/>
      <c r="K185" s="2">
        <v>8</v>
      </c>
      <c r="L185" s="25">
        <v>0</v>
      </c>
      <c r="M185">
        <v>0</v>
      </c>
      <c r="N185">
        <v>0</v>
      </c>
      <c r="O185" s="2">
        <f t="shared" si="9"/>
        <v>7.8140000000000001</v>
      </c>
      <c r="P185" s="2">
        <f t="shared" si="9"/>
        <v>7.8140000000000001</v>
      </c>
      <c r="Q185" s="2">
        <v>32.58</v>
      </c>
      <c r="T185" s="25">
        <v>0</v>
      </c>
      <c r="U185" s="25"/>
      <c r="V185" s="25"/>
      <c r="W185">
        <v>0</v>
      </c>
      <c r="Z185">
        <v>0</v>
      </c>
      <c r="AD185">
        <v>20</v>
      </c>
      <c r="AE185" s="55">
        <f t="shared" si="6"/>
        <v>1989.28905768</v>
      </c>
      <c r="AF185" s="57">
        <v>0</v>
      </c>
      <c r="AG185" s="55">
        <v>0</v>
      </c>
      <c r="AH185" s="55">
        <v>0</v>
      </c>
      <c r="AI185" s="52">
        <f t="shared" si="8"/>
        <v>8.0430744532722323E-2</v>
      </c>
      <c r="AJ185" s="51"/>
      <c r="AM185" s="28">
        <v>1.875</v>
      </c>
      <c r="AN185" s="28">
        <v>2.5</v>
      </c>
      <c r="AO185" s="28">
        <v>0.625</v>
      </c>
      <c r="AP185" s="28">
        <v>1.75</v>
      </c>
      <c r="AQ185" s="28">
        <v>0.27777777777777779</v>
      </c>
      <c r="AR185" s="28">
        <v>0.37037037037037029</v>
      </c>
      <c r="AS185" s="28">
        <v>9.2592592592592587E-2</v>
      </c>
      <c r="AT185" s="28">
        <v>0.25925925925925919</v>
      </c>
      <c r="AU185" s="25">
        <v>0.95</v>
      </c>
      <c r="AV185" s="25">
        <v>3.44</v>
      </c>
      <c r="AW185" s="25">
        <v>2.4900000000000002</v>
      </c>
      <c r="AX185" s="25">
        <v>2.6937500000000001</v>
      </c>
      <c r="AY185">
        <v>2.6937500000000001</v>
      </c>
      <c r="AZ185">
        <v>6.2518794218656879</v>
      </c>
      <c r="BD185">
        <v>4.0215372266361162E-2</v>
      </c>
      <c r="BH185">
        <v>8.0430744532722323E-2</v>
      </c>
      <c r="BI185">
        <v>4.0215372266361162E-2</v>
      </c>
      <c r="BJ185">
        <v>0</v>
      </c>
    </row>
    <row r="186" spans="1:62" x14ac:dyDescent="0.3">
      <c r="A186" s="2" t="s">
        <v>162</v>
      </c>
      <c r="B186" s="13" t="s">
        <v>783</v>
      </c>
      <c r="C186" s="13"/>
      <c r="F186" s="2">
        <v>4.25</v>
      </c>
      <c r="G186" s="2" t="s">
        <v>154</v>
      </c>
      <c r="H186" s="9">
        <v>-1</v>
      </c>
      <c r="I186">
        <v>-1</v>
      </c>
      <c r="J186"/>
      <c r="K186" s="2">
        <v>8</v>
      </c>
      <c r="L186" s="25">
        <v>0</v>
      </c>
      <c r="M186">
        <v>0</v>
      </c>
      <c r="N186">
        <v>0</v>
      </c>
      <c r="O186" s="2">
        <f t="shared" si="9"/>
        <v>7.8140000000000001</v>
      </c>
      <c r="P186" s="2">
        <f t="shared" si="9"/>
        <v>7.8140000000000001</v>
      </c>
      <c r="Q186" s="2">
        <v>31.54</v>
      </c>
      <c r="T186" s="25">
        <v>0</v>
      </c>
      <c r="U186" s="25"/>
      <c r="V186" s="25"/>
      <c r="W186">
        <v>0</v>
      </c>
      <c r="Z186">
        <v>0</v>
      </c>
      <c r="AD186">
        <v>20</v>
      </c>
      <c r="AE186" s="55">
        <f t="shared" si="6"/>
        <v>1925.78811784</v>
      </c>
      <c r="AF186" s="57">
        <v>0</v>
      </c>
      <c r="AG186" s="55">
        <v>0</v>
      </c>
      <c r="AH186" s="55">
        <v>0</v>
      </c>
      <c r="AI186" s="52">
        <f t="shared" si="8"/>
        <v>8.3082868004949059E-2</v>
      </c>
      <c r="AJ186" s="51"/>
      <c r="AM186" s="28">
        <v>1.9375</v>
      </c>
      <c r="AN186" s="28">
        <v>2.5</v>
      </c>
      <c r="AO186" s="28">
        <v>0.5625</v>
      </c>
      <c r="AP186" s="28">
        <v>2.625</v>
      </c>
      <c r="AQ186" s="28">
        <v>0.25409836065573771</v>
      </c>
      <c r="AR186" s="28">
        <v>0.32786885245901642</v>
      </c>
      <c r="AS186" s="28">
        <v>7.3770491803278687E-2</v>
      </c>
      <c r="AT186" s="28">
        <v>0.34426229508196721</v>
      </c>
      <c r="AU186" s="25">
        <v>0.95</v>
      </c>
      <c r="AV186" s="25">
        <v>3.44</v>
      </c>
      <c r="AW186" s="25">
        <v>2.4900000000000002</v>
      </c>
      <c r="AX186" s="25">
        <v>2.6875</v>
      </c>
      <c r="AY186">
        <v>2.6875</v>
      </c>
      <c r="AZ186">
        <v>6.2580179843656882</v>
      </c>
      <c r="BD186">
        <v>4.154143400247453E-2</v>
      </c>
      <c r="BH186">
        <v>8.3082868004949059E-2</v>
      </c>
      <c r="BI186">
        <v>4.154143400247453E-2</v>
      </c>
      <c r="BJ186">
        <v>0</v>
      </c>
    </row>
    <row r="187" spans="1:62" x14ac:dyDescent="0.3">
      <c r="A187" s="2" t="s">
        <v>151</v>
      </c>
      <c r="B187" s="17" t="s">
        <v>774</v>
      </c>
      <c r="C187" s="13"/>
      <c r="D187" s="2" t="s">
        <v>863</v>
      </c>
      <c r="E187" s="2">
        <v>4</v>
      </c>
      <c r="F187" s="2">
        <v>3.35</v>
      </c>
      <c r="G187" s="2" t="s">
        <v>154</v>
      </c>
      <c r="H187" s="9">
        <v>-1</v>
      </c>
      <c r="I187">
        <v>-1</v>
      </c>
      <c r="J187"/>
      <c r="K187" s="2">
        <v>8</v>
      </c>
      <c r="L187" s="25">
        <v>0</v>
      </c>
      <c r="M187">
        <v>0</v>
      </c>
      <c r="N187">
        <v>0</v>
      </c>
      <c r="O187" s="2">
        <f>3.88*2</f>
        <v>7.76</v>
      </c>
      <c r="P187" s="2">
        <f>3.88*2</f>
        <v>7.76</v>
      </c>
      <c r="Q187" s="2">
        <v>33</v>
      </c>
      <c r="T187" s="25">
        <v>0</v>
      </c>
      <c r="U187" s="25"/>
      <c r="V187" s="25"/>
      <c r="W187">
        <v>0</v>
      </c>
      <c r="Z187">
        <v>0</v>
      </c>
      <c r="AD187">
        <v>20</v>
      </c>
      <c r="AE187" s="55">
        <f t="shared" si="6"/>
        <v>1987.1807999999999</v>
      </c>
      <c r="AF187" s="57">
        <v>0</v>
      </c>
      <c r="AG187" s="55">
        <v>0</v>
      </c>
      <c r="AH187" s="55">
        <v>0</v>
      </c>
      <c r="AI187" s="52">
        <f t="shared" si="8"/>
        <v>8.0516075839702161E-2</v>
      </c>
      <c r="AJ187" s="51"/>
      <c r="AM187" s="28">
        <v>1.75</v>
      </c>
      <c r="AN187" s="28">
        <v>2.5</v>
      </c>
      <c r="AO187" s="28">
        <v>0.75</v>
      </c>
      <c r="AP187" s="28">
        <v>0</v>
      </c>
      <c r="AQ187" s="28">
        <v>0.35</v>
      </c>
      <c r="AR187" s="28">
        <v>0.5</v>
      </c>
      <c r="AS187" s="28">
        <v>0.15</v>
      </c>
      <c r="AT187" s="28">
        <v>0</v>
      </c>
      <c r="AU187" s="25">
        <v>0.95</v>
      </c>
      <c r="AV187" s="25">
        <v>3.44</v>
      </c>
      <c r="AW187" s="25">
        <v>2.4900000000000002</v>
      </c>
      <c r="AX187" s="25">
        <v>2.7062499999999998</v>
      </c>
      <c r="AY187">
        <v>2.7062499999999998</v>
      </c>
      <c r="AZ187">
        <v>6.2396022968656872</v>
      </c>
      <c r="BD187">
        <v>4.0258037919851081E-2</v>
      </c>
      <c r="BH187">
        <v>8.0516075839702161E-2</v>
      </c>
      <c r="BI187">
        <v>4.0258037919851081E-2</v>
      </c>
      <c r="BJ187">
        <v>0</v>
      </c>
    </row>
    <row r="188" spans="1:62" x14ac:dyDescent="0.3">
      <c r="A188" s="2" t="s">
        <v>159</v>
      </c>
      <c r="B188" s="17" t="s">
        <v>780</v>
      </c>
      <c r="C188" s="13"/>
      <c r="D188" s="2" t="s">
        <v>863</v>
      </c>
      <c r="E188" s="2">
        <v>4</v>
      </c>
      <c r="F188" s="2">
        <v>3.74</v>
      </c>
      <c r="G188" s="2" t="s">
        <v>154</v>
      </c>
      <c r="H188" s="9">
        <v>-1</v>
      </c>
      <c r="I188">
        <v>-1</v>
      </c>
      <c r="J188"/>
      <c r="K188" s="2">
        <v>8</v>
      </c>
      <c r="L188" s="25">
        <v>0</v>
      </c>
      <c r="M188">
        <v>0</v>
      </c>
      <c r="N188">
        <v>0</v>
      </c>
      <c r="O188" s="2">
        <f t="shared" ref="O188:P191" si="10">3.88*2</f>
        <v>7.76</v>
      </c>
      <c r="P188" s="2">
        <f t="shared" si="10"/>
        <v>7.76</v>
      </c>
      <c r="Q188" s="2">
        <v>33.08</v>
      </c>
      <c r="T188" s="25">
        <v>0</v>
      </c>
      <c r="U188" s="25"/>
      <c r="V188" s="25"/>
      <c r="W188">
        <v>0</v>
      </c>
      <c r="Z188">
        <v>0</v>
      </c>
      <c r="AD188">
        <v>20</v>
      </c>
      <c r="AE188" s="55">
        <f t="shared" si="6"/>
        <v>1991.9982079999997</v>
      </c>
      <c r="AF188" s="57">
        <v>0</v>
      </c>
      <c r="AG188" s="55">
        <v>0</v>
      </c>
      <c r="AH188" s="55">
        <v>0</v>
      </c>
      <c r="AI188" s="52">
        <f t="shared" si="8"/>
        <v>8.0321357397526341E-2</v>
      </c>
      <c r="AJ188" s="51"/>
      <c r="AM188" s="28">
        <v>1.8125</v>
      </c>
      <c r="AN188" s="28">
        <v>2.5</v>
      </c>
      <c r="AO188" s="28">
        <v>0.6875</v>
      </c>
      <c r="AP188" s="28">
        <v>0.875</v>
      </c>
      <c r="AQ188" s="28">
        <v>0.30851063829787229</v>
      </c>
      <c r="AR188" s="28">
        <v>0.42553191489361702</v>
      </c>
      <c r="AS188" s="28">
        <v>0.1170212765957447</v>
      </c>
      <c r="AT188" s="28">
        <v>0.14893617021276601</v>
      </c>
      <c r="AU188" s="25">
        <v>0.95</v>
      </c>
      <c r="AV188" s="25">
        <v>3.44</v>
      </c>
      <c r="AW188" s="25">
        <v>2.4900000000000002</v>
      </c>
      <c r="AX188" s="25">
        <v>2.7</v>
      </c>
      <c r="AY188">
        <v>2.7</v>
      </c>
      <c r="AZ188">
        <v>6.2457408593656876</v>
      </c>
      <c r="BD188">
        <v>4.0160678698763171E-2</v>
      </c>
      <c r="BH188">
        <v>8.0321357397526341E-2</v>
      </c>
      <c r="BI188">
        <v>4.0160678698763171E-2</v>
      </c>
      <c r="BJ188">
        <v>0</v>
      </c>
    </row>
    <row r="189" spans="1:62" x14ac:dyDescent="0.3">
      <c r="A189" s="2" t="s">
        <v>160</v>
      </c>
      <c r="B189" s="17" t="s">
        <v>781</v>
      </c>
      <c r="C189" s="13"/>
      <c r="D189" s="2" t="s">
        <v>863</v>
      </c>
      <c r="E189" s="2">
        <v>4</v>
      </c>
      <c r="F189" s="2">
        <v>3.74</v>
      </c>
      <c r="G189" s="2" t="s">
        <v>154</v>
      </c>
      <c r="H189" s="9">
        <v>-1</v>
      </c>
      <c r="I189">
        <v>-1</v>
      </c>
      <c r="J189"/>
      <c r="K189" s="2">
        <v>8</v>
      </c>
      <c r="L189" s="25">
        <v>0</v>
      </c>
      <c r="M189">
        <v>0</v>
      </c>
      <c r="N189">
        <v>0</v>
      </c>
      <c r="O189" s="2">
        <f t="shared" si="10"/>
        <v>7.76</v>
      </c>
      <c r="P189" s="2">
        <f t="shared" si="10"/>
        <v>7.76</v>
      </c>
      <c r="Q189" s="2">
        <v>33.24</v>
      </c>
      <c r="T189" s="25">
        <v>0</v>
      </c>
      <c r="U189" s="25"/>
      <c r="V189" s="25"/>
      <c r="W189">
        <v>0</v>
      </c>
      <c r="Z189">
        <v>0</v>
      </c>
      <c r="AD189">
        <v>20</v>
      </c>
      <c r="AE189" s="55">
        <f t="shared" si="6"/>
        <v>2001.633024</v>
      </c>
      <c r="AF189" s="57">
        <v>0</v>
      </c>
      <c r="AG189" s="55">
        <v>0</v>
      </c>
      <c r="AH189" s="55">
        <v>0</v>
      </c>
      <c r="AI189" s="52">
        <f t="shared" si="8"/>
        <v>7.9934732331834277E-2</v>
      </c>
      <c r="AJ189" s="51"/>
      <c r="AM189" s="28">
        <v>1.8666666666666669</v>
      </c>
      <c r="AN189" s="28">
        <v>2.666666666666667</v>
      </c>
      <c r="AO189" s="28">
        <v>0.46666666666666667</v>
      </c>
      <c r="AP189" s="28">
        <v>0.93333333333333335</v>
      </c>
      <c r="AQ189" s="28">
        <v>0.3146067415730337</v>
      </c>
      <c r="AR189" s="28">
        <v>0.44943820224719089</v>
      </c>
      <c r="AS189" s="28">
        <v>7.8651685393258425E-2</v>
      </c>
      <c r="AT189" s="28">
        <v>0.15730337078651679</v>
      </c>
      <c r="AU189" s="25">
        <v>0.95</v>
      </c>
      <c r="AV189" s="25">
        <v>3.44</v>
      </c>
      <c r="AW189" s="25">
        <v>2.4900000000000002</v>
      </c>
      <c r="AX189" s="25">
        <v>2.773333333333333</v>
      </c>
      <c r="AY189">
        <v>2.773333333333333</v>
      </c>
      <c r="AZ189">
        <v>6.4062483499900669</v>
      </c>
      <c r="BD189">
        <v>3.9967366165917138E-2</v>
      </c>
      <c r="BH189">
        <v>7.9934732331834277E-2</v>
      </c>
      <c r="BI189">
        <v>3.9967366165917138E-2</v>
      </c>
      <c r="BJ189">
        <v>0</v>
      </c>
    </row>
    <row r="190" spans="1:62" x14ac:dyDescent="0.3">
      <c r="A190" s="2" t="s">
        <v>161</v>
      </c>
      <c r="B190" s="17" t="s">
        <v>782</v>
      </c>
      <c r="C190" s="13"/>
      <c r="D190" s="2" t="s">
        <v>863</v>
      </c>
      <c r="E190" s="2">
        <v>4</v>
      </c>
      <c r="F190" s="2">
        <v>3.78</v>
      </c>
      <c r="G190" s="2" t="s">
        <v>154</v>
      </c>
      <c r="H190" s="9">
        <v>-1</v>
      </c>
      <c r="I190">
        <v>-1</v>
      </c>
      <c r="J190"/>
      <c r="K190" s="2">
        <v>8</v>
      </c>
      <c r="L190" s="25">
        <v>0</v>
      </c>
      <c r="M190">
        <v>0</v>
      </c>
      <c r="N190">
        <v>0</v>
      </c>
      <c r="O190" s="2">
        <f t="shared" si="10"/>
        <v>7.76</v>
      </c>
      <c r="P190" s="2">
        <f t="shared" si="10"/>
        <v>7.76</v>
      </c>
      <c r="Q190" s="2">
        <v>33</v>
      </c>
      <c r="T190" s="25">
        <v>0</v>
      </c>
      <c r="U190" s="25"/>
      <c r="V190" s="25"/>
      <c r="W190">
        <v>0</v>
      </c>
      <c r="Z190">
        <v>0</v>
      </c>
      <c r="AD190">
        <v>20</v>
      </c>
      <c r="AE190" s="55">
        <f t="shared" si="6"/>
        <v>1987.1807999999999</v>
      </c>
      <c r="AF190" s="57">
        <v>0</v>
      </c>
      <c r="AG190" s="55">
        <v>0</v>
      </c>
      <c r="AH190" s="55">
        <v>0</v>
      </c>
      <c r="AI190" s="52">
        <f t="shared" si="8"/>
        <v>8.0516075839702161E-2</v>
      </c>
      <c r="AJ190" s="51"/>
      <c r="AM190" s="28">
        <v>1.875</v>
      </c>
      <c r="AN190" s="28">
        <v>2.5</v>
      </c>
      <c r="AO190" s="28">
        <v>0.625</v>
      </c>
      <c r="AP190" s="28">
        <v>1.75</v>
      </c>
      <c r="AQ190" s="28">
        <v>0.27777777777777779</v>
      </c>
      <c r="AR190" s="28">
        <v>0.37037037037037029</v>
      </c>
      <c r="AS190" s="28">
        <v>9.2592592592592587E-2</v>
      </c>
      <c r="AT190" s="28">
        <v>0.25925925925925919</v>
      </c>
      <c r="AU190" s="25">
        <v>0.95</v>
      </c>
      <c r="AV190" s="25">
        <v>3.44</v>
      </c>
      <c r="AW190" s="25">
        <v>2.4900000000000002</v>
      </c>
      <c r="AX190" s="25">
        <v>2.6937500000000001</v>
      </c>
      <c r="AY190">
        <v>2.6937500000000001</v>
      </c>
      <c r="AZ190">
        <v>6.2518794218656879</v>
      </c>
      <c r="BD190">
        <v>4.0258037919851081E-2</v>
      </c>
      <c r="BH190">
        <v>8.0516075839702161E-2</v>
      </c>
      <c r="BI190">
        <v>4.0258037919851081E-2</v>
      </c>
      <c r="BJ190">
        <v>0</v>
      </c>
    </row>
    <row r="191" spans="1:62" x14ac:dyDescent="0.3">
      <c r="A191" s="2" t="s">
        <v>162</v>
      </c>
      <c r="B191" s="17" t="s">
        <v>783</v>
      </c>
      <c r="C191" s="13"/>
      <c r="D191" s="2" t="s">
        <v>863</v>
      </c>
      <c r="E191" s="2">
        <v>4</v>
      </c>
      <c r="F191" s="2">
        <v>3.99</v>
      </c>
      <c r="G191" s="2" t="s">
        <v>154</v>
      </c>
      <c r="H191" s="9">
        <v>-1</v>
      </c>
      <c r="I191">
        <v>-1</v>
      </c>
      <c r="J191"/>
      <c r="K191" s="2">
        <v>8</v>
      </c>
      <c r="L191" s="25">
        <v>0</v>
      </c>
      <c r="M191">
        <v>0</v>
      </c>
      <c r="N191">
        <v>0</v>
      </c>
      <c r="O191" s="2">
        <f t="shared" si="10"/>
        <v>7.76</v>
      </c>
      <c r="P191" s="2">
        <f t="shared" si="10"/>
        <v>7.76</v>
      </c>
      <c r="Q191" s="2">
        <v>29.18</v>
      </c>
      <c r="T191" s="25">
        <v>0</v>
      </c>
      <c r="U191" s="25"/>
      <c r="V191" s="25"/>
      <c r="W191">
        <v>0</v>
      </c>
      <c r="Z191">
        <v>0</v>
      </c>
      <c r="AD191">
        <v>20</v>
      </c>
      <c r="AE191" s="55">
        <f t="shared" si="6"/>
        <v>1757.1495679999998</v>
      </c>
      <c r="AF191" s="57">
        <v>0</v>
      </c>
      <c r="AG191" s="55">
        <v>0</v>
      </c>
      <c r="AH191" s="55">
        <v>0</v>
      </c>
      <c r="AI191" s="52">
        <f t="shared" si="8"/>
        <v>9.1056562807065505E-2</v>
      </c>
      <c r="AJ191" s="51"/>
      <c r="AM191" s="28">
        <v>1.9375</v>
      </c>
      <c r="AN191" s="28">
        <v>2.5</v>
      </c>
      <c r="AO191" s="28">
        <v>0.5625</v>
      </c>
      <c r="AP191" s="28">
        <v>2.625</v>
      </c>
      <c r="AQ191" s="28">
        <v>0.25409836065573771</v>
      </c>
      <c r="AR191" s="28">
        <v>0.32786885245901642</v>
      </c>
      <c r="AS191" s="28">
        <v>7.3770491803278687E-2</v>
      </c>
      <c r="AT191" s="28">
        <v>0.34426229508196721</v>
      </c>
      <c r="AU191" s="25">
        <v>0.95</v>
      </c>
      <c r="AV191" s="25">
        <v>3.44</v>
      </c>
      <c r="AW191" s="25">
        <v>2.4900000000000002</v>
      </c>
      <c r="AX191" s="25">
        <v>2.6875</v>
      </c>
      <c r="AY191">
        <v>2.6875</v>
      </c>
      <c r="AZ191">
        <v>6.2580179843656882</v>
      </c>
      <c r="BD191">
        <v>4.5528281403532753E-2</v>
      </c>
      <c r="BH191">
        <v>9.1056562807065505E-2</v>
      </c>
      <c r="BI191">
        <v>4.5528281403532753E-2</v>
      </c>
      <c r="BJ191">
        <v>0</v>
      </c>
    </row>
    <row r="192" spans="1:62" x14ac:dyDescent="0.3">
      <c r="A192" s="2" t="s">
        <v>4</v>
      </c>
      <c r="B192" s="13" t="s">
        <v>689</v>
      </c>
      <c r="C192" s="13"/>
      <c r="F192" s="2">
        <v>3.5</v>
      </c>
      <c r="G192" s="2" t="s">
        <v>163</v>
      </c>
      <c r="H192" s="9" t="s">
        <v>527</v>
      </c>
      <c r="I192" t="s">
        <v>609</v>
      </c>
      <c r="J192"/>
      <c r="L192" s="25">
        <v>4</v>
      </c>
      <c r="M192">
        <v>4</v>
      </c>
      <c r="N192">
        <v>0</v>
      </c>
      <c r="T192" s="25">
        <v>7.8084429999999996</v>
      </c>
      <c r="U192" s="25">
        <v>7.8548809999999998</v>
      </c>
      <c r="V192" s="25">
        <v>15.19056011</v>
      </c>
      <c r="W192">
        <v>3.8801999999999999</v>
      </c>
      <c r="X192">
        <v>29.507999999999999</v>
      </c>
      <c r="Y192">
        <v>7.7140000000000004</v>
      </c>
      <c r="Z192">
        <v>0</v>
      </c>
      <c r="AD192">
        <v>20</v>
      </c>
      <c r="AE192" s="55">
        <f t="shared" si="6"/>
        <v>0</v>
      </c>
      <c r="AF192" s="57">
        <v>924.74694800021894</v>
      </c>
      <c r="AG192" s="55">
        <v>883.22940750240002</v>
      </c>
      <c r="AH192" s="55">
        <v>0</v>
      </c>
      <c r="AJ192" s="51">
        <v>8.6510153045653584E-2</v>
      </c>
      <c r="AK192" s="52">
        <v>9.0576694254581439E-2</v>
      </c>
      <c r="AM192" s="28">
        <v>1.75</v>
      </c>
      <c r="AN192" s="28">
        <v>2.5</v>
      </c>
      <c r="AO192" s="28">
        <v>0.75</v>
      </c>
      <c r="AP192" s="28">
        <v>0</v>
      </c>
      <c r="AQ192" s="28">
        <v>0.35</v>
      </c>
      <c r="AR192" s="28">
        <v>0.5</v>
      </c>
      <c r="AS192" s="28">
        <v>0.15</v>
      </c>
      <c r="AT192" s="28">
        <v>0</v>
      </c>
      <c r="AU192" s="25">
        <v>0.82</v>
      </c>
      <c r="AV192" s="25">
        <v>3.44</v>
      </c>
      <c r="AW192" s="25">
        <v>2.62</v>
      </c>
      <c r="AX192" s="25">
        <v>2.6262500000000002</v>
      </c>
      <c r="AY192">
        <v>2.6262500000000002</v>
      </c>
      <c r="AZ192">
        <v>5.96680968125</v>
      </c>
      <c r="BA192" s="75">
        <v>0.50555206026575039</v>
      </c>
      <c r="BB192" s="75">
        <v>0</v>
      </c>
      <c r="BE192">
        <v>4.3255076522826792E-2</v>
      </c>
      <c r="BF192">
        <v>4.5288347127290719E-2</v>
      </c>
      <c r="BH192">
        <v>8.8543423650117511E-2</v>
      </c>
      <c r="BI192">
        <v>4.4271711825058763E-2</v>
      </c>
      <c r="BJ192">
        <v>0.2527760301328752</v>
      </c>
    </row>
    <row r="193" spans="1:68" x14ac:dyDescent="0.3">
      <c r="A193" s="2" t="s">
        <v>165</v>
      </c>
      <c r="B193" s="13" t="s">
        <v>784</v>
      </c>
      <c r="C193" s="13"/>
      <c r="F193" s="2">
        <v>2.84</v>
      </c>
      <c r="G193" s="2" t="s">
        <v>164</v>
      </c>
      <c r="H193" s="9">
        <v>-1</v>
      </c>
      <c r="I193">
        <v>-1</v>
      </c>
      <c r="J193"/>
      <c r="K193" s="2">
        <v>2</v>
      </c>
      <c r="L193" s="25">
        <v>0</v>
      </c>
      <c r="M193">
        <v>0</v>
      </c>
      <c r="N193">
        <v>0</v>
      </c>
      <c r="O193" s="2">
        <v>3.97</v>
      </c>
      <c r="P193" s="2">
        <v>3.97</v>
      </c>
      <c r="Q193" s="2">
        <v>22.5</v>
      </c>
      <c r="T193" s="25">
        <v>0</v>
      </c>
      <c r="U193" s="25"/>
      <c r="V193" s="25"/>
      <c r="W193">
        <v>0</v>
      </c>
      <c r="Z193">
        <v>0</v>
      </c>
      <c r="AD193">
        <v>18</v>
      </c>
      <c r="AE193" s="55">
        <f t="shared" si="6"/>
        <v>354.62025000000006</v>
      </c>
      <c r="AF193" s="57">
        <v>0</v>
      </c>
      <c r="AG193" s="55">
        <v>0</v>
      </c>
      <c r="AH193" s="55">
        <v>0</v>
      </c>
      <c r="AI193" s="52">
        <f t="shared" si="8"/>
        <v>0.10151704534639518</v>
      </c>
      <c r="AJ193" s="51"/>
      <c r="AM193" s="28">
        <v>1.8</v>
      </c>
      <c r="AN193" s="28">
        <v>2.4</v>
      </c>
      <c r="AO193" s="28">
        <v>1.1333333333333331</v>
      </c>
      <c r="AP193" s="28">
        <v>0</v>
      </c>
      <c r="AQ193" s="28">
        <v>0.33750000000000002</v>
      </c>
      <c r="AR193" s="28">
        <v>0.45</v>
      </c>
      <c r="AS193" s="28">
        <v>0.21249999999999999</v>
      </c>
      <c r="AT193" s="28">
        <v>0</v>
      </c>
      <c r="AU193" s="25">
        <v>0.93</v>
      </c>
      <c r="AV193" s="25">
        <v>3.44</v>
      </c>
      <c r="AW193" s="25">
        <v>2.5099999999999998</v>
      </c>
      <c r="AX193" s="25">
        <v>2.6033333333333331</v>
      </c>
      <c r="AY193">
        <v>2.6033333333333331</v>
      </c>
      <c r="AZ193">
        <v>5.9143459586666669</v>
      </c>
      <c r="BD193">
        <v>5.0758522673197588E-2</v>
      </c>
      <c r="BH193">
        <v>0.1015170453463952</v>
      </c>
      <c r="BI193">
        <v>5.0758522673197588E-2</v>
      </c>
      <c r="BJ193">
        <v>0</v>
      </c>
      <c r="BP193" s="2">
        <v>1.3</v>
      </c>
    </row>
    <row r="194" spans="1:68" x14ac:dyDescent="0.3">
      <c r="A194" s="2" t="s">
        <v>166</v>
      </c>
      <c r="B194" s="13" t="s">
        <v>785</v>
      </c>
      <c r="C194" s="13"/>
      <c r="F194" s="2">
        <v>3.48</v>
      </c>
      <c r="G194" s="2" t="s">
        <v>164</v>
      </c>
      <c r="H194" s="9">
        <v>-1</v>
      </c>
      <c r="I194">
        <v>-1</v>
      </c>
      <c r="J194"/>
      <c r="K194" s="2">
        <v>2</v>
      </c>
      <c r="L194" s="25">
        <v>0</v>
      </c>
      <c r="M194">
        <v>0</v>
      </c>
      <c r="N194">
        <v>0</v>
      </c>
      <c r="O194" s="2">
        <v>3.97</v>
      </c>
      <c r="P194" s="2">
        <v>3.97</v>
      </c>
      <c r="Q194" s="2">
        <v>22.5</v>
      </c>
      <c r="T194" s="25">
        <v>0</v>
      </c>
      <c r="U194" s="25"/>
      <c r="V194" s="25"/>
      <c r="W194">
        <v>0</v>
      </c>
      <c r="Z194">
        <v>0</v>
      </c>
      <c r="AC194" s="2">
        <v>3</v>
      </c>
      <c r="AD194">
        <v>18</v>
      </c>
      <c r="AE194" s="55">
        <f t="shared" si="6"/>
        <v>354.62025000000006</v>
      </c>
      <c r="AF194" s="57">
        <v>0</v>
      </c>
      <c r="AG194" s="55">
        <v>0</v>
      </c>
      <c r="AH194" s="55">
        <v>0</v>
      </c>
      <c r="AI194" s="52">
        <f t="shared" si="8"/>
        <v>0.10151704534639518</v>
      </c>
      <c r="AJ194" s="51"/>
      <c r="AM194" s="28">
        <v>1.8</v>
      </c>
      <c r="AN194" s="28">
        <v>2.4</v>
      </c>
      <c r="AO194" s="28">
        <v>1.1333333333333331</v>
      </c>
      <c r="AP194" s="28">
        <v>0</v>
      </c>
      <c r="AQ194" s="28">
        <v>0.33750000000000002</v>
      </c>
      <c r="AR194" s="28">
        <v>0.45</v>
      </c>
      <c r="AS194" s="28">
        <v>0.21249999999999999</v>
      </c>
      <c r="AT194" s="28">
        <v>0</v>
      </c>
      <c r="AU194" s="25">
        <v>0.79</v>
      </c>
      <c r="AV194" s="25">
        <v>3.44</v>
      </c>
      <c r="AW194" s="25">
        <v>2.65</v>
      </c>
      <c r="AX194" s="25">
        <v>2.5939999999999999</v>
      </c>
      <c r="AY194">
        <v>2.5939999999999999</v>
      </c>
      <c r="AZ194">
        <v>5.870297050914334</v>
      </c>
      <c r="BD194">
        <v>5.0758522673197588E-2</v>
      </c>
      <c r="BH194">
        <v>0.1015170453463952</v>
      </c>
      <c r="BI194">
        <v>5.0758522673197588E-2</v>
      </c>
      <c r="BJ194">
        <v>0</v>
      </c>
      <c r="BP194" s="2">
        <v>6.1</v>
      </c>
    </row>
    <row r="195" spans="1:68" s="5" customFormat="1" x14ac:dyDescent="0.3">
      <c r="A195" s="5" t="s">
        <v>167</v>
      </c>
      <c r="B195" s="39" t="s">
        <v>786</v>
      </c>
      <c r="C195" s="39"/>
      <c r="F195" s="5">
        <v>3.49</v>
      </c>
      <c r="G195" s="5" t="s">
        <v>164</v>
      </c>
      <c r="H195" s="40">
        <v>-2</v>
      </c>
      <c r="I195" s="5">
        <v>-1</v>
      </c>
      <c r="L195" s="41">
        <v>0</v>
      </c>
      <c r="M195">
        <v>0</v>
      </c>
      <c r="N195">
        <v>0</v>
      </c>
      <c r="T195" s="41">
        <v>0</v>
      </c>
      <c r="U195" s="41"/>
      <c r="V195" s="41"/>
      <c r="W195">
        <v>0</v>
      </c>
      <c r="X195"/>
      <c r="Y195"/>
      <c r="Z195">
        <v>0</v>
      </c>
      <c r="AA195"/>
      <c r="AB195"/>
      <c r="AD195" s="5">
        <v>18</v>
      </c>
      <c r="AE195" s="55">
        <f t="shared" ref="AE195:AE258" si="11">O195*P195*Q195</f>
        <v>0</v>
      </c>
      <c r="AF195" s="57">
        <v>0</v>
      </c>
      <c r="AG195" s="55">
        <v>0</v>
      </c>
      <c r="AH195" s="55">
        <v>0</v>
      </c>
      <c r="AI195" s="52"/>
      <c r="AJ195" s="51"/>
      <c r="AK195" s="52"/>
      <c r="AL195" s="52"/>
      <c r="AM195" s="5">
        <v>1.8</v>
      </c>
      <c r="AN195" s="5">
        <v>2.4</v>
      </c>
      <c r="AO195" s="5">
        <v>1.1333333333333331</v>
      </c>
      <c r="AP195" s="5">
        <v>0</v>
      </c>
      <c r="AQ195" s="5">
        <v>0.33750000000000002</v>
      </c>
      <c r="AR195" s="5">
        <v>0.45</v>
      </c>
      <c r="AS195" s="5">
        <v>0.21249999999999999</v>
      </c>
      <c r="AT195" s="5">
        <v>0</v>
      </c>
      <c r="AU195" s="41">
        <v>0.95</v>
      </c>
      <c r="AV195" s="41">
        <v>3.44</v>
      </c>
      <c r="AW195" s="41">
        <v>2.4900000000000002</v>
      </c>
      <c r="AX195" s="41">
        <v>2.6880000000000011</v>
      </c>
      <c r="AY195" s="5">
        <v>2.6880000000000002</v>
      </c>
      <c r="AZ195" s="5">
        <v>6.2032136049900668</v>
      </c>
      <c r="BA195" s="75"/>
      <c r="BB195" s="75"/>
      <c r="BC195" s="75"/>
      <c r="BD195"/>
      <c r="BE195"/>
      <c r="BF195"/>
      <c r="BG195"/>
      <c r="BH195">
        <v>0</v>
      </c>
      <c r="BI195">
        <v>0</v>
      </c>
      <c r="BJ195">
        <v>0</v>
      </c>
      <c r="BP195" s="5">
        <v>26.7</v>
      </c>
    </row>
    <row r="196" spans="1:68" x14ac:dyDescent="0.3">
      <c r="A196" s="2" t="s">
        <v>63</v>
      </c>
      <c r="B196" s="68" t="s">
        <v>1222</v>
      </c>
      <c r="C196" s="13"/>
      <c r="F196" s="2">
        <v>3.75</v>
      </c>
      <c r="G196" s="2" t="s">
        <v>168</v>
      </c>
      <c r="H196" s="9">
        <v>-1</v>
      </c>
      <c r="I196">
        <v>-1</v>
      </c>
      <c r="J196"/>
      <c r="K196" s="2">
        <v>2</v>
      </c>
      <c r="L196" s="25">
        <v>0</v>
      </c>
      <c r="M196">
        <v>0</v>
      </c>
      <c r="N196">
        <v>0</v>
      </c>
      <c r="O196" s="2">
        <v>3.8530000000000002</v>
      </c>
      <c r="P196" s="2">
        <v>3.8530000000000002</v>
      </c>
      <c r="Q196" s="2">
        <v>29</v>
      </c>
      <c r="R196"/>
      <c r="S196"/>
      <c r="T196" s="25">
        <v>0</v>
      </c>
      <c r="U196" s="25"/>
      <c r="V196" s="25"/>
      <c r="W196">
        <v>0</v>
      </c>
      <c r="Z196">
        <v>0</v>
      </c>
      <c r="AC196" s="2">
        <v>3</v>
      </c>
      <c r="AD196">
        <v>20</v>
      </c>
      <c r="AE196" s="55">
        <f t="shared" si="11"/>
        <v>430.52266100000003</v>
      </c>
      <c r="AF196" s="57">
        <v>0</v>
      </c>
      <c r="AG196" s="55">
        <v>0</v>
      </c>
      <c r="AH196" s="55">
        <v>0</v>
      </c>
      <c r="AI196" s="52">
        <f t="shared" si="8"/>
        <v>9.2910324179195758E-2</v>
      </c>
      <c r="AJ196" s="51"/>
      <c r="AM196" s="28">
        <v>1.75</v>
      </c>
      <c r="AN196" s="28">
        <v>2.5</v>
      </c>
      <c r="AO196" s="28">
        <v>0.75</v>
      </c>
      <c r="AP196" s="28">
        <v>0</v>
      </c>
      <c r="AQ196" s="28">
        <v>0.35</v>
      </c>
      <c r="AR196" s="28">
        <v>0.5</v>
      </c>
      <c r="AS196" s="28">
        <v>0.15</v>
      </c>
      <c r="AT196" s="28">
        <v>0</v>
      </c>
      <c r="AU196" s="25">
        <v>1</v>
      </c>
      <c r="AV196" s="25">
        <v>3.44</v>
      </c>
      <c r="AW196" s="25">
        <v>2.44</v>
      </c>
      <c r="AX196" s="25">
        <v>2.7124999999999999</v>
      </c>
      <c r="AY196">
        <v>2.7124999999999999</v>
      </c>
      <c r="AZ196">
        <v>6.264025610615688</v>
      </c>
      <c r="BD196">
        <v>4.6455162089597879E-2</v>
      </c>
      <c r="BH196">
        <v>9.2910324179195758E-2</v>
      </c>
      <c r="BI196">
        <v>4.6455162089597879E-2</v>
      </c>
      <c r="BJ196">
        <v>0</v>
      </c>
      <c r="BP196" s="2">
        <v>2.83</v>
      </c>
    </row>
    <row r="197" spans="1:68" x14ac:dyDescent="0.3">
      <c r="A197" s="2" t="s">
        <v>232</v>
      </c>
      <c r="B197" s="68" t="s">
        <v>1223</v>
      </c>
      <c r="C197" s="13"/>
      <c r="F197" s="2">
        <v>3.86</v>
      </c>
      <c r="G197" s="2" t="s">
        <v>168</v>
      </c>
      <c r="H197" s="9">
        <v>-1</v>
      </c>
      <c r="I197">
        <v>-1</v>
      </c>
      <c r="J197"/>
      <c r="K197" s="2">
        <v>2</v>
      </c>
      <c r="L197" s="25">
        <v>0</v>
      </c>
      <c r="M197">
        <v>0</v>
      </c>
      <c r="N197">
        <v>0</v>
      </c>
      <c r="O197" s="2">
        <v>3.8530000000000002</v>
      </c>
      <c r="P197" s="2">
        <v>3.8530000000000002</v>
      </c>
      <c r="Q197" s="2">
        <v>31.24</v>
      </c>
      <c r="T197" s="25">
        <v>0</v>
      </c>
      <c r="U197" s="25"/>
      <c r="V197" s="25"/>
      <c r="W197">
        <v>0</v>
      </c>
      <c r="Z197">
        <v>0</v>
      </c>
      <c r="AC197" s="2">
        <v>3</v>
      </c>
      <c r="AD197">
        <v>20</v>
      </c>
      <c r="AE197" s="55">
        <f t="shared" si="11"/>
        <v>463.77682516000004</v>
      </c>
      <c r="AF197" s="57">
        <v>0</v>
      </c>
      <c r="AG197" s="55">
        <v>0</v>
      </c>
      <c r="AH197" s="55">
        <v>0</v>
      </c>
      <c r="AI197" s="52">
        <f t="shared" si="8"/>
        <v>8.6248380319996057E-2</v>
      </c>
      <c r="AJ197" s="51"/>
      <c r="AM197" s="28">
        <v>1.8125</v>
      </c>
      <c r="AN197" s="28">
        <v>2.5</v>
      </c>
      <c r="AO197" s="28">
        <v>0.6875</v>
      </c>
      <c r="AP197" s="28">
        <v>0.875</v>
      </c>
      <c r="AQ197" s="28">
        <v>0.30851063829787229</v>
      </c>
      <c r="AR197" s="28">
        <v>0.42553191489361702</v>
      </c>
      <c r="AS197" s="28">
        <v>0.1170212765957447</v>
      </c>
      <c r="AT197" s="28">
        <v>0.14893617021276601</v>
      </c>
      <c r="AU197" s="25">
        <v>1</v>
      </c>
      <c r="AV197" s="25">
        <v>3.44</v>
      </c>
      <c r="AW197" s="25">
        <v>2.44</v>
      </c>
      <c r="AX197" s="25">
        <v>2.7062499999999998</v>
      </c>
      <c r="AY197">
        <v>2.7062499999999998</v>
      </c>
      <c r="AZ197">
        <v>6.2701641731156874</v>
      </c>
      <c r="BD197">
        <v>4.3124190159998028E-2</v>
      </c>
      <c r="BH197">
        <v>8.6248380319996057E-2</v>
      </c>
      <c r="BI197">
        <v>4.3124190159998028E-2</v>
      </c>
      <c r="BJ197">
        <v>0</v>
      </c>
      <c r="BP197" s="2">
        <v>6.46</v>
      </c>
    </row>
    <row r="198" spans="1:68" x14ac:dyDescent="0.3">
      <c r="A198" s="2" t="s">
        <v>1220</v>
      </c>
      <c r="B198" s="68" t="s">
        <v>1224</v>
      </c>
      <c r="C198" s="13"/>
      <c r="F198" s="2">
        <v>4.01</v>
      </c>
      <c r="G198" s="2" t="s">
        <v>168</v>
      </c>
      <c r="H198" s="9">
        <v>-1</v>
      </c>
      <c r="I198">
        <v>-1</v>
      </c>
      <c r="J198"/>
      <c r="K198" s="2">
        <v>2</v>
      </c>
      <c r="L198" s="25">
        <v>0</v>
      </c>
      <c r="M198">
        <v>0</v>
      </c>
      <c r="N198">
        <v>0</v>
      </c>
      <c r="O198" s="2">
        <v>3.8530000000000002</v>
      </c>
      <c r="P198" s="2">
        <v>3.8530000000000002</v>
      </c>
      <c r="Q198" s="2">
        <v>31.54</v>
      </c>
      <c r="T198" s="25">
        <v>0</v>
      </c>
      <c r="U198" s="25"/>
      <c r="V198" s="25"/>
      <c r="W198">
        <v>0</v>
      </c>
      <c r="Z198">
        <v>0</v>
      </c>
      <c r="AC198" s="2">
        <v>3</v>
      </c>
      <c r="AD198">
        <v>20</v>
      </c>
      <c r="AE198" s="55">
        <f t="shared" si="11"/>
        <v>468.23050786000005</v>
      </c>
      <c r="AF198" s="57">
        <v>0</v>
      </c>
      <c r="AG198" s="55">
        <v>0</v>
      </c>
      <c r="AH198" s="55">
        <v>0</v>
      </c>
      <c r="AI198" s="52">
        <f t="shared" si="8"/>
        <v>8.5428008915557282E-2</v>
      </c>
      <c r="AJ198" s="51"/>
      <c r="AM198" s="28">
        <v>1.84375</v>
      </c>
      <c r="AN198" s="28">
        <v>2.5</v>
      </c>
      <c r="AO198" s="28">
        <v>0.65625</v>
      </c>
      <c r="AP198" s="28">
        <v>1.3125</v>
      </c>
      <c r="AQ198" s="28">
        <v>0.29207920792079212</v>
      </c>
      <c r="AR198" s="28">
        <v>0.39603960396039611</v>
      </c>
      <c r="AS198" s="28">
        <v>0.103960396039604</v>
      </c>
      <c r="AT198" s="28">
        <v>0.20792079207920791</v>
      </c>
      <c r="AU198" s="25">
        <v>1</v>
      </c>
      <c r="AV198" s="25">
        <v>3.44</v>
      </c>
      <c r="AW198" s="25">
        <v>2.44</v>
      </c>
      <c r="AX198" s="25">
        <v>2.703125</v>
      </c>
      <c r="AY198">
        <v>2.703125</v>
      </c>
      <c r="AZ198">
        <v>6.2732334543656876</v>
      </c>
      <c r="BD198">
        <v>4.2714004457778641E-2</v>
      </c>
      <c r="BH198">
        <v>8.5428008915557282E-2</v>
      </c>
      <c r="BI198">
        <v>4.2714004457778641E-2</v>
      </c>
      <c r="BJ198">
        <v>0</v>
      </c>
      <c r="BP198" s="2">
        <v>6.64</v>
      </c>
    </row>
    <row r="199" spans="1:68" x14ac:dyDescent="0.3">
      <c r="A199" s="2" t="s">
        <v>1221</v>
      </c>
      <c r="B199" s="68" t="s">
        <v>1225</v>
      </c>
      <c r="C199" s="13"/>
      <c r="F199" s="2">
        <v>4.16</v>
      </c>
      <c r="G199" s="2" t="s">
        <v>168</v>
      </c>
      <c r="H199" s="9">
        <v>-1</v>
      </c>
      <c r="I199">
        <v>-1</v>
      </c>
      <c r="J199"/>
      <c r="K199" s="2">
        <v>2</v>
      </c>
      <c r="L199" s="25">
        <v>0</v>
      </c>
      <c r="M199">
        <v>0</v>
      </c>
      <c r="N199">
        <v>0</v>
      </c>
      <c r="O199" s="2">
        <v>3.8530000000000002</v>
      </c>
      <c r="P199" s="2">
        <v>3.8530000000000002</v>
      </c>
      <c r="Q199" s="2">
        <v>32.4</v>
      </c>
      <c r="T199" s="25">
        <v>0</v>
      </c>
      <c r="U199" s="25"/>
      <c r="V199" s="25"/>
      <c r="W199">
        <v>0</v>
      </c>
      <c r="Z199">
        <v>0</v>
      </c>
      <c r="AC199" s="2">
        <v>3</v>
      </c>
      <c r="AD199">
        <v>20</v>
      </c>
      <c r="AE199" s="55">
        <f t="shared" si="11"/>
        <v>480.99773160000001</v>
      </c>
      <c r="AF199" s="57">
        <v>0</v>
      </c>
      <c r="AG199" s="55">
        <v>0</v>
      </c>
      <c r="AH199" s="55">
        <v>0</v>
      </c>
      <c r="AI199" s="52">
        <f t="shared" si="8"/>
        <v>8.3160475345576454E-2</v>
      </c>
      <c r="AJ199" s="51"/>
      <c r="AM199" s="28">
        <v>1.875</v>
      </c>
      <c r="AN199" s="28">
        <v>2.5</v>
      </c>
      <c r="AO199" s="28">
        <v>0.625</v>
      </c>
      <c r="AP199" s="28">
        <v>1.75</v>
      </c>
      <c r="AQ199" s="28">
        <v>0.27777777777777779</v>
      </c>
      <c r="AR199" s="28">
        <v>0.37037037037037029</v>
      </c>
      <c r="AS199" s="28">
        <v>9.2592592592592587E-2</v>
      </c>
      <c r="AT199" s="28">
        <v>0.25925925925925919</v>
      </c>
      <c r="AU199" s="25">
        <v>1</v>
      </c>
      <c r="AV199" s="25">
        <v>3.44</v>
      </c>
      <c r="AW199" s="25">
        <v>2.44</v>
      </c>
      <c r="AX199" s="25">
        <v>2.7</v>
      </c>
      <c r="AY199">
        <v>2.7</v>
      </c>
      <c r="AZ199">
        <v>6.2763027356156877</v>
      </c>
      <c r="BD199">
        <v>4.1580237672788227E-2</v>
      </c>
      <c r="BH199">
        <v>8.3160475345576454E-2</v>
      </c>
      <c r="BI199">
        <v>4.1580237672788227E-2</v>
      </c>
      <c r="BJ199">
        <v>0</v>
      </c>
      <c r="BP199" s="2">
        <v>5.75</v>
      </c>
    </row>
    <row r="200" spans="1:68" x14ac:dyDescent="0.3">
      <c r="A200" s="2" t="s">
        <v>855</v>
      </c>
      <c r="B200" s="68" t="s">
        <v>1226</v>
      </c>
      <c r="C200" s="13"/>
      <c r="F200" s="2">
        <v>4.59</v>
      </c>
      <c r="G200" s="2" t="s">
        <v>168</v>
      </c>
      <c r="H200" s="9">
        <v>-1</v>
      </c>
      <c r="I200">
        <v>-1</v>
      </c>
      <c r="J200"/>
      <c r="K200" s="2">
        <v>2</v>
      </c>
      <c r="L200" s="25">
        <v>0</v>
      </c>
      <c r="M200">
        <v>0</v>
      </c>
      <c r="N200">
        <v>0</v>
      </c>
      <c r="O200" s="2">
        <v>3.8530000000000002</v>
      </c>
      <c r="P200" s="2">
        <v>3.8530000000000002</v>
      </c>
      <c r="Q200" s="2">
        <v>32.64</v>
      </c>
      <c r="R200" t="s">
        <v>496</v>
      </c>
      <c r="S200"/>
      <c r="T200" s="25">
        <v>0</v>
      </c>
      <c r="U200" s="25"/>
      <c r="V200" s="25"/>
      <c r="W200">
        <v>0</v>
      </c>
      <c r="Z200">
        <v>0</v>
      </c>
      <c r="AC200" s="2">
        <v>3</v>
      </c>
      <c r="AD200">
        <v>20</v>
      </c>
      <c r="AE200" s="55">
        <f t="shared" si="11"/>
        <v>484.56067776000003</v>
      </c>
      <c r="AF200" s="57">
        <v>0</v>
      </c>
      <c r="AG200" s="55">
        <v>0</v>
      </c>
      <c r="AH200" s="55">
        <v>0</v>
      </c>
      <c r="AI200" s="52">
        <f t="shared" si="8"/>
        <v>8.2549001262153088E-2</v>
      </c>
      <c r="AJ200" s="51"/>
      <c r="AM200" s="28">
        <v>1.9375</v>
      </c>
      <c r="AN200" s="28">
        <v>2.5</v>
      </c>
      <c r="AO200" s="28">
        <v>0.5625</v>
      </c>
      <c r="AP200" s="28">
        <v>2.625</v>
      </c>
      <c r="AQ200" s="28">
        <v>0.25409836065573771</v>
      </c>
      <c r="AR200" s="28">
        <v>0.32786885245901642</v>
      </c>
      <c r="AS200" s="28">
        <v>7.3770491803278687E-2</v>
      </c>
      <c r="AT200" s="28">
        <v>0.34426229508196721</v>
      </c>
      <c r="AU200" s="25">
        <v>1</v>
      </c>
      <c r="AV200" s="25">
        <v>3.44</v>
      </c>
      <c r="AW200" s="25">
        <v>2.44</v>
      </c>
      <c r="AX200" s="25">
        <v>2.6937500000000001</v>
      </c>
      <c r="AY200">
        <v>2.6937500000000001</v>
      </c>
      <c r="AZ200">
        <v>6.2824412981156881</v>
      </c>
      <c r="BD200">
        <v>4.1274500631076537E-2</v>
      </c>
      <c r="BH200">
        <v>8.2549001262153088E-2</v>
      </c>
      <c r="BI200">
        <v>4.1274500631076537E-2</v>
      </c>
      <c r="BJ200">
        <v>0</v>
      </c>
      <c r="BP200" s="2">
        <v>7.41</v>
      </c>
    </row>
    <row r="201" spans="1:68" x14ac:dyDescent="0.3">
      <c r="A201" s="2" t="s">
        <v>2</v>
      </c>
      <c r="B201" s="13" t="s">
        <v>687</v>
      </c>
      <c r="C201" s="13"/>
      <c r="F201" s="2">
        <v>3.3</v>
      </c>
      <c r="G201" s="2" t="s">
        <v>174</v>
      </c>
      <c r="H201" s="9" t="s">
        <v>525</v>
      </c>
      <c r="I201">
        <v>-1</v>
      </c>
      <c r="J201"/>
      <c r="L201" s="25">
        <v>2</v>
      </c>
      <c r="M201">
        <v>0</v>
      </c>
      <c r="N201">
        <v>0</v>
      </c>
      <c r="O201" s="2">
        <v>5.4763999999999999</v>
      </c>
      <c r="P201" s="2">
        <v>22.404199999999999</v>
      </c>
      <c r="Q201" s="2">
        <v>5.1576000000000004</v>
      </c>
      <c r="R201" s="2" t="s">
        <v>515</v>
      </c>
      <c r="T201" s="25">
        <v>11.92921406</v>
      </c>
      <c r="U201" s="25">
        <v>11.92921406</v>
      </c>
      <c r="V201" s="25">
        <v>11.92921406</v>
      </c>
      <c r="W201">
        <v>0</v>
      </c>
      <c r="Z201">
        <v>0</v>
      </c>
      <c r="AD201">
        <v>14</v>
      </c>
      <c r="AE201" s="55">
        <f t="shared" si="11"/>
        <v>632.80843567468798</v>
      </c>
      <c r="AF201" s="57">
        <v>349.00875366799971</v>
      </c>
      <c r="AG201" s="55">
        <v>0</v>
      </c>
      <c r="AH201" s="55">
        <v>0</v>
      </c>
      <c r="AJ201" s="51">
        <v>8.0227214090553903E-2</v>
      </c>
      <c r="AM201" s="28">
        <v>1.7272727272727271</v>
      </c>
      <c r="AN201" s="28">
        <v>2.545454545454545</v>
      </c>
      <c r="AO201" s="28">
        <v>0.81818181818181823</v>
      </c>
      <c r="AP201" s="28">
        <v>0</v>
      </c>
      <c r="AQ201" s="28">
        <v>0.3392857142857143</v>
      </c>
      <c r="AR201" s="28">
        <v>0.5</v>
      </c>
      <c r="AS201" s="28">
        <v>0.1607142857142857</v>
      </c>
      <c r="AT201" s="28">
        <v>0</v>
      </c>
      <c r="AU201" s="25">
        <v>0.82</v>
      </c>
      <c r="AV201" s="25">
        <v>3.44</v>
      </c>
      <c r="AW201" s="25">
        <v>2.62</v>
      </c>
      <c r="AX201" s="25">
        <v>2.6545454545454539</v>
      </c>
      <c r="AY201">
        <v>2.6545454545454552</v>
      </c>
      <c r="AZ201">
        <v>5.9865512095454543</v>
      </c>
      <c r="BA201" s="75">
        <v>0.50734392504100967</v>
      </c>
      <c r="BE201">
        <v>4.0113607045276937E-2</v>
      </c>
      <c r="BH201">
        <v>8.0227214090553903E-2</v>
      </c>
      <c r="BI201">
        <v>4.0113607045276937E-2</v>
      </c>
      <c r="BJ201">
        <v>0.50734392504100967</v>
      </c>
    </row>
    <row r="202" spans="1:68" x14ac:dyDescent="0.3">
      <c r="A202" s="2" t="s">
        <v>175</v>
      </c>
      <c r="B202" s="13" t="s">
        <v>792</v>
      </c>
      <c r="C202" s="13"/>
      <c r="F202" s="2">
        <v>2.98</v>
      </c>
      <c r="G202" s="2" t="s">
        <v>174</v>
      </c>
      <c r="H202" s="9" t="s">
        <v>579</v>
      </c>
      <c r="I202" t="s">
        <v>654</v>
      </c>
      <c r="J202"/>
      <c r="L202" s="25">
        <v>1</v>
      </c>
      <c r="M202">
        <v>2</v>
      </c>
      <c r="N202">
        <v>0</v>
      </c>
      <c r="O202" s="2">
        <v>7.7803000000000004</v>
      </c>
      <c r="P202" s="2">
        <v>7.7803000000000004</v>
      </c>
      <c r="Q202" s="2">
        <v>42.569200000000002</v>
      </c>
      <c r="R202" s="2" t="s">
        <v>516</v>
      </c>
      <c r="T202" s="25">
        <v>11.30538971</v>
      </c>
      <c r="U202" s="25">
        <v>11.30538971</v>
      </c>
      <c r="V202" s="25">
        <v>11.30538971</v>
      </c>
      <c r="W202">
        <v>3.8996</v>
      </c>
      <c r="X202">
        <v>3.8996</v>
      </c>
      <c r="Y202">
        <v>21.687999999999999</v>
      </c>
      <c r="Z202">
        <v>0</v>
      </c>
      <c r="AD202">
        <v>14</v>
      </c>
      <c r="AE202" s="55">
        <f t="shared" si="11"/>
        <v>2576.8442821368285</v>
      </c>
      <c r="AF202" s="57">
        <v>169.7295487154349</v>
      </c>
      <c r="AG202" s="55">
        <v>329.80681691007999</v>
      </c>
      <c r="AH202" s="55">
        <v>0</v>
      </c>
      <c r="AJ202" s="51">
        <v>8.248416440128592E-2</v>
      </c>
      <c r="AK202" s="52">
        <v>8.4898184526107132E-2</v>
      </c>
      <c r="AM202" s="28">
        <v>1.7272727272727271</v>
      </c>
      <c r="AN202" s="28">
        <v>2.545454545454545</v>
      </c>
      <c r="AO202" s="28">
        <v>1.7272727272727271</v>
      </c>
      <c r="AP202" s="28">
        <v>0</v>
      </c>
      <c r="AQ202" s="28">
        <v>0.2878787878787879</v>
      </c>
      <c r="AR202" s="28">
        <v>0.42424242424242431</v>
      </c>
      <c r="AS202" s="28">
        <v>0.2878787878787879</v>
      </c>
      <c r="AT202" s="28">
        <v>0</v>
      </c>
      <c r="AU202" s="25">
        <v>1.1000000000000001</v>
      </c>
      <c r="AV202" s="25">
        <v>3.44</v>
      </c>
      <c r="AW202" s="25">
        <v>2.34</v>
      </c>
      <c r="AX202" s="25">
        <v>2.7554545454545449</v>
      </c>
      <c r="AY202">
        <v>2.7554545454545449</v>
      </c>
      <c r="AZ202">
        <v>6.1782631499999994</v>
      </c>
      <c r="BA202" s="75">
        <v>0.46170510468104309</v>
      </c>
      <c r="BB202" s="75">
        <v>0</v>
      </c>
      <c r="BE202">
        <v>4.124208220064296E-2</v>
      </c>
      <c r="BF202">
        <v>4.2449092263053573E-2</v>
      </c>
      <c r="BH202">
        <v>8.3691174463696533E-2</v>
      </c>
      <c r="BI202">
        <v>4.1845587231848273E-2</v>
      </c>
      <c r="BJ202">
        <v>0.23085255234052149</v>
      </c>
    </row>
    <row r="203" spans="1:68" x14ac:dyDescent="0.3">
      <c r="A203" s="2" t="s">
        <v>2</v>
      </c>
      <c r="B203" s="13" t="s">
        <v>687</v>
      </c>
      <c r="C203" s="13"/>
      <c r="F203" s="2">
        <v>3.3</v>
      </c>
      <c r="G203" s="2" t="s">
        <v>176</v>
      </c>
      <c r="H203" s="9" t="s">
        <v>525</v>
      </c>
      <c r="I203">
        <v>-1</v>
      </c>
      <c r="J203"/>
      <c r="L203" s="25">
        <v>2</v>
      </c>
      <c r="M203">
        <v>0</v>
      </c>
      <c r="N203">
        <v>0</v>
      </c>
      <c r="O203" s="2">
        <v>5.5339999999999998</v>
      </c>
      <c r="P203" s="2">
        <v>22.083300000000001</v>
      </c>
      <c r="Q203" s="2">
        <v>5.5033000000000003</v>
      </c>
      <c r="R203" s="2" t="s">
        <v>515</v>
      </c>
      <c r="T203" s="25">
        <v>11.92921406</v>
      </c>
      <c r="U203" s="25">
        <v>11.92921406</v>
      </c>
      <c r="V203" s="25">
        <v>11.92921406</v>
      </c>
      <c r="W203">
        <v>0</v>
      </c>
      <c r="Z203">
        <v>0</v>
      </c>
      <c r="AD203">
        <v>14</v>
      </c>
      <c r="AE203" s="55">
        <f t="shared" si="11"/>
        <v>672.55269174126011</v>
      </c>
      <c r="AF203" s="57">
        <v>349.00875366799971</v>
      </c>
      <c r="AG203" s="55">
        <v>0</v>
      </c>
      <c r="AH203" s="55">
        <v>0</v>
      </c>
      <c r="AJ203" s="51">
        <v>8.0227214090553903E-2</v>
      </c>
      <c r="AM203" s="28">
        <v>1.7272727272727271</v>
      </c>
      <c r="AN203" s="28">
        <v>2.545454545454545</v>
      </c>
      <c r="AO203" s="28">
        <v>0.81818181818181823</v>
      </c>
      <c r="AP203" s="28">
        <v>0</v>
      </c>
      <c r="AQ203" s="28">
        <v>0.3392857142857143</v>
      </c>
      <c r="AR203" s="28">
        <v>0.5</v>
      </c>
      <c r="AS203" s="28">
        <v>0.1607142857142857</v>
      </c>
      <c r="AT203" s="28">
        <v>0</v>
      </c>
      <c r="AU203" s="25">
        <v>0.82</v>
      </c>
      <c r="AV203" s="25">
        <v>3.44</v>
      </c>
      <c r="AW203" s="25">
        <v>2.62</v>
      </c>
      <c r="AX203" s="25">
        <v>2.6545454545454539</v>
      </c>
      <c r="AY203">
        <v>2.6545454545454552</v>
      </c>
      <c r="AZ203">
        <v>5.9865512095454543</v>
      </c>
      <c r="BA203" s="75">
        <v>0.50734392504100967</v>
      </c>
      <c r="BE203">
        <v>4.0113607045276937E-2</v>
      </c>
      <c r="BH203">
        <v>8.0227214090553903E-2</v>
      </c>
      <c r="BI203">
        <v>4.0113607045276937E-2</v>
      </c>
      <c r="BJ203">
        <v>0.50734392504100967</v>
      </c>
      <c r="BP203" s="2">
        <v>1.5</v>
      </c>
    </row>
    <row r="204" spans="1:68" x14ac:dyDescent="0.3">
      <c r="A204" s="2" t="s">
        <v>175</v>
      </c>
      <c r="B204" s="13" t="s">
        <v>792</v>
      </c>
      <c r="C204" s="13"/>
      <c r="F204" s="2">
        <v>2.85</v>
      </c>
      <c r="G204" s="2" t="s">
        <v>176</v>
      </c>
      <c r="H204" s="9" t="s">
        <v>579</v>
      </c>
      <c r="I204" t="s">
        <v>654</v>
      </c>
      <c r="J204"/>
      <c r="L204" s="25">
        <v>1</v>
      </c>
      <c r="M204">
        <v>2</v>
      </c>
      <c r="N204">
        <v>0</v>
      </c>
      <c r="O204" s="2">
        <v>3.9045000000000001</v>
      </c>
      <c r="P204" s="2">
        <v>3.9045000000000001</v>
      </c>
      <c r="Q204" s="2">
        <v>21.652100000000001</v>
      </c>
      <c r="R204" s="2" t="s">
        <v>516</v>
      </c>
      <c r="T204" s="25">
        <v>11.30538971</v>
      </c>
      <c r="U204" s="25">
        <v>11.30538971</v>
      </c>
      <c r="V204" s="25">
        <v>11.30538971</v>
      </c>
      <c r="W204">
        <v>3.8996</v>
      </c>
      <c r="X204">
        <v>3.8996</v>
      </c>
      <c r="Y204">
        <v>21.687999999999999</v>
      </c>
      <c r="Z204">
        <v>0</v>
      </c>
      <c r="AD204">
        <v>14</v>
      </c>
      <c r="AE204" s="55">
        <f t="shared" si="11"/>
        <v>330.08886816502502</v>
      </c>
      <c r="AF204" s="57">
        <v>169.7295487154349</v>
      </c>
      <c r="AG204" s="55">
        <v>329.80681691007999</v>
      </c>
      <c r="AH204" s="55">
        <v>0</v>
      </c>
      <c r="AJ204" s="51">
        <v>8.248416440128592E-2</v>
      </c>
      <c r="AK204" s="52">
        <v>8.4898184526107132E-2</v>
      </c>
      <c r="AM204" s="28">
        <v>1.7272727272727271</v>
      </c>
      <c r="AN204" s="28">
        <v>2.545454545454545</v>
      </c>
      <c r="AO204" s="28">
        <v>1.7272727272727271</v>
      </c>
      <c r="AP204" s="28">
        <v>0</v>
      </c>
      <c r="AQ204" s="28">
        <v>0.2878787878787879</v>
      </c>
      <c r="AR204" s="28">
        <v>0.42424242424242431</v>
      </c>
      <c r="AS204" s="28">
        <v>0.2878787878787879</v>
      </c>
      <c r="AT204" s="28">
        <v>0</v>
      </c>
      <c r="AU204" s="25">
        <v>1.1000000000000001</v>
      </c>
      <c r="AV204" s="25">
        <v>3.44</v>
      </c>
      <c r="AW204" s="25">
        <v>2.34</v>
      </c>
      <c r="AX204" s="25">
        <v>2.7554545454545449</v>
      </c>
      <c r="AY204">
        <v>2.7554545454545449</v>
      </c>
      <c r="AZ204">
        <v>6.1782631499999994</v>
      </c>
      <c r="BA204" s="75">
        <v>0.46170510468104309</v>
      </c>
      <c r="BB204" s="75">
        <v>0</v>
      </c>
      <c r="BE204">
        <v>4.124208220064296E-2</v>
      </c>
      <c r="BF204">
        <v>4.2449092263053573E-2</v>
      </c>
      <c r="BH204">
        <v>8.3691174463696533E-2</v>
      </c>
      <c r="BI204">
        <v>4.1845587231848273E-2</v>
      </c>
      <c r="BJ204">
        <v>0.23085255234052149</v>
      </c>
      <c r="BP204" s="2">
        <v>4.2</v>
      </c>
    </row>
    <row r="205" spans="1:68" x14ac:dyDescent="0.3">
      <c r="A205" s="2" t="s">
        <v>5</v>
      </c>
      <c r="B205" s="13" t="s">
        <v>690</v>
      </c>
      <c r="C205" s="13"/>
      <c r="F205" s="2">
        <v>3.5</v>
      </c>
      <c r="G205" s="2" t="s">
        <v>176</v>
      </c>
      <c r="H205" s="9" t="s">
        <v>528</v>
      </c>
      <c r="I205" t="s">
        <v>610</v>
      </c>
      <c r="J205"/>
      <c r="L205" s="25">
        <v>1</v>
      </c>
      <c r="M205">
        <v>1</v>
      </c>
      <c r="N205">
        <v>0</v>
      </c>
      <c r="O205" s="2">
        <v>3.8650000000000002</v>
      </c>
      <c r="P205" s="2">
        <v>3.8650000000000002</v>
      </c>
      <c r="Q205" s="2">
        <v>14.974299999999999</v>
      </c>
      <c r="R205" s="2" t="s">
        <v>439</v>
      </c>
      <c r="T205" s="25">
        <v>3.9661010000000001</v>
      </c>
      <c r="U205" s="25">
        <v>3.9661010000000001</v>
      </c>
      <c r="V205" s="25">
        <v>15.283337</v>
      </c>
      <c r="W205">
        <v>3.8586499999999999</v>
      </c>
      <c r="X205">
        <v>3.8586499999999999</v>
      </c>
      <c r="Y205">
        <v>14.9108</v>
      </c>
      <c r="Z205">
        <v>0</v>
      </c>
      <c r="AD205">
        <v>20</v>
      </c>
      <c r="AE205" s="55">
        <f t="shared" si="11"/>
        <v>223.6894626175</v>
      </c>
      <c r="AF205" s="57">
        <v>240.40623599981481</v>
      </c>
      <c r="AG205" s="55">
        <v>222.00958249733301</v>
      </c>
      <c r="AH205" s="55">
        <v>0</v>
      </c>
      <c r="AJ205" s="51">
        <v>8.3192517518619641E-2</v>
      </c>
      <c r="AK205" s="52">
        <v>9.0086201573034624E-2</v>
      </c>
      <c r="AM205" s="28">
        <v>1.75</v>
      </c>
      <c r="AN205" s="28">
        <v>2.5</v>
      </c>
      <c r="AO205" s="28">
        <v>0.75</v>
      </c>
      <c r="AP205" s="28">
        <v>0</v>
      </c>
      <c r="AQ205" s="28">
        <v>0.35</v>
      </c>
      <c r="AR205" s="28">
        <v>0.5</v>
      </c>
      <c r="AS205" s="28">
        <v>0.15</v>
      </c>
      <c r="AT205" s="28">
        <v>0</v>
      </c>
      <c r="AU205" s="25">
        <v>0.82</v>
      </c>
      <c r="AV205" s="25">
        <v>3.44</v>
      </c>
      <c r="AW205" s="25">
        <v>2.62</v>
      </c>
      <c r="AX205" s="25">
        <v>2.6262500000000002</v>
      </c>
      <c r="AY205">
        <v>2.6262500000000002</v>
      </c>
      <c r="AZ205">
        <v>5.9612134765624996</v>
      </c>
      <c r="BA205" s="75">
        <v>0.50467688585120674</v>
      </c>
      <c r="BB205" s="75">
        <v>0.54649654829675798</v>
      </c>
      <c r="BE205">
        <v>4.159625875930982E-2</v>
      </c>
      <c r="BF205">
        <v>4.5043100786517312E-2</v>
      </c>
      <c r="BH205">
        <v>8.6639359545827133E-2</v>
      </c>
      <c r="BI205">
        <v>4.3319679772913573E-2</v>
      </c>
      <c r="BJ205">
        <v>0.5255867170739823</v>
      </c>
      <c r="BP205" s="2">
        <v>1.9</v>
      </c>
    </row>
    <row r="206" spans="1:68" s="5" customFormat="1" x14ac:dyDescent="0.3">
      <c r="A206" s="5" t="s">
        <v>177</v>
      </c>
      <c r="B206" s="39" t="s">
        <v>793</v>
      </c>
      <c r="C206" s="39"/>
      <c r="F206" s="5">
        <v>2.65</v>
      </c>
      <c r="G206" s="5" t="s">
        <v>176</v>
      </c>
      <c r="H206" s="40">
        <v>-2</v>
      </c>
      <c r="I206" s="5">
        <v>-1</v>
      </c>
      <c r="L206" s="41">
        <v>0</v>
      </c>
      <c r="M206">
        <v>0</v>
      </c>
      <c r="N206">
        <v>0</v>
      </c>
      <c r="T206" s="41">
        <v>0</v>
      </c>
      <c r="U206" s="41"/>
      <c r="V206" s="41"/>
      <c r="W206">
        <v>0</v>
      </c>
      <c r="X206"/>
      <c r="Y206"/>
      <c r="Z206">
        <v>0</v>
      </c>
      <c r="AA206"/>
      <c r="AB206"/>
      <c r="AD206" s="5">
        <v>20</v>
      </c>
      <c r="AE206" s="55">
        <f t="shared" si="11"/>
        <v>0</v>
      </c>
      <c r="AF206" s="57">
        <v>0</v>
      </c>
      <c r="AG206" s="55">
        <v>0</v>
      </c>
      <c r="AH206" s="55">
        <v>0</v>
      </c>
      <c r="AI206" s="52"/>
      <c r="AJ206" s="51"/>
      <c r="AK206" s="52"/>
      <c r="AL206" s="52"/>
      <c r="AM206" s="5">
        <v>1.75</v>
      </c>
      <c r="AN206" s="5">
        <v>2.5</v>
      </c>
      <c r="AO206" s="5">
        <v>1.375</v>
      </c>
      <c r="AP206" s="5">
        <v>0</v>
      </c>
      <c r="AQ206" s="5">
        <v>0.31111111111111112</v>
      </c>
      <c r="AR206" s="5">
        <v>0.44444444444444442</v>
      </c>
      <c r="AS206" s="5">
        <v>0.24444444444444441</v>
      </c>
      <c r="AT206" s="5">
        <v>0</v>
      </c>
      <c r="AU206" s="41">
        <v>1</v>
      </c>
      <c r="AV206" s="41">
        <v>3.44</v>
      </c>
      <c r="AW206" s="41">
        <v>2.44</v>
      </c>
      <c r="AX206" s="41">
        <v>2.6956250000000002</v>
      </c>
      <c r="AY206" s="5">
        <v>2.6956250000000002</v>
      </c>
      <c r="AZ206" s="5">
        <v>6.0930154356250004</v>
      </c>
      <c r="BA206" s="75"/>
      <c r="BB206" s="75"/>
      <c r="BC206" s="75"/>
      <c r="BD206"/>
      <c r="BE206"/>
      <c r="BF206"/>
      <c r="BG206"/>
      <c r="BH206">
        <v>0</v>
      </c>
      <c r="BI206">
        <v>0</v>
      </c>
      <c r="BJ206">
        <v>0</v>
      </c>
      <c r="BP206" s="5">
        <v>2.1</v>
      </c>
    </row>
    <row r="207" spans="1:68" x14ac:dyDescent="0.3">
      <c r="A207" s="2" t="s">
        <v>178</v>
      </c>
      <c r="B207" s="13" t="s">
        <v>794</v>
      </c>
      <c r="C207" s="13"/>
      <c r="F207" s="2">
        <v>3.1</v>
      </c>
      <c r="G207" s="2" t="s">
        <v>176</v>
      </c>
      <c r="H207" s="9" t="s">
        <v>580</v>
      </c>
      <c r="I207" t="s">
        <v>655</v>
      </c>
      <c r="J207"/>
      <c r="L207" s="25">
        <v>1</v>
      </c>
      <c r="M207">
        <v>1</v>
      </c>
      <c r="N207">
        <v>0</v>
      </c>
      <c r="O207" s="2">
        <v>3.9007999999999998</v>
      </c>
      <c r="P207" s="2">
        <v>3.9007999999999998</v>
      </c>
      <c r="Q207" s="2">
        <v>15.317</v>
      </c>
      <c r="R207" s="2" t="s">
        <v>439</v>
      </c>
      <c r="T207" s="25">
        <v>3.9860820000000001</v>
      </c>
      <c r="U207" s="25">
        <v>3.9860820000000001</v>
      </c>
      <c r="V207" s="25">
        <v>15.440419</v>
      </c>
      <c r="W207">
        <v>3.8944000000000001</v>
      </c>
      <c r="X207">
        <v>3.8944000000000001</v>
      </c>
      <c r="Y207">
        <v>15.271000000000001</v>
      </c>
      <c r="Z207">
        <v>0</v>
      </c>
      <c r="AD207">
        <v>20</v>
      </c>
      <c r="AE207" s="55">
        <f t="shared" si="11"/>
        <v>233.06715788288</v>
      </c>
      <c r="AF207" s="57">
        <v>245.33049696160739</v>
      </c>
      <c r="AG207" s="55">
        <v>231.60535161856001</v>
      </c>
      <c r="AH207" s="55">
        <v>0</v>
      </c>
      <c r="AJ207" s="51">
        <v>8.1522681638434333E-2</v>
      </c>
      <c r="AK207" s="52">
        <v>8.6353790446685313E-2</v>
      </c>
      <c r="AM207" s="28">
        <v>1.75</v>
      </c>
      <c r="AN207" s="28">
        <v>2.5</v>
      </c>
      <c r="AO207" s="28">
        <v>0.75</v>
      </c>
      <c r="AP207" s="28">
        <v>0</v>
      </c>
      <c r="AQ207" s="28">
        <v>0.35</v>
      </c>
      <c r="AR207" s="28">
        <v>0.5</v>
      </c>
      <c r="AS207" s="28">
        <v>0.15</v>
      </c>
      <c r="AT207" s="28">
        <v>0</v>
      </c>
      <c r="AU207" s="25">
        <v>0.82</v>
      </c>
      <c r="AV207" s="25">
        <v>3.44</v>
      </c>
      <c r="AW207" s="25">
        <v>2.62</v>
      </c>
      <c r="AX207" s="25">
        <v>2.62</v>
      </c>
      <c r="AY207">
        <v>2.62</v>
      </c>
      <c r="AZ207">
        <v>5.9367901628125006</v>
      </c>
      <c r="BA207" s="75">
        <v>0.52249469585014929</v>
      </c>
      <c r="BB207" s="75">
        <v>0.55345821025686881</v>
      </c>
      <c r="BE207">
        <v>4.0761340819217173E-2</v>
      </c>
      <c r="BF207">
        <v>4.3176895223342657E-2</v>
      </c>
      <c r="BH207">
        <v>8.3938236042559816E-2</v>
      </c>
      <c r="BI207">
        <v>4.1969118021279922E-2</v>
      </c>
      <c r="BJ207">
        <v>0.53797645305350905</v>
      </c>
      <c r="BP207" s="2">
        <v>2.7</v>
      </c>
    </row>
    <row r="208" spans="1:68" x14ac:dyDescent="0.3">
      <c r="A208" s="5" t="s">
        <v>179</v>
      </c>
      <c r="B208" s="39" t="s">
        <v>795</v>
      </c>
      <c r="C208" s="39"/>
      <c r="D208" s="5"/>
      <c r="E208" s="5"/>
      <c r="F208" s="5">
        <v>2.66</v>
      </c>
      <c r="G208" s="5" t="s">
        <v>176</v>
      </c>
      <c r="H208" s="40">
        <v>-2</v>
      </c>
      <c r="I208" s="5">
        <v>-1</v>
      </c>
      <c r="J208" s="5"/>
      <c r="K208" s="5"/>
      <c r="L208" s="41">
        <v>0</v>
      </c>
      <c r="M208">
        <v>0</v>
      </c>
      <c r="N208">
        <v>0</v>
      </c>
      <c r="O208" s="5"/>
      <c r="P208" s="5"/>
      <c r="Q208" s="5"/>
      <c r="R208" s="5"/>
      <c r="S208" s="5"/>
      <c r="T208" s="41">
        <v>0</v>
      </c>
      <c r="U208" s="41"/>
      <c r="V208" s="41"/>
      <c r="W208">
        <v>0</v>
      </c>
      <c r="Z208">
        <v>0</v>
      </c>
      <c r="AC208" s="5"/>
      <c r="AD208" s="5">
        <v>20</v>
      </c>
      <c r="AE208" s="55">
        <f t="shared" si="11"/>
        <v>0</v>
      </c>
      <c r="AF208" s="57">
        <v>0</v>
      </c>
      <c r="AG208" s="55">
        <v>0</v>
      </c>
      <c r="AH208" s="55">
        <v>0</v>
      </c>
      <c r="AJ208" s="51"/>
      <c r="AM208" s="5">
        <v>1.75</v>
      </c>
      <c r="AN208" s="5">
        <v>2.5</v>
      </c>
      <c r="AO208" s="5">
        <v>1.375</v>
      </c>
      <c r="AP208" s="5">
        <v>0</v>
      </c>
      <c r="AQ208" s="5">
        <v>0.31111111111111112</v>
      </c>
      <c r="AR208" s="5">
        <v>0.44444444444444442</v>
      </c>
      <c r="AS208" s="5">
        <v>0.24444444444444441</v>
      </c>
      <c r="AT208" s="5">
        <v>0</v>
      </c>
      <c r="AU208" s="41">
        <v>0.95</v>
      </c>
      <c r="AV208" s="41">
        <v>3.44</v>
      </c>
      <c r="AW208" s="41">
        <v>2.4900000000000002</v>
      </c>
      <c r="AX208" s="41">
        <v>2.6893750000000001</v>
      </c>
      <c r="AY208" s="5">
        <v>2.6893750000000001</v>
      </c>
      <c r="AZ208" s="5">
        <v>6.0685921218750014</v>
      </c>
      <c r="BH208">
        <v>0</v>
      </c>
      <c r="BI208">
        <v>0</v>
      </c>
      <c r="BJ208">
        <v>0</v>
      </c>
      <c r="BP208" s="5">
        <v>3</v>
      </c>
    </row>
    <row r="209" spans="1:68" x14ac:dyDescent="0.3">
      <c r="A209" s="2" t="s">
        <v>180</v>
      </c>
      <c r="B209" s="13" t="s">
        <v>796</v>
      </c>
      <c r="C209" s="13"/>
      <c r="F209" s="2">
        <v>3.6</v>
      </c>
      <c r="G209" s="2" t="s">
        <v>176</v>
      </c>
      <c r="H209" s="9">
        <v>-1</v>
      </c>
      <c r="I209">
        <v>-1</v>
      </c>
      <c r="J209"/>
      <c r="K209" s="2">
        <v>2</v>
      </c>
      <c r="L209" s="25">
        <v>0</v>
      </c>
      <c r="M209">
        <v>0</v>
      </c>
      <c r="N209">
        <v>0</v>
      </c>
      <c r="O209" s="2">
        <v>3.9287999999999998</v>
      </c>
      <c r="P209" s="2">
        <v>3.9287999999999998</v>
      </c>
      <c r="Q209" s="2">
        <v>30.2698</v>
      </c>
      <c r="R209" s="2" t="s">
        <v>439</v>
      </c>
      <c r="T209" s="25">
        <v>0</v>
      </c>
      <c r="U209" s="25"/>
      <c r="V209" s="25"/>
      <c r="W209">
        <v>0</v>
      </c>
      <c r="Z209">
        <v>0</v>
      </c>
      <c r="AD209">
        <v>20</v>
      </c>
      <c r="AE209" s="55">
        <f t="shared" si="11"/>
        <v>467.22857285491193</v>
      </c>
      <c r="AF209" s="57">
        <v>0</v>
      </c>
      <c r="AG209" s="55">
        <v>0</v>
      </c>
      <c r="AH209" s="55">
        <v>0</v>
      </c>
      <c r="AI209" s="52">
        <f t="shared" ref="AI209:AI212" si="12">K209*AD209/AE209</f>
        <v>8.5611202576048706E-2</v>
      </c>
      <c r="AJ209" s="51"/>
      <c r="AM209" s="28">
        <v>1.882352941176471</v>
      </c>
      <c r="AN209" s="28">
        <v>2.3529411764705879</v>
      </c>
      <c r="AO209" s="28">
        <v>0.47058823529411759</v>
      </c>
      <c r="AP209" s="28">
        <v>0</v>
      </c>
      <c r="AQ209" s="28">
        <v>0.4</v>
      </c>
      <c r="AR209" s="28">
        <v>0.5</v>
      </c>
      <c r="AS209" s="28">
        <v>9.9999999999999992E-2</v>
      </c>
      <c r="AT209" s="28">
        <v>0</v>
      </c>
      <c r="AU209" s="25">
        <v>0.82</v>
      </c>
      <c r="AV209" s="25">
        <v>3.44</v>
      </c>
      <c r="AW209" s="25">
        <v>2.62</v>
      </c>
      <c r="AX209" s="25">
        <v>2.5211764705882351</v>
      </c>
      <c r="AY209">
        <v>2.521176470588236</v>
      </c>
      <c r="AZ209">
        <v>5.6793405594117647</v>
      </c>
      <c r="BD209">
        <v>4.2805601288024353E-2</v>
      </c>
      <c r="BH209">
        <v>8.5611202576048706E-2</v>
      </c>
      <c r="BI209">
        <v>4.2805601288024353E-2</v>
      </c>
      <c r="BJ209">
        <v>0</v>
      </c>
      <c r="BP209" s="2">
        <v>2.2999999999999998</v>
      </c>
    </row>
    <row r="210" spans="1:68" x14ac:dyDescent="0.3">
      <c r="A210" s="2" t="s">
        <v>181</v>
      </c>
      <c r="B210" s="13" t="s">
        <v>797</v>
      </c>
      <c r="C210" s="13"/>
      <c r="F210" s="2">
        <v>2.4</v>
      </c>
      <c r="G210" s="2" t="s">
        <v>176</v>
      </c>
      <c r="H210" s="9" t="s">
        <v>581</v>
      </c>
      <c r="I210" t="s">
        <v>656</v>
      </c>
      <c r="J210"/>
      <c r="K210" s="2">
        <v>2</v>
      </c>
      <c r="L210" s="25">
        <v>1</v>
      </c>
      <c r="M210">
        <v>2</v>
      </c>
      <c r="N210">
        <v>0</v>
      </c>
      <c r="O210" s="2">
        <v>3.8313999999999999</v>
      </c>
      <c r="P210" s="2">
        <v>3.8313999999999999</v>
      </c>
      <c r="Q210" s="2">
        <v>28.871400000000001</v>
      </c>
      <c r="R210" s="2" t="s">
        <v>440</v>
      </c>
      <c r="T210" s="25">
        <v>14.88329339</v>
      </c>
      <c r="U210" s="25">
        <v>14.88329339</v>
      </c>
      <c r="V210" s="25">
        <v>14.88329339</v>
      </c>
      <c r="W210">
        <v>3.8250999999999999</v>
      </c>
      <c r="X210">
        <v>3.8250999999999999</v>
      </c>
      <c r="Y210">
        <v>28.884</v>
      </c>
      <c r="Z210">
        <v>0</v>
      </c>
      <c r="AD210">
        <v>20</v>
      </c>
      <c r="AE210" s="55">
        <f t="shared" si="11"/>
        <v>423.82135294154398</v>
      </c>
      <c r="AF210" s="57">
        <v>218.43262216091571</v>
      </c>
      <c r="AG210" s="55">
        <v>422.61306904883998</v>
      </c>
      <c r="AH210" s="55">
        <v>0</v>
      </c>
      <c r="AI210" s="52">
        <f t="shared" si="12"/>
        <v>9.4379388207741013E-2</v>
      </c>
      <c r="AJ210" s="51">
        <v>9.1561415150097566E-2</v>
      </c>
      <c r="AK210" s="52">
        <v>9.4649226276950119E-2</v>
      </c>
      <c r="AM210" s="28">
        <v>1.882352941176471</v>
      </c>
      <c r="AN210" s="28">
        <v>2.3529411764705879</v>
      </c>
      <c r="AO210" s="28">
        <v>1.6470588235294119</v>
      </c>
      <c r="AP210" s="28">
        <v>0</v>
      </c>
      <c r="AQ210" s="28">
        <v>0.32</v>
      </c>
      <c r="AR210" s="28">
        <v>0.4</v>
      </c>
      <c r="AS210" s="28">
        <v>0.28000000000000003</v>
      </c>
      <c r="AT210" s="28">
        <v>0</v>
      </c>
      <c r="AU210" s="25">
        <v>1.1000000000000001</v>
      </c>
      <c r="AV210" s="25">
        <v>3.44</v>
      </c>
      <c r="AW210" s="25">
        <v>2.34</v>
      </c>
      <c r="AX210" s="25">
        <v>2.651764705882353</v>
      </c>
      <c r="AY210">
        <v>2.651764705882353</v>
      </c>
      <c r="AZ210">
        <v>5.9274383647058819</v>
      </c>
      <c r="BA210" s="75">
        <v>0.55146660057091235</v>
      </c>
      <c r="BB210" s="75">
        <v>0.57006422384419775</v>
      </c>
      <c r="BD210">
        <v>4.7189694103870507E-2</v>
      </c>
      <c r="BE210">
        <v>4.5780707575048769E-2</v>
      </c>
      <c r="BF210">
        <v>4.7324613138475059E-2</v>
      </c>
      <c r="BH210">
        <v>9.353000987826289E-2</v>
      </c>
      <c r="BI210">
        <v>4.6765004939131452E-2</v>
      </c>
      <c r="BJ210">
        <v>0.56076541220755505</v>
      </c>
      <c r="BP210" s="2">
        <v>3.1</v>
      </c>
    </row>
    <row r="211" spans="1:68" x14ac:dyDescent="0.3">
      <c r="A211" s="2" t="s">
        <v>175</v>
      </c>
      <c r="B211" s="17" t="s">
        <v>792</v>
      </c>
      <c r="C211" s="13"/>
      <c r="D211" s="2" t="s">
        <v>863</v>
      </c>
      <c r="E211" s="2">
        <v>1</v>
      </c>
      <c r="F211" s="2">
        <v>3.15</v>
      </c>
      <c r="G211" s="2" t="s">
        <v>176</v>
      </c>
      <c r="H211" s="9" t="s">
        <v>579</v>
      </c>
      <c r="I211" t="s">
        <v>654</v>
      </c>
      <c r="J211"/>
      <c r="L211" s="25">
        <v>1</v>
      </c>
      <c r="M211">
        <v>2</v>
      </c>
      <c r="N211">
        <v>0</v>
      </c>
      <c r="O211" s="2">
        <v>7.7803000000000004</v>
      </c>
      <c r="P211" s="2">
        <v>7.7803000000000004</v>
      </c>
      <c r="Q211" s="2">
        <v>42.569200000000002</v>
      </c>
      <c r="R211" s="2" t="s">
        <v>516</v>
      </c>
      <c r="T211" s="25">
        <v>11.30538971</v>
      </c>
      <c r="U211" s="25">
        <v>11.30538971</v>
      </c>
      <c r="V211" s="25">
        <v>11.30538971</v>
      </c>
      <c r="W211">
        <v>3.8996</v>
      </c>
      <c r="X211">
        <v>3.8996</v>
      </c>
      <c r="Y211">
        <v>21.687999999999999</v>
      </c>
      <c r="Z211">
        <v>0</v>
      </c>
      <c r="AD211">
        <v>14</v>
      </c>
      <c r="AE211" s="55">
        <f t="shared" si="11"/>
        <v>2576.8442821368285</v>
      </c>
      <c r="AF211" s="57">
        <v>169.7295487154349</v>
      </c>
      <c r="AG211" s="55">
        <v>329.80681691007999</v>
      </c>
      <c r="AH211" s="55">
        <v>0</v>
      </c>
      <c r="AJ211" s="51">
        <v>8.248416440128592E-2</v>
      </c>
      <c r="AK211" s="52">
        <v>8.4898184526107132E-2</v>
      </c>
      <c r="AM211" s="28">
        <v>1.7272727272727271</v>
      </c>
      <c r="AN211" s="28">
        <v>2.545454545454545</v>
      </c>
      <c r="AO211" s="28">
        <v>1.7272727272727271</v>
      </c>
      <c r="AP211" s="28">
        <v>0</v>
      </c>
      <c r="AQ211" s="28">
        <v>0.2878787878787879</v>
      </c>
      <c r="AR211" s="28">
        <v>0.42424242424242431</v>
      </c>
      <c r="AS211" s="28">
        <v>0.2878787878787879</v>
      </c>
      <c r="AT211" s="28">
        <v>0</v>
      </c>
      <c r="AU211" s="25">
        <v>1.1000000000000001</v>
      </c>
      <c r="AV211" s="25">
        <v>3.44</v>
      </c>
      <c r="AW211" s="25">
        <v>2.34</v>
      </c>
      <c r="AX211" s="25">
        <v>2.7554545454545449</v>
      </c>
      <c r="AY211">
        <v>2.7554545454545449</v>
      </c>
      <c r="AZ211">
        <v>6.1782631499999994</v>
      </c>
      <c r="BA211" s="75">
        <v>0.46170510468104309</v>
      </c>
      <c r="BB211" s="75">
        <v>0</v>
      </c>
      <c r="BE211">
        <v>4.124208220064296E-2</v>
      </c>
      <c r="BF211">
        <v>4.2449092263053573E-2</v>
      </c>
      <c r="BH211">
        <v>8.3691174463696533E-2</v>
      </c>
      <c r="BI211">
        <v>4.1845587231848273E-2</v>
      </c>
      <c r="BJ211">
        <v>0.23085255234052149</v>
      </c>
    </row>
    <row r="212" spans="1:68" x14ac:dyDescent="0.3">
      <c r="A212" s="2" t="s">
        <v>177</v>
      </c>
      <c r="B212" s="17" t="s">
        <v>793</v>
      </c>
      <c r="C212" s="13"/>
      <c r="D212" s="2" t="s">
        <v>863</v>
      </c>
      <c r="E212" s="2">
        <v>1</v>
      </c>
      <c r="F212" s="2">
        <v>3.14</v>
      </c>
      <c r="G212" s="2" t="s">
        <v>176</v>
      </c>
      <c r="H212" s="9">
        <v>-1</v>
      </c>
      <c r="I212">
        <v>-1</v>
      </c>
      <c r="J212"/>
      <c r="K212" s="2">
        <v>1</v>
      </c>
      <c r="L212" s="25">
        <v>0</v>
      </c>
      <c r="M212">
        <v>0</v>
      </c>
      <c r="N212">
        <v>0</v>
      </c>
      <c r="O212" s="2">
        <v>3.84</v>
      </c>
      <c r="P212" s="2">
        <v>3.84</v>
      </c>
      <c r="Q212" s="2">
        <v>15.007</v>
      </c>
      <c r="T212" s="25">
        <v>0</v>
      </c>
      <c r="U212" s="25"/>
      <c r="V212" s="25"/>
      <c r="W212">
        <v>0</v>
      </c>
      <c r="Z212">
        <v>0</v>
      </c>
      <c r="AD212">
        <v>20</v>
      </c>
      <c r="AE212" s="55">
        <f t="shared" si="11"/>
        <v>221.28721919999998</v>
      </c>
      <c r="AF212" s="57">
        <v>0</v>
      </c>
      <c r="AG212" s="55">
        <v>0</v>
      </c>
      <c r="AH212" s="55">
        <v>0</v>
      </c>
      <c r="AI212" s="52">
        <f t="shared" si="12"/>
        <v>9.0380276241457697E-2</v>
      </c>
      <c r="AJ212" s="51"/>
      <c r="AM212" s="28">
        <v>1.75</v>
      </c>
      <c r="AN212" s="28">
        <v>2.5</v>
      </c>
      <c r="AO212" s="28">
        <v>1.375</v>
      </c>
      <c r="AP212" s="28">
        <v>0</v>
      </c>
      <c r="AQ212" s="28">
        <v>0.31111111111111112</v>
      </c>
      <c r="AR212" s="28">
        <v>0.44444444444444442</v>
      </c>
      <c r="AS212" s="28">
        <v>0.24444444444444441</v>
      </c>
      <c r="AT212" s="28">
        <v>0</v>
      </c>
      <c r="AU212" s="25">
        <v>1</v>
      </c>
      <c r="AV212" s="25">
        <v>3.44</v>
      </c>
      <c r="AW212" s="25">
        <v>2.44</v>
      </c>
      <c r="AX212" s="25">
        <v>2.6956250000000002</v>
      </c>
      <c r="AY212">
        <v>2.6956250000000002</v>
      </c>
      <c r="AZ212">
        <v>6.0930154356250004</v>
      </c>
      <c r="BD212">
        <v>4.5190138120728848E-2</v>
      </c>
      <c r="BH212">
        <v>9.0380276241457697E-2</v>
      </c>
      <c r="BI212">
        <v>4.5190138120728848E-2</v>
      </c>
      <c r="BJ212">
        <v>0</v>
      </c>
    </row>
    <row r="213" spans="1:68" s="5" customFormat="1" x14ac:dyDescent="0.3">
      <c r="A213" s="5" t="s">
        <v>179</v>
      </c>
      <c r="B213" s="46" t="s">
        <v>795</v>
      </c>
      <c r="C213" s="39"/>
      <c r="D213" s="5" t="s">
        <v>863</v>
      </c>
      <c r="E213" s="5">
        <v>1</v>
      </c>
      <c r="F213" s="5">
        <v>3.22</v>
      </c>
      <c r="G213" s="5" t="s">
        <v>176</v>
      </c>
      <c r="H213" s="40">
        <v>-2</v>
      </c>
      <c r="I213" s="5">
        <v>-1</v>
      </c>
      <c r="L213" s="41">
        <v>0</v>
      </c>
      <c r="M213">
        <v>0</v>
      </c>
      <c r="N213">
        <v>0</v>
      </c>
      <c r="T213" s="41">
        <v>0</v>
      </c>
      <c r="U213" s="41"/>
      <c r="V213" s="41"/>
      <c r="W213">
        <v>0</v>
      </c>
      <c r="X213"/>
      <c r="Y213"/>
      <c r="Z213">
        <v>0</v>
      </c>
      <c r="AA213"/>
      <c r="AB213"/>
      <c r="AD213" s="5">
        <v>20</v>
      </c>
      <c r="AE213" s="55">
        <f t="shared" si="11"/>
        <v>0</v>
      </c>
      <c r="AF213" s="57">
        <v>0</v>
      </c>
      <c r="AG213" s="55">
        <v>0</v>
      </c>
      <c r="AH213" s="55">
        <v>0</v>
      </c>
      <c r="AI213" s="52"/>
      <c r="AJ213" s="51"/>
      <c r="AK213" s="52"/>
      <c r="AL213" s="52"/>
      <c r="AM213" s="5">
        <v>1.75</v>
      </c>
      <c r="AN213" s="5">
        <v>2.5</v>
      </c>
      <c r="AO213" s="5">
        <v>1.375</v>
      </c>
      <c r="AP213" s="5">
        <v>0</v>
      </c>
      <c r="AQ213" s="5">
        <v>0.31111111111111112</v>
      </c>
      <c r="AR213" s="5">
        <v>0.44444444444444442</v>
      </c>
      <c r="AS213" s="5">
        <v>0.24444444444444441</v>
      </c>
      <c r="AT213" s="5">
        <v>0</v>
      </c>
      <c r="AU213" s="41">
        <v>0.95</v>
      </c>
      <c r="AV213" s="41">
        <v>3.44</v>
      </c>
      <c r="AW213" s="41">
        <v>2.4900000000000002</v>
      </c>
      <c r="AX213" s="41">
        <v>2.6893750000000001</v>
      </c>
      <c r="AY213" s="5">
        <v>2.6893750000000001</v>
      </c>
      <c r="AZ213" s="5">
        <v>6.0685921218750014</v>
      </c>
      <c r="BA213" s="75"/>
      <c r="BB213" s="75"/>
      <c r="BC213" s="75"/>
      <c r="BD213"/>
      <c r="BE213"/>
      <c r="BF213"/>
      <c r="BG213"/>
      <c r="BH213">
        <v>0</v>
      </c>
      <c r="BI213">
        <v>0</v>
      </c>
      <c r="BJ213">
        <v>0</v>
      </c>
    </row>
    <row r="214" spans="1:68" x14ac:dyDescent="0.3">
      <c r="A214" s="2" t="s">
        <v>181</v>
      </c>
      <c r="B214" s="17" t="s">
        <v>797</v>
      </c>
      <c r="C214" s="13"/>
      <c r="D214" s="2" t="s">
        <v>863</v>
      </c>
      <c r="E214" s="2">
        <v>1</v>
      </c>
      <c r="F214" s="2">
        <v>3.42</v>
      </c>
      <c r="G214" s="2" t="s">
        <v>176</v>
      </c>
      <c r="H214" s="9" t="s">
        <v>581</v>
      </c>
      <c r="I214" t="s">
        <v>656</v>
      </c>
      <c r="J214"/>
      <c r="L214" s="25">
        <v>1</v>
      </c>
      <c r="M214">
        <v>2</v>
      </c>
      <c r="N214">
        <v>0</v>
      </c>
      <c r="O214" s="2">
        <v>7.7803000000000004</v>
      </c>
      <c r="P214" s="2">
        <v>7.7803000000000004</v>
      </c>
      <c r="Q214" s="2">
        <v>42.569200000000002</v>
      </c>
      <c r="R214" s="2" t="s">
        <v>516</v>
      </c>
      <c r="T214" s="25">
        <v>14.88329339</v>
      </c>
      <c r="U214" s="25">
        <v>14.88329339</v>
      </c>
      <c r="V214" s="25">
        <v>14.88329339</v>
      </c>
      <c r="W214">
        <v>3.8250999999999999</v>
      </c>
      <c r="X214">
        <v>3.8250999999999999</v>
      </c>
      <c r="Y214">
        <v>28.884</v>
      </c>
      <c r="Z214">
        <v>0</v>
      </c>
      <c r="AD214">
        <v>20</v>
      </c>
      <c r="AE214" s="55">
        <f t="shared" si="11"/>
        <v>2576.8442821368285</v>
      </c>
      <c r="AF214" s="57">
        <v>218.43262216091571</v>
      </c>
      <c r="AG214" s="55">
        <v>422.61306904883998</v>
      </c>
      <c r="AH214" s="55">
        <v>0</v>
      </c>
      <c r="AJ214" s="51">
        <v>9.1561415150097566E-2</v>
      </c>
      <c r="AK214" s="52">
        <v>9.4649226276950119E-2</v>
      </c>
      <c r="AM214" s="28">
        <v>1.882352941176471</v>
      </c>
      <c r="AN214" s="28">
        <v>2.3529411764705879</v>
      </c>
      <c r="AO214" s="28">
        <v>1.6470588235294119</v>
      </c>
      <c r="AP214" s="28">
        <v>0</v>
      </c>
      <c r="AQ214" s="28">
        <v>0.32</v>
      </c>
      <c r="AR214" s="28">
        <v>0.4</v>
      </c>
      <c r="AS214" s="28">
        <v>0.28000000000000003</v>
      </c>
      <c r="AT214" s="28">
        <v>0</v>
      </c>
      <c r="AU214" s="25">
        <v>1.1000000000000001</v>
      </c>
      <c r="AV214" s="25">
        <v>3.44</v>
      </c>
      <c r="AW214" s="25">
        <v>2.34</v>
      </c>
      <c r="AX214" s="25">
        <v>2.651764705882353</v>
      </c>
      <c r="AY214">
        <v>2.651764705882353</v>
      </c>
      <c r="AZ214">
        <v>5.9274383647058819</v>
      </c>
      <c r="BA214" s="75">
        <v>0.55146660057091235</v>
      </c>
      <c r="BB214" s="75">
        <v>0.57006422384419775</v>
      </c>
      <c r="BE214">
        <v>4.5780707575048769E-2</v>
      </c>
      <c r="BF214">
        <v>4.7324613138475059E-2</v>
      </c>
      <c r="BH214">
        <v>9.3105320713523843E-2</v>
      </c>
      <c r="BI214">
        <v>4.6552660356761907E-2</v>
      </c>
      <c r="BJ214">
        <v>0.56076541220755505</v>
      </c>
    </row>
    <row r="215" spans="1:68" x14ac:dyDescent="0.3">
      <c r="A215" s="2" t="s">
        <v>38</v>
      </c>
      <c r="B215" s="13" t="s">
        <v>714</v>
      </c>
      <c r="C215" s="13"/>
      <c r="F215" s="2">
        <v>3.9</v>
      </c>
      <c r="G215" s="2" t="s">
        <v>182</v>
      </c>
      <c r="H215" s="9" t="s">
        <v>545</v>
      </c>
      <c r="I215" t="s">
        <v>626</v>
      </c>
      <c r="J215"/>
      <c r="L215" s="25">
        <v>1</v>
      </c>
      <c r="M215">
        <v>1</v>
      </c>
      <c r="N215">
        <v>0</v>
      </c>
      <c r="T215" s="25">
        <v>5.8532381300000003</v>
      </c>
      <c r="U215" s="25">
        <v>5.8532371599999999</v>
      </c>
      <c r="V215" s="25">
        <v>11.912811489999999</v>
      </c>
      <c r="W215">
        <v>5.7946</v>
      </c>
      <c r="X215">
        <v>5.7946</v>
      </c>
      <c r="Y215">
        <v>11.787599999999999</v>
      </c>
      <c r="Z215">
        <v>0</v>
      </c>
      <c r="AD215">
        <v>30</v>
      </c>
      <c r="AE215" s="55">
        <f t="shared" si="11"/>
        <v>0</v>
      </c>
      <c r="AF215" s="57">
        <v>353.45760058531442</v>
      </c>
      <c r="AG215" s="55">
        <v>342.77011164986573</v>
      </c>
      <c r="AH215" s="55">
        <v>0</v>
      </c>
      <c r="AJ215" s="51">
        <v>8.487580957467307E-2</v>
      </c>
      <c r="AK215" s="52">
        <v>8.752221672887435E-2</v>
      </c>
      <c r="AM215" s="28">
        <v>1.833333333333333</v>
      </c>
      <c r="AN215" s="28">
        <v>2.5</v>
      </c>
      <c r="AO215" s="28">
        <v>0.66666666666666663</v>
      </c>
      <c r="AP215" s="28">
        <v>0</v>
      </c>
      <c r="AQ215" s="28">
        <v>0.36666666666666659</v>
      </c>
      <c r="AR215" s="28">
        <v>0.5</v>
      </c>
      <c r="AS215" s="28">
        <v>0.1333333333333333</v>
      </c>
      <c r="AT215" s="28">
        <v>0</v>
      </c>
      <c r="AU215" s="25">
        <v>0.89</v>
      </c>
      <c r="AV215" s="25">
        <v>3.44</v>
      </c>
      <c r="AW215" s="25">
        <v>2.5499999999999998</v>
      </c>
      <c r="AX215" s="25">
        <v>2.6020833333333329</v>
      </c>
      <c r="AY215">
        <v>2.6020833333333329</v>
      </c>
      <c r="AZ215">
        <v>5.9098726145833336</v>
      </c>
      <c r="BA215" s="75">
        <v>0.57410011132036598</v>
      </c>
      <c r="BB215" s="75">
        <v>0.59200041353179045</v>
      </c>
      <c r="BE215">
        <v>4.2437904787336528E-2</v>
      </c>
      <c r="BF215">
        <v>4.3761108364437168E-2</v>
      </c>
      <c r="BH215">
        <v>8.619901315177371E-2</v>
      </c>
      <c r="BI215">
        <v>4.3099506575886848E-2</v>
      </c>
      <c r="BJ215">
        <v>0.58305026242607827</v>
      </c>
      <c r="BP215" s="2">
        <v>0.7</v>
      </c>
    </row>
    <row r="216" spans="1:68" x14ac:dyDescent="0.3">
      <c r="A216" s="2" t="s">
        <v>48</v>
      </c>
      <c r="B216" s="13" t="s">
        <v>724</v>
      </c>
      <c r="C216" s="13"/>
      <c r="F216" s="2">
        <v>4.3</v>
      </c>
      <c r="G216" s="2" t="s">
        <v>183</v>
      </c>
      <c r="H216" s="9" t="s">
        <v>552</v>
      </c>
      <c r="I216" t="s">
        <v>630</v>
      </c>
      <c r="J216"/>
      <c r="L216" s="25">
        <v>2</v>
      </c>
      <c r="M216">
        <v>8</v>
      </c>
      <c r="N216">
        <v>0</v>
      </c>
      <c r="T216" s="25">
        <v>7.4836094600000003</v>
      </c>
      <c r="U216" s="25">
        <v>7.4836094600000003</v>
      </c>
      <c r="V216" s="25">
        <v>7.4836094600000003</v>
      </c>
      <c r="W216">
        <v>10.34</v>
      </c>
      <c r="X216">
        <v>10.34</v>
      </c>
      <c r="Y216">
        <v>10.34</v>
      </c>
      <c r="Z216">
        <v>0</v>
      </c>
      <c r="AD216">
        <v>14</v>
      </c>
      <c r="AE216" s="55">
        <f t="shared" si="11"/>
        <v>0</v>
      </c>
      <c r="AF216" s="57">
        <v>296.35915518228359</v>
      </c>
      <c r="AG216" s="55">
        <v>1105.507304</v>
      </c>
      <c r="AH216" s="55">
        <v>0</v>
      </c>
      <c r="AJ216" s="51">
        <v>9.4479956196318104E-2</v>
      </c>
      <c r="AK216" s="52">
        <v>0.1013109543417363</v>
      </c>
      <c r="AM216" s="28">
        <v>1.8181818181818179</v>
      </c>
      <c r="AN216" s="28">
        <v>2.545454545454545</v>
      </c>
      <c r="AO216" s="28">
        <v>0.72727272727272729</v>
      </c>
      <c r="AP216" s="28">
        <v>0</v>
      </c>
      <c r="AQ216" s="28">
        <v>0.35714285714285721</v>
      </c>
      <c r="AR216" s="28">
        <v>0.5</v>
      </c>
      <c r="AS216" s="28">
        <v>0.1428571428571429</v>
      </c>
      <c r="AT216" s="28">
        <v>0</v>
      </c>
      <c r="AU216" s="25">
        <v>1</v>
      </c>
      <c r="AV216" s="25">
        <v>3.44</v>
      </c>
      <c r="AW216" s="25">
        <v>2.44</v>
      </c>
      <c r="AX216" s="25">
        <v>2.6618181818181821</v>
      </c>
      <c r="AY216">
        <v>2.6618181818181821</v>
      </c>
      <c r="AZ216">
        <v>6.0537295018181814</v>
      </c>
      <c r="BA216" s="75">
        <v>0.50642227837041764</v>
      </c>
      <c r="BB216" s="75">
        <v>0.5430371307011983</v>
      </c>
      <c r="BE216">
        <v>4.7239978098159073E-2</v>
      </c>
      <c r="BF216">
        <v>5.0655477170868157E-2</v>
      </c>
      <c r="BH216">
        <v>9.789545526902721E-2</v>
      </c>
      <c r="BI216">
        <v>4.8947727634513619E-2</v>
      </c>
      <c r="BJ216">
        <v>0.52472970453580792</v>
      </c>
      <c r="BP216" s="2">
        <v>4.2</v>
      </c>
    </row>
    <row r="217" spans="1:68" x14ac:dyDescent="0.3">
      <c r="A217" s="2" t="s">
        <v>49</v>
      </c>
      <c r="B217" s="13" t="s">
        <v>725</v>
      </c>
      <c r="C217" s="13"/>
      <c r="F217" s="2">
        <v>4.0999999999999996</v>
      </c>
      <c r="G217" s="2" t="s">
        <v>183</v>
      </c>
      <c r="H217" s="9" t="s">
        <v>553</v>
      </c>
      <c r="I217" t="s">
        <v>631</v>
      </c>
      <c r="J217"/>
      <c r="L217" s="25">
        <v>8</v>
      </c>
      <c r="M217">
        <v>8</v>
      </c>
      <c r="N217">
        <v>0</v>
      </c>
      <c r="T217" s="25">
        <v>5.8017180100000001</v>
      </c>
      <c r="U217" s="25">
        <v>7.9756520899999996</v>
      </c>
      <c r="V217" s="25">
        <v>27.352093400000001</v>
      </c>
      <c r="W217">
        <v>26.646989999999999</v>
      </c>
      <c r="X217">
        <v>7.9359999999999999</v>
      </c>
      <c r="Y217">
        <v>5.7050000000000001</v>
      </c>
      <c r="Z217">
        <v>0</v>
      </c>
      <c r="AD217">
        <v>14</v>
      </c>
      <c r="AE217" s="55">
        <f t="shared" si="11"/>
        <v>0</v>
      </c>
      <c r="AF217" s="57">
        <v>1265.6493143942739</v>
      </c>
      <c r="AG217" s="55">
        <v>1206.4392746112001</v>
      </c>
      <c r="AH217" s="55">
        <v>0</v>
      </c>
      <c r="AJ217" s="51">
        <v>8.8492127105210025E-2</v>
      </c>
      <c r="AK217" s="52">
        <v>9.2835174017436004E-2</v>
      </c>
      <c r="AM217" s="28">
        <v>1.8181818181818179</v>
      </c>
      <c r="AN217" s="28">
        <v>2.545454545454545</v>
      </c>
      <c r="AO217" s="28">
        <v>0.72727272727272729</v>
      </c>
      <c r="AP217" s="28">
        <v>0</v>
      </c>
      <c r="AQ217" s="28">
        <v>0.35714285714285721</v>
      </c>
      <c r="AR217" s="28">
        <v>0.5</v>
      </c>
      <c r="AS217" s="28">
        <v>0.1428571428571429</v>
      </c>
      <c r="AT217" s="28">
        <v>0</v>
      </c>
      <c r="AU217" s="25">
        <v>0.95</v>
      </c>
      <c r="AV217" s="25">
        <v>3.44</v>
      </c>
      <c r="AW217" s="25">
        <v>2.4900000000000002</v>
      </c>
      <c r="AX217" s="25">
        <v>2.6527272727272719</v>
      </c>
      <c r="AY217">
        <v>2.6527272727272728</v>
      </c>
      <c r="AZ217">
        <v>6.0182046818181814</v>
      </c>
      <c r="BA217" s="75">
        <v>0.5176653673612065</v>
      </c>
      <c r="BB217" s="75">
        <v>0.54307152550012683</v>
      </c>
      <c r="BE217">
        <v>4.4246063552605013E-2</v>
      </c>
      <c r="BF217">
        <v>4.6417587008717988E-2</v>
      </c>
      <c r="BH217">
        <v>9.0663650561323014E-2</v>
      </c>
      <c r="BI217">
        <v>4.53318252806615E-2</v>
      </c>
      <c r="BJ217">
        <v>0.53036844643066661</v>
      </c>
      <c r="BP217" s="2">
        <v>5.0999999999999996</v>
      </c>
    </row>
    <row r="218" spans="1:68" x14ac:dyDescent="0.3">
      <c r="A218" s="2" t="s">
        <v>46</v>
      </c>
      <c r="B218" s="13" t="s">
        <v>722</v>
      </c>
      <c r="C218" s="13"/>
      <c r="F218" s="2">
        <v>3.2</v>
      </c>
      <c r="G218" s="2" t="s">
        <v>183</v>
      </c>
      <c r="H218" s="9" t="s">
        <v>551</v>
      </c>
      <c r="I218" t="s">
        <v>629</v>
      </c>
      <c r="J218"/>
      <c r="L218" s="25">
        <v>2</v>
      </c>
      <c r="M218">
        <v>4</v>
      </c>
      <c r="N218">
        <v>0</v>
      </c>
      <c r="T218" s="25">
        <v>7.41544296</v>
      </c>
      <c r="U218" s="25">
        <v>7.4154429599999991</v>
      </c>
      <c r="V218" s="25">
        <v>7.41544296</v>
      </c>
      <c r="W218">
        <v>7.8</v>
      </c>
      <c r="X218">
        <v>13.010999999999999</v>
      </c>
      <c r="Y218">
        <v>5.5460000000000003</v>
      </c>
      <c r="Z218">
        <v>0</v>
      </c>
      <c r="AD218">
        <v>14</v>
      </c>
      <c r="AE218" s="55">
        <f t="shared" si="11"/>
        <v>0</v>
      </c>
      <c r="AF218" s="57">
        <v>288.33429290182369</v>
      </c>
      <c r="AG218" s="55">
        <v>556.51188553357167</v>
      </c>
      <c r="AH218" s="55">
        <v>0</v>
      </c>
      <c r="AJ218" s="51">
        <v>9.7109503410799117E-2</v>
      </c>
      <c r="AK218" s="52">
        <v>0.10062678166578309</v>
      </c>
      <c r="AM218" s="28">
        <v>2</v>
      </c>
      <c r="AN218" s="28">
        <v>2.545454545454545</v>
      </c>
      <c r="AO218" s="28">
        <v>0.54545454545454541</v>
      </c>
      <c r="AP218" s="28">
        <v>0</v>
      </c>
      <c r="AQ218" s="28">
        <v>0.39285714285714279</v>
      </c>
      <c r="AR218" s="28">
        <v>0.5</v>
      </c>
      <c r="AS218" s="28">
        <v>0.1071428571428571</v>
      </c>
      <c r="AT218" s="28">
        <v>0</v>
      </c>
      <c r="AU218" s="25">
        <v>1.1000000000000001</v>
      </c>
      <c r="AV218" s="25">
        <v>3.44</v>
      </c>
      <c r="AW218" s="25">
        <v>2.34</v>
      </c>
      <c r="AX218" s="25">
        <v>2.669090909090909</v>
      </c>
      <c r="AY218">
        <v>2.669090909090909</v>
      </c>
      <c r="AZ218">
        <v>5.9831974772727277</v>
      </c>
      <c r="BA218" s="75">
        <v>0.52442413903612473</v>
      </c>
      <c r="BB218" s="75">
        <v>0.54341863036636606</v>
      </c>
      <c r="BE218">
        <v>4.8554751705399558E-2</v>
      </c>
      <c r="BF218">
        <v>5.0313390832891547E-2</v>
      </c>
      <c r="BH218">
        <v>9.8868142538291098E-2</v>
      </c>
      <c r="BI218">
        <v>4.9434071269145549E-2</v>
      </c>
      <c r="BJ218">
        <v>0.53392138470124539</v>
      </c>
      <c r="BP218" s="2">
        <v>5.2</v>
      </c>
    </row>
    <row r="219" spans="1:68" x14ac:dyDescent="0.3">
      <c r="A219" s="2" t="s">
        <v>47</v>
      </c>
      <c r="B219" s="13" t="s">
        <v>723</v>
      </c>
      <c r="C219" s="13"/>
      <c r="F219" s="2">
        <v>3.8</v>
      </c>
      <c r="G219" s="2" t="s">
        <v>183</v>
      </c>
      <c r="H219" s="9">
        <v>-1</v>
      </c>
      <c r="I219">
        <v>-1</v>
      </c>
      <c r="J219" t="s">
        <v>1152</v>
      </c>
      <c r="L219" s="25">
        <v>0</v>
      </c>
      <c r="M219">
        <v>0</v>
      </c>
      <c r="N219">
        <v>2</v>
      </c>
      <c r="T219" s="25">
        <v>0</v>
      </c>
      <c r="U219" s="25"/>
      <c r="V219" s="25"/>
      <c r="W219">
        <v>0</v>
      </c>
      <c r="Z219">
        <v>5.5170000000000003</v>
      </c>
      <c r="AA219">
        <v>31.274999999999999</v>
      </c>
      <c r="AB219">
        <v>3.8942000000000001</v>
      </c>
      <c r="AD219">
        <v>34</v>
      </c>
      <c r="AE219" s="55">
        <f t="shared" si="11"/>
        <v>0</v>
      </c>
      <c r="AF219" s="57">
        <v>0</v>
      </c>
      <c r="AG219" s="55">
        <v>0</v>
      </c>
      <c r="AH219" s="55">
        <v>671.92152628500003</v>
      </c>
      <c r="AJ219" s="51"/>
      <c r="AL219" s="52">
        <v>0.1012022942261822</v>
      </c>
      <c r="AM219" s="28">
        <v>2</v>
      </c>
      <c r="AN219" s="28">
        <v>2.518518518518519</v>
      </c>
      <c r="AO219" s="28">
        <v>0.51851851851851849</v>
      </c>
      <c r="AP219" s="28">
        <v>0</v>
      </c>
      <c r="AQ219" s="28">
        <v>0.39705882352941169</v>
      </c>
      <c r="AR219" s="28">
        <v>0.5</v>
      </c>
      <c r="AS219" s="28">
        <v>0.1029411764705882</v>
      </c>
      <c r="AT219" s="28">
        <v>0</v>
      </c>
      <c r="AU219" s="25">
        <v>1</v>
      </c>
      <c r="AV219" s="25">
        <v>3.44</v>
      </c>
      <c r="AW219" s="25">
        <v>2.44</v>
      </c>
      <c r="AX219" s="25">
        <v>2.6511111111111112</v>
      </c>
      <c r="AY219">
        <v>2.6511111111111112</v>
      </c>
      <c r="AZ219">
        <v>5.9544359512962952</v>
      </c>
      <c r="BG219">
        <v>5.0601147113091112E-2</v>
      </c>
      <c r="BH219">
        <v>0.1012022942261822</v>
      </c>
      <c r="BI219">
        <v>5.0601147113091112E-2</v>
      </c>
      <c r="BJ219">
        <v>0</v>
      </c>
      <c r="BP219" s="2">
        <v>4.9000000000000004</v>
      </c>
    </row>
    <row r="220" spans="1:68" x14ac:dyDescent="0.3">
      <c r="A220" s="2" t="s">
        <v>8</v>
      </c>
      <c r="B220" s="13" t="s">
        <v>694</v>
      </c>
      <c r="C220" s="13"/>
      <c r="F220" s="2">
        <v>3.1</v>
      </c>
      <c r="G220" s="2" t="s">
        <v>183</v>
      </c>
      <c r="H220" s="9" t="s">
        <v>530</v>
      </c>
      <c r="I220" t="s">
        <v>612</v>
      </c>
      <c r="J220"/>
      <c r="L220" s="25">
        <v>30</v>
      </c>
      <c r="M220">
        <v>4</v>
      </c>
      <c r="N220">
        <v>0</v>
      </c>
      <c r="T220" s="25">
        <v>10.59112378</v>
      </c>
      <c r="U220" s="25">
        <v>10.784736629999999</v>
      </c>
      <c r="V220" s="25">
        <v>10.486176179999999</v>
      </c>
      <c r="W220">
        <v>3.73</v>
      </c>
      <c r="X220">
        <v>3.73</v>
      </c>
      <c r="Y220">
        <v>9.3699999999999992</v>
      </c>
      <c r="Z220">
        <v>0</v>
      </c>
      <c r="AD220">
        <v>4</v>
      </c>
      <c r="AE220" s="55">
        <f t="shared" si="11"/>
        <v>0</v>
      </c>
      <c r="AF220" s="57">
        <v>1182.741260108548</v>
      </c>
      <c r="AG220" s="55">
        <v>130.36387300000001</v>
      </c>
      <c r="AH220" s="55">
        <v>0</v>
      </c>
      <c r="AJ220" s="51">
        <v>0.1014592151701775</v>
      </c>
      <c r="AK220" s="52">
        <v>0.1227333894874388</v>
      </c>
      <c r="AM220" s="28">
        <v>2</v>
      </c>
      <c r="AN220" s="28">
        <v>2.666666666666667</v>
      </c>
      <c r="AO220" s="28">
        <v>0.66666666666666663</v>
      </c>
      <c r="AP220" s="28">
        <v>0</v>
      </c>
      <c r="AQ220" s="28">
        <v>0.375</v>
      </c>
      <c r="AR220" s="28">
        <v>0.5</v>
      </c>
      <c r="AS220" s="28">
        <v>0.125</v>
      </c>
      <c r="AT220" s="28">
        <v>0</v>
      </c>
      <c r="AU220" s="25">
        <v>1.54</v>
      </c>
      <c r="AV220" s="25">
        <v>3.44</v>
      </c>
      <c r="AW220" s="25">
        <v>1.9</v>
      </c>
      <c r="AX220" s="25">
        <v>2.8066666666666671</v>
      </c>
      <c r="AY220">
        <v>2.8066666666666662</v>
      </c>
      <c r="AZ220">
        <v>6.1769976</v>
      </c>
      <c r="BA220" s="75">
        <v>0.46900407026869628</v>
      </c>
      <c r="BB220" s="75">
        <v>0.56734579634715776</v>
      </c>
      <c r="BE220">
        <v>5.072960758508873E-2</v>
      </c>
      <c r="BF220">
        <v>6.136669474371937E-2</v>
      </c>
      <c r="BH220">
        <v>0.1120963023288082</v>
      </c>
      <c r="BI220">
        <v>5.604815116440405E-2</v>
      </c>
      <c r="BJ220">
        <v>0.51817493330792708</v>
      </c>
      <c r="BP220" s="2">
        <v>50</v>
      </c>
    </row>
    <row r="221" spans="1:68" x14ac:dyDescent="0.3">
      <c r="A221" s="2" t="s">
        <v>0</v>
      </c>
      <c r="B221" s="13" t="s">
        <v>685</v>
      </c>
      <c r="C221" s="13"/>
      <c r="F221" s="2">
        <v>3.3</v>
      </c>
      <c r="G221" s="2" t="s">
        <v>183</v>
      </c>
      <c r="H221" s="9" t="s">
        <v>523</v>
      </c>
      <c r="I221" t="s">
        <v>606</v>
      </c>
      <c r="J221"/>
      <c r="L221" s="25">
        <v>4</v>
      </c>
      <c r="M221">
        <v>4</v>
      </c>
      <c r="N221">
        <v>0</v>
      </c>
      <c r="T221" s="25">
        <v>6.6040679999999998</v>
      </c>
      <c r="U221" s="25">
        <v>7.9389519999999996</v>
      </c>
      <c r="V221" s="25">
        <v>33.703336</v>
      </c>
      <c r="W221">
        <v>7.83</v>
      </c>
      <c r="X221">
        <v>33.209989999999998</v>
      </c>
      <c r="Y221">
        <v>6.46</v>
      </c>
      <c r="Z221">
        <v>0</v>
      </c>
      <c r="AD221">
        <v>34</v>
      </c>
      <c r="AE221" s="55">
        <f t="shared" si="11"/>
        <v>0</v>
      </c>
      <c r="AF221" s="57">
        <v>1767.0449718798691</v>
      </c>
      <c r="AG221" s="55">
        <v>1679.8210721820001</v>
      </c>
      <c r="AH221" s="55">
        <v>0</v>
      </c>
      <c r="AJ221" s="51">
        <v>7.6964651247849417E-2</v>
      </c>
      <c r="AK221" s="52">
        <v>8.0961003676030277E-2</v>
      </c>
      <c r="AM221" s="28">
        <v>1.62962962962963</v>
      </c>
      <c r="AN221" s="28">
        <v>2.518518518518519</v>
      </c>
      <c r="AO221" s="28">
        <v>0.88888888888888884</v>
      </c>
      <c r="AP221" s="28">
        <v>0</v>
      </c>
      <c r="AQ221" s="28">
        <v>0.32352941176470579</v>
      </c>
      <c r="AR221" s="28">
        <v>0.5</v>
      </c>
      <c r="AS221" s="28">
        <v>0.1764705882352941</v>
      </c>
      <c r="AT221" s="28">
        <v>0</v>
      </c>
      <c r="AU221" s="25">
        <v>0.82</v>
      </c>
      <c r="AV221" s="25">
        <v>3.44</v>
      </c>
      <c r="AW221" s="25">
        <v>2.62</v>
      </c>
      <c r="AX221" s="25">
        <v>2.642962962962963</v>
      </c>
      <c r="AY221">
        <v>2.642962962962963</v>
      </c>
      <c r="AZ221">
        <v>5.9587362692592576</v>
      </c>
      <c r="BA221" s="75">
        <v>0.48264383878002159</v>
      </c>
      <c r="BB221" s="75">
        <v>0.50770488753139842</v>
      </c>
      <c r="BE221">
        <v>3.8482325623924708E-2</v>
      </c>
      <c r="BF221">
        <v>4.0480501838015132E-2</v>
      </c>
      <c r="BH221">
        <v>7.8962827461939847E-2</v>
      </c>
      <c r="BI221">
        <v>3.9481413730969923E-2</v>
      </c>
      <c r="BJ221">
        <v>0.49517436315571001</v>
      </c>
      <c r="BP221" s="2">
        <v>4.5</v>
      </c>
    </row>
    <row r="222" spans="1:68" s="5" customFormat="1" x14ac:dyDescent="0.3">
      <c r="A222" s="5" t="s">
        <v>184</v>
      </c>
      <c r="B222" s="39" t="s">
        <v>798</v>
      </c>
      <c r="C222" s="39"/>
      <c r="F222" s="5">
        <v>3.5</v>
      </c>
      <c r="G222" s="5" t="s">
        <v>183</v>
      </c>
      <c r="H222" s="40">
        <v>-2</v>
      </c>
      <c r="I222" s="5">
        <v>-1</v>
      </c>
      <c r="L222" s="41">
        <v>0</v>
      </c>
      <c r="M222">
        <v>0</v>
      </c>
      <c r="N222">
        <v>0</v>
      </c>
      <c r="T222" s="41">
        <v>0</v>
      </c>
      <c r="U222" s="41"/>
      <c r="V222" s="41"/>
      <c r="W222">
        <v>0</v>
      </c>
      <c r="X222"/>
      <c r="Y222"/>
      <c r="Z222">
        <v>0</v>
      </c>
      <c r="AA222"/>
      <c r="AB222"/>
      <c r="AD222" s="5">
        <v>20</v>
      </c>
      <c r="AE222" s="55">
        <f t="shared" si="11"/>
        <v>0</v>
      </c>
      <c r="AF222" s="57">
        <v>0</v>
      </c>
      <c r="AG222" s="55">
        <v>0</v>
      </c>
      <c r="AH222" s="55">
        <v>0</v>
      </c>
      <c r="AI222" s="52"/>
      <c r="AJ222" s="51"/>
      <c r="AK222" s="52"/>
      <c r="AL222" s="52"/>
      <c r="AM222" s="5">
        <v>1.9375</v>
      </c>
      <c r="AN222" s="5">
        <v>2.5</v>
      </c>
      <c r="AO222" s="5">
        <v>0.5625</v>
      </c>
      <c r="AP222" s="5">
        <v>2.625</v>
      </c>
      <c r="AQ222" s="5">
        <v>0.25409836065573771</v>
      </c>
      <c r="AR222" s="5">
        <v>0.32786885245901642</v>
      </c>
      <c r="AS222" s="5">
        <v>7.3770491803278687E-2</v>
      </c>
      <c r="AT222" s="5">
        <v>0.34426229508196721</v>
      </c>
      <c r="AU222" s="41">
        <v>0.82</v>
      </c>
      <c r="AV222" s="41">
        <v>3.44</v>
      </c>
      <c r="AW222" s="41">
        <v>2.62</v>
      </c>
      <c r="AX222" s="41">
        <v>2.59375</v>
      </c>
      <c r="AY222" s="5">
        <v>2.59375</v>
      </c>
      <c r="AZ222" s="5">
        <v>5.9363868768750008</v>
      </c>
      <c r="BA222" s="75"/>
      <c r="BB222" s="75"/>
      <c r="BC222" s="75"/>
      <c r="BD222"/>
      <c r="BE222"/>
      <c r="BF222"/>
      <c r="BG222"/>
      <c r="BH222">
        <v>0</v>
      </c>
      <c r="BI222">
        <v>0</v>
      </c>
      <c r="BJ222">
        <v>0</v>
      </c>
      <c r="BP222" s="5">
        <v>4.2</v>
      </c>
    </row>
    <row r="223" spans="1:68" x14ac:dyDescent="0.3">
      <c r="A223" s="2" t="s">
        <v>185</v>
      </c>
      <c r="B223" s="13" t="s">
        <v>729</v>
      </c>
      <c r="C223" s="13"/>
      <c r="F223" s="2">
        <v>4.55</v>
      </c>
      <c r="G223" s="2" t="s">
        <v>192</v>
      </c>
      <c r="H223" s="9" t="s">
        <v>556</v>
      </c>
      <c r="I223" t="s">
        <v>633</v>
      </c>
      <c r="J223"/>
      <c r="K223" s="2">
        <v>4</v>
      </c>
      <c r="L223" s="25">
        <v>2</v>
      </c>
      <c r="M223">
        <v>4</v>
      </c>
      <c r="N223">
        <v>0</v>
      </c>
      <c r="O223" s="2">
        <v>3.9369999999999998</v>
      </c>
      <c r="P223" s="2">
        <v>27.198</v>
      </c>
      <c r="Q223" s="2">
        <v>5.6920000000000002</v>
      </c>
      <c r="T223" s="25">
        <v>13.81974189</v>
      </c>
      <c r="U223" s="25">
        <v>13.81974189</v>
      </c>
      <c r="V223" s="25">
        <v>5.7110870199999999</v>
      </c>
      <c r="W223">
        <v>3.94</v>
      </c>
      <c r="X223">
        <v>27.15</v>
      </c>
      <c r="Y223">
        <v>5.6920000000000002</v>
      </c>
      <c r="Z223">
        <v>0</v>
      </c>
      <c r="AD223">
        <v>14</v>
      </c>
      <c r="AE223" s="55">
        <f t="shared" si="11"/>
        <v>609.49096999200003</v>
      </c>
      <c r="AF223" s="57">
        <v>309.44138863753989</v>
      </c>
      <c r="AG223" s="55">
        <v>608.87893199999996</v>
      </c>
      <c r="AH223" s="55">
        <v>0</v>
      </c>
      <c r="AI223" s="52">
        <f t="shared" ref="AI223:AI236" si="13">K223*AD223/AE223</f>
        <v>9.1879950248869205E-2</v>
      </c>
      <c r="AJ223" s="51">
        <v>9.0485633235046756E-2</v>
      </c>
      <c r="AK223" s="52">
        <v>9.1972306901891634E-2</v>
      </c>
      <c r="AM223" s="28">
        <v>2</v>
      </c>
      <c r="AN223" s="28">
        <v>2.545454545454545</v>
      </c>
      <c r="AO223" s="28">
        <v>0.54545454545454541</v>
      </c>
      <c r="AP223" s="28">
        <v>2.545454545454545</v>
      </c>
      <c r="AQ223" s="28">
        <v>0.26190476190476192</v>
      </c>
      <c r="AR223" s="28">
        <v>0.33333333333333331</v>
      </c>
      <c r="AS223" s="28">
        <v>7.1428571428571425E-2</v>
      </c>
      <c r="AT223" s="28">
        <v>0.33333333333333331</v>
      </c>
      <c r="AU223" s="25">
        <v>0.95</v>
      </c>
      <c r="AV223" s="25">
        <v>3.44</v>
      </c>
      <c r="AW223" s="25">
        <v>2.4900000000000002</v>
      </c>
      <c r="AX223" s="25">
        <v>2.6345454545454539</v>
      </c>
      <c r="AY223">
        <v>2.6345454545454552</v>
      </c>
      <c r="AZ223">
        <v>6.036062318181818</v>
      </c>
      <c r="BA223" s="75">
        <v>0.52932707238284982</v>
      </c>
      <c r="BB223" s="75">
        <v>0.53802388525275069</v>
      </c>
      <c r="BD223">
        <v>4.5939975124434602E-2</v>
      </c>
      <c r="BE223">
        <v>4.5242816617523378E-2</v>
      </c>
      <c r="BF223">
        <v>4.5986153450945817E-2</v>
      </c>
      <c r="BH223">
        <v>9.1445963461935856E-2</v>
      </c>
      <c r="BI223">
        <v>4.5722981730967928E-2</v>
      </c>
      <c r="BJ223">
        <v>0.5336754788178002</v>
      </c>
      <c r="BP223" s="2">
        <v>0.9</v>
      </c>
    </row>
    <row r="224" spans="1:68" x14ac:dyDescent="0.3">
      <c r="A224" s="2" t="s">
        <v>1227</v>
      </c>
      <c r="B224" s="68" t="s">
        <v>1234</v>
      </c>
      <c r="C224" s="13"/>
      <c r="F224" s="2">
        <v>4.43</v>
      </c>
      <c r="G224" s="2" t="s">
        <v>192</v>
      </c>
      <c r="H224" s="9">
        <v>-1</v>
      </c>
      <c r="I224">
        <v>-1</v>
      </c>
      <c r="J224"/>
      <c r="K224" s="2">
        <v>4</v>
      </c>
      <c r="L224" s="25">
        <v>0</v>
      </c>
      <c r="M224">
        <v>0</v>
      </c>
      <c r="N224">
        <v>0</v>
      </c>
      <c r="O224" s="1">
        <v>3.9369999999999998</v>
      </c>
      <c r="P224" s="1">
        <v>27.198</v>
      </c>
      <c r="Q224" s="1">
        <v>5.6920000000000002</v>
      </c>
      <c r="T224" s="25">
        <v>0</v>
      </c>
      <c r="U224" s="25"/>
      <c r="V224" s="25"/>
      <c r="W224">
        <v>0</v>
      </c>
      <c r="Z224">
        <v>0</v>
      </c>
      <c r="AD224">
        <v>14</v>
      </c>
      <c r="AE224" s="55">
        <f t="shared" si="11"/>
        <v>609.49096999200003</v>
      </c>
      <c r="AF224" s="57">
        <v>0</v>
      </c>
      <c r="AG224" s="55">
        <v>0</v>
      </c>
      <c r="AH224" s="55">
        <v>0</v>
      </c>
      <c r="AI224" s="52">
        <f t="shared" si="13"/>
        <v>9.1879950248869205E-2</v>
      </c>
      <c r="AJ224" s="51"/>
      <c r="AM224" s="28">
        <v>1.9950000000000001</v>
      </c>
      <c r="AN224" s="28">
        <v>2.8</v>
      </c>
      <c r="AO224" s="28">
        <v>0.30499999999999999</v>
      </c>
      <c r="AP224" s="28">
        <v>1.33</v>
      </c>
      <c r="AQ224" s="28">
        <v>0.31026438569206838</v>
      </c>
      <c r="AR224" s="28">
        <v>0.43545878693623641</v>
      </c>
      <c r="AS224" s="28">
        <v>4.7433903576982892E-2</v>
      </c>
      <c r="AT224" s="28">
        <v>0.20684292379471231</v>
      </c>
      <c r="AU224" s="25">
        <v>0.95</v>
      </c>
      <c r="AV224" s="25">
        <v>3.44</v>
      </c>
      <c r="AW224" s="25">
        <v>2.4900000000000002</v>
      </c>
      <c r="AX224" s="25">
        <v>2.7484999999999991</v>
      </c>
      <c r="AY224">
        <v>2.7484999999999999</v>
      </c>
      <c r="AZ224">
        <v>6.2455429149999997</v>
      </c>
      <c r="BD224">
        <v>4.5939975124434602E-2</v>
      </c>
      <c r="BH224">
        <v>9.1879950248869205E-2</v>
      </c>
      <c r="BI224">
        <v>4.5939975124434602E-2</v>
      </c>
      <c r="BJ224">
        <v>0</v>
      </c>
      <c r="BP224" s="2">
        <v>1.2</v>
      </c>
    </row>
    <row r="225" spans="1:68" x14ac:dyDescent="0.3">
      <c r="A225" s="2" t="s">
        <v>1228</v>
      </c>
      <c r="B225" s="68" t="s">
        <v>1235</v>
      </c>
      <c r="C225" s="13"/>
      <c r="F225" s="2">
        <v>4.34</v>
      </c>
      <c r="G225" s="2" t="s">
        <v>192</v>
      </c>
      <c r="H225" s="9">
        <v>-1</v>
      </c>
      <c r="I225">
        <v>-1</v>
      </c>
      <c r="J225"/>
      <c r="K225" s="2">
        <v>4</v>
      </c>
      <c r="L225" s="25">
        <v>0</v>
      </c>
      <c r="M225">
        <v>0</v>
      </c>
      <c r="N225">
        <v>0</v>
      </c>
      <c r="O225" s="1">
        <v>3.9369999999999998</v>
      </c>
      <c r="P225" s="1">
        <v>27.198</v>
      </c>
      <c r="Q225" s="1">
        <v>5.6920000000000002</v>
      </c>
      <c r="T225" s="25">
        <v>0</v>
      </c>
      <c r="U225" s="25"/>
      <c r="V225" s="25"/>
      <c r="W225">
        <v>0</v>
      </c>
      <c r="Z225">
        <v>0</v>
      </c>
      <c r="AD225">
        <v>14</v>
      </c>
      <c r="AE225" s="55">
        <f t="shared" si="11"/>
        <v>609.49096999200003</v>
      </c>
      <c r="AF225" s="57">
        <v>0</v>
      </c>
      <c r="AG225" s="55">
        <v>0</v>
      </c>
      <c r="AH225" s="55">
        <v>0</v>
      </c>
      <c r="AI225" s="52">
        <f t="shared" si="13"/>
        <v>9.1879950248869205E-2</v>
      </c>
      <c r="AJ225" s="51"/>
      <c r="AM225" s="28">
        <v>1.99</v>
      </c>
      <c r="AN225" s="28">
        <v>2.8</v>
      </c>
      <c r="AO225" s="28">
        <v>0.31</v>
      </c>
      <c r="AP225" s="28">
        <v>1.26</v>
      </c>
      <c r="AQ225" s="28">
        <v>0.31289308176100628</v>
      </c>
      <c r="AR225" s="28">
        <v>0.44025157232704398</v>
      </c>
      <c r="AS225" s="28">
        <v>4.874213836477987E-2</v>
      </c>
      <c r="AT225" s="28">
        <v>0.1981132075471698</v>
      </c>
      <c r="AU225" s="25">
        <v>0.95</v>
      </c>
      <c r="AV225" s="25">
        <v>3.44</v>
      </c>
      <c r="AW225" s="25">
        <v>2.4900000000000002</v>
      </c>
      <c r="AX225" s="25">
        <v>2.7490000000000001</v>
      </c>
      <c r="AY225">
        <v>2.7490000000000001</v>
      </c>
      <c r="AZ225">
        <v>6.2450518300000004</v>
      </c>
      <c r="BD225">
        <v>4.5939975124434602E-2</v>
      </c>
      <c r="BH225">
        <v>9.1879950248869205E-2</v>
      </c>
      <c r="BI225">
        <v>4.5939975124434602E-2</v>
      </c>
      <c r="BJ225">
        <v>0</v>
      </c>
      <c r="BP225" s="2">
        <v>1.3</v>
      </c>
    </row>
    <row r="226" spans="1:68" x14ac:dyDescent="0.3">
      <c r="A226" s="2" t="s">
        <v>1229</v>
      </c>
      <c r="B226" s="68" t="s">
        <v>1236</v>
      </c>
      <c r="C226" s="13"/>
      <c r="F226" s="2">
        <v>4.2699999999999996</v>
      </c>
      <c r="G226" s="2" t="s">
        <v>192</v>
      </c>
      <c r="H226" s="9">
        <v>-1</v>
      </c>
      <c r="I226">
        <v>-1</v>
      </c>
      <c r="J226"/>
      <c r="K226" s="2">
        <v>4</v>
      </c>
      <c r="L226" s="25">
        <v>0</v>
      </c>
      <c r="M226">
        <v>0</v>
      </c>
      <c r="N226">
        <v>0</v>
      </c>
      <c r="O226" s="1">
        <v>3.9369999999999998</v>
      </c>
      <c r="P226" s="1">
        <v>27.198</v>
      </c>
      <c r="Q226" s="1">
        <v>5.6920000000000002</v>
      </c>
      <c r="T226" s="25">
        <v>0</v>
      </c>
      <c r="U226" s="25"/>
      <c r="V226" s="25"/>
      <c r="W226">
        <v>0</v>
      </c>
      <c r="Z226">
        <v>0</v>
      </c>
      <c r="AD226">
        <v>14</v>
      </c>
      <c r="AE226" s="55">
        <f t="shared" si="11"/>
        <v>609.49096999200003</v>
      </c>
      <c r="AF226" s="57">
        <v>0</v>
      </c>
      <c r="AG226" s="55">
        <v>0</v>
      </c>
      <c r="AH226" s="55">
        <v>0</v>
      </c>
      <c r="AI226" s="52">
        <f t="shared" si="13"/>
        <v>9.1879950248869205E-2</v>
      </c>
      <c r="AJ226" s="51"/>
      <c r="AM226" s="28">
        <v>1.9850000000000001</v>
      </c>
      <c r="AN226" s="28">
        <v>2.8</v>
      </c>
      <c r="AO226" s="28">
        <v>0.315</v>
      </c>
      <c r="AP226" s="28">
        <v>1.19</v>
      </c>
      <c r="AQ226" s="28">
        <v>0.31558028616852152</v>
      </c>
      <c r="AR226" s="28">
        <v>0.4451510333863275</v>
      </c>
      <c r="AS226" s="28">
        <v>5.0079491255961853E-2</v>
      </c>
      <c r="AT226" s="28">
        <v>0.1891891891891892</v>
      </c>
      <c r="AU226" s="25">
        <v>0.95</v>
      </c>
      <c r="AV226" s="25">
        <v>3.44</v>
      </c>
      <c r="AW226" s="25">
        <v>2.4900000000000002</v>
      </c>
      <c r="AX226" s="25">
        <v>2.7494999999999989</v>
      </c>
      <c r="AY226">
        <v>2.7494999999999998</v>
      </c>
      <c r="AZ226">
        <v>6.2445607449999994</v>
      </c>
      <c r="BD226">
        <v>4.5939975124434602E-2</v>
      </c>
      <c r="BH226">
        <v>9.1879950248869205E-2</v>
      </c>
      <c r="BI226">
        <v>4.5939975124434602E-2</v>
      </c>
      <c r="BJ226">
        <v>0</v>
      </c>
      <c r="BP226" s="2">
        <v>1</v>
      </c>
    </row>
    <row r="227" spans="1:68" x14ac:dyDescent="0.3">
      <c r="A227" s="2" t="s">
        <v>1230</v>
      </c>
      <c r="B227" s="68" t="s">
        <v>1237</v>
      </c>
      <c r="C227" s="13"/>
      <c r="F227" s="2">
        <v>4.13</v>
      </c>
      <c r="G227" s="2" t="s">
        <v>192</v>
      </c>
      <c r="H227" s="9">
        <v>-1</v>
      </c>
      <c r="I227">
        <v>-1</v>
      </c>
      <c r="J227"/>
      <c r="K227" s="2">
        <v>4</v>
      </c>
      <c r="L227" s="25">
        <v>0</v>
      </c>
      <c r="M227">
        <v>0</v>
      </c>
      <c r="N227">
        <v>0</v>
      </c>
      <c r="O227" s="1">
        <v>3.9369999999999998</v>
      </c>
      <c r="P227" s="1">
        <v>27.198</v>
      </c>
      <c r="Q227" s="1">
        <v>5.6920000000000002</v>
      </c>
      <c r="T227" s="25">
        <v>0</v>
      </c>
      <c r="U227" s="25"/>
      <c r="V227" s="25"/>
      <c r="W227">
        <v>0</v>
      </c>
      <c r="Z227">
        <v>0</v>
      </c>
      <c r="AD227">
        <v>14</v>
      </c>
      <c r="AE227" s="55">
        <f t="shared" si="11"/>
        <v>609.49096999200003</v>
      </c>
      <c r="AF227" s="57">
        <v>0</v>
      </c>
      <c r="AG227" s="55">
        <v>0</v>
      </c>
      <c r="AH227" s="55">
        <v>0</v>
      </c>
      <c r="AI227" s="52">
        <f t="shared" si="13"/>
        <v>9.1879950248869205E-2</v>
      </c>
      <c r="AJ227" s="51"/>
      <c r="AM227" s="28">
        <v>1.9750000000000001</v>
      </c>
      <c r="AN227" s="28">
        <v>2.8</v>
      </c>
      <c r="AO227" s="28">
        <v>0.32500000000000001</v>
      </c>
      <c r="AP227" s="28">
        <v>1.05</v>
      </c>
      <c r="AQ227" s="28">
        <v>0.32113821138211379</v>
      </c>
      <c r="AR227" s="28">
        <v>0.45528455284552838</v>
      </c>
      <c r="AS227" s="28">
        <v>5.2845528455284549E-2</v>
      </c>
      <c r="AT227" s="28">
        <v>0.17073170731707321</v>
      </c>
      <c r="AU227" s="25">
        <v>0.95</v>
      </c>
      <c r="AV227" s="25">
        <v>3.44</v>
      </c>
      <c r="AW227" s="25">
        <v>2.4900000000000002</v>
      </c>
      <c r="AX227" s="25">
        <v>2.7505000000000002</v>
      </c>
      <c r="AY227">
        <v>2.7505000000000002</v>
      </c>
      <c r="AZ227">
        <v>6.2435785749999999</v>
      </c>
      <c r="BD227">
        <v>4.5939975124434602E-2</v>
      </c>
      <c r="BH227">
        <v>9.1879950248869205E-2</v>
      </c>
      <c r="BI227">
        <v>4.5939975124434602E-2</v>
      </c>
      <c r="BJ227">
        <v>0</v>
      </c>
      <c r="BP227" s="2">
        <v>1.2</v>
      </c>
    </row>
    <row r="228" spans="1:68" x14ac:dyDescent="0.3">
      <c r="A228" s="2" t="s">
        <v>1231</v>
      </c>
      <c r="B228" s="68" t="s">
        <v>1238</v>
      </c>
      <c r="C228" s="13"/>
      <c r="F228" s="2">
        <v>4.07</v>
      </c>
      <c r="G228" s="2" t="s">
        <v>192</v>
      </c>
      <c r="H228" s="9">
        <v>-1</v>
      </c>
      <c r="I228">
        <v>-1</v>
      </c>
      <c r="J228"/>
      <c r="K228" s="2">
        <v>4</v>
      </c>
      <c r="L228" s="25">
        <v>0</v>
      </c>
      <c r="M228">
        <v>0</v>
      </c>
      <c r="N228">
        <v>0</v>
      </c>
      <c r="O228" s="1">
        <v>3.9369999999999998</v>
      </c>
      <c r="P228" s="1">
        <v>27.198</v>
      </c>
      <c r="Q228" s="1">
        <v>5.6920000000000002</v>
      </c>
      <c r="T228" s="25">
        <v>0</v>
      </c>
      <c r="U228" s="25"/>
      <c r="V228" s="25"/>
      <c r="W228">
        <v>0</v>
      </c>
      <c r="Z228">
        <v>0</v>
      </c>
      <c r="AD228">
        <v>14</v>
      </c>
      <c r="AE228" s="55">
        <f t="shared" si="11"/>
        <v>609.49096999200003</v>
      </c>
      <c r="AF228" s="57">
        <v>0</v>
      </c>
      <c r="AG228" s="55">
        <v>0</v>
      </c>
      <c r="AH228" s="55">
        <v>0</v>
      </c>
      <c r="AI228" s="52">
        <f t="shared" si="13"/>
        <v>9.1879950248869205E-2</v>
      </c>
      <c r="AJ228" s="51"/>
      <c r="AM228" s="28">
        <v>1.9650000000000001</v>
      </c>
      <c r="AN228" s="28">
        <v>2.8</v>
      </c>
      <c r="AO228" s="28">
        <v>0.33500000000000002</v>
      </c>
      <c r="AP228" s="28">
        <v>0.90999999999999992</v>
      </c>
      <c r="AQ228" s="28">
        <v>0.32695507487520797</v>
      </c>
      <c r="AR228" s="28">
        <v>0.46589018302828622</v>
      </c>
      <c r="AS228" s="28">
        <v>5.5740432612312818E-2</v>
      </c>
      <c r="AT228" s="28">
        <v>0.15141430948419299</v>
      </c>
      <c r="AU228" s="25">
        <v>0.95</v>
      </c>
      <c r="AV228" s="25">
        <v>3.44</v>
      </c>
      <c r="AW228" s="25">
        <v>2.4900000000000002</v>
      </c>
      <c r="AX228" s="25">
        <v>2.7515000000000001</v>
      </c>
      <c r="AY228">
        <v>2.7515000000000001</v>
      </c>
      <c r="AZ228">
        <v>6.2425964049999996</v>
      </c>
      <c r="BD228">
        <v>4.5939975124434602E-2</v>
      </c>
      <c r="BH228">
        <v>9.1879950248869205E-2</v>
      </c>
      <c r="BI228">
        <v>4.5939975124434602E-2</v>
      </c>
      <c r="BJ228">
        <v>0</v>
      </c>
      <c r="BP228" s="2">
        <v>1</v>
      </c>
    </row>
    <row r="229" spans="1:68" x14ac:dyDescent="0.3">
      <c r="A229" s="2" t="s">
        <v>1232</v>
      </c>
      <c r="B229" s="68" t="s">
        <v>1239</v>
      </c>
      <c r="C229" s="13"/>
      <c r="F229" s="2">
        <v>4.03</v>
      </c>
      <c r="G229" s="2" t="s">
        <v>192</v>
      </c>
      <c r="H229" s="9">
        <v>-1</v>
      </c>
      <c r="I229">
        <v>-1</v>
      </c>
      <c r="J229"/>
      <c r="K229" s="2">
        <v>4</v>
      </c>
      <c r="L229" s="25">
        <v>0</v>
      </c>
      <c r="M229">
        <v>0</v>
      </c>
      <c r="N229">
        <v>0</v>
      </c>
      <c r="O229" s="1">
        <v>3.9369999999999998</v>
      </c>
      <c r="P229" s="1">
        <v>27.198</v>
      </c>
      <c r="Q229" s="1">
        <v>5.6920000000000002</v>
      </c>
      <c r="T229" s="25">
        <v>0</v>
      </c>
      <c r="U229" s="25"/>
      <c r="V229" s="25"/>
      <c r="W229">
        <v>0</v>
      </c>
      <c r="Z229">
        <v>0</v>
      </c>
      <c r="AD229">
        <v>14</v>
      </c>
      <c r="AE229" s="55">
        <f t="shared" si="11"/>
        <v>609.49096999200003</v>
      </c>
      <c r="AF229" s="57">
        <v>0</v>
      </c>
      <c r="AG229" s="55">
        <v>0</v>
      </c>
      <c r="AH229" s="55">
        <v>0</v>
      </c>
      <c r="AI229" s="52">
        <f t="shared" si="13"/>
        <v>9.1879950248869205E-2</v>
      </c>
      <c r="AJ229" s="51"/>
      <c r="AM229" s="28">
        <v>1.95</v>
      </c>
      <c r="AN229" s="28">
        <v>2.8</v>
      </c>
      <c r="AO229" s="28">
        <v>0.35</v>
      </c>
      <c r="AP229" s="28">
        <v>0.7</v>
      </c>
      <c r="AQ229" s="28">
        <v>0.33620689655172409</v>
      </c>
      <c r="AR229" s="28">
        <v>0.48275862068965508</v>
      </c>
      <c r="AS229" s="28">
        <v>6.0344827586206892E-2</v>
      </c>
      <c r="AT229" s="28">
        <v>0.1206896551724138</v>
      </c>
      <c r="AU229" s="25">
        <v>0.95</v>
      </c>
      <c r="AV229" s="25">
        <v>3.44</v>
      </c>
      <c r="AW229" s="25">
        <v>2.4900000000000002</v>
      </c>
      <c r="AX229" s="25">
        <v>2.7530000000000001</v>
      </c>
      <c r="AY229">
        <v>2.7530000000000001</v>
      </c>
      <c r="AZ229">
        <v>6.24112315</v>
      </c>
      <c r="BD229">
        <v>4.5939975124434602E-2</v>
      </c>
      <c r="BH229">
        <v>9.1879950248869205E-2</v>
      </c>
      <c r="BI229">
        <v>4.5939975124434602E-2</v>
      </c>
      <c r="BJ229">
        <v>0</v>
      </c>
      <c r="BP229" s="2">
        <v>1.2</v>
      </c>
    </row>
    <row r="230" spans="1:68" x14ac:dyDescent="0.3">
      <c r="A230" s="2" t="s">
        <v>1233</v>
      </c>
      <c r="B230" s="68" t="s">
        <v>1240</v>
      </c>
      <c r="C230" s="13"/>
      <c r="F230" s="2">
        <v>3.96</v>
      </c>
      <c r="G230" s="2" t="s">
        <v>192</v>
      </c>
      <c r="H230" s="9">
        <v>-1</v>
      </c>
      <c r="I230">
        <v>-1</v>
      </c>
      <c r="J230"/>
      <c r="K230" s="2">
        <v>4</v>
      </c>
      <c r="L230" s="25">
        <v>0</v>
      </c>
      <c r="M230">
        <v>0</v>
      </c>
      <c r="N230">
        <v>0</v>
      </c>
      <c r="O230" s="1">
        <v>3.9369999999999998</v>
      </c>
      <c r="P230" s="1">
        <v>27.198</v>
      </c>
      <c r="Q230" s="1">
        <v>5.6920000000000002</v>
      </c>
      <c r="T230" s="25">
        <v>0</v>
      </c>
      <c r="U230" s="25"/>
      <c r="V230" s="25"/>
      <c r="W230">
        <v>0</v>
      </c>
      <c r="Z230">
        <v>0</v>
      </c>
      <c r="AD230">
        <v>14</v>
      </c>
      <c r="AE230" s="55">
        <f t="shared" si="11"/>
        <v>609.49096999200003</v>
      </c>
      <c r="AF230" s="57">
        <v>0</v>
      </c>
      <c r="AG230" s="55">
        <v>0</v>
      </c>
      <c r="AH230" s="55">
        <v>0</v>
      </c>
      <c r="AI230" s="52">
        <f t="shared" si="13"/>
        <v>9.1879950248869205E-2</v>
      </c>
      <c r="AJ230" s="51"/>
      <c r="AM230" s="28">
        <v>1.92</v>
      </c>
      <c r="AN230" s="28">
        <v>2.8</v>
      </c>
      <c r="AO230" s="28">
        <v>0.38</v>
      </c>
      <c r="AP230" s="28">
        <v>0.28000000000000003</v>
      </c>
      <c r="AQ230" s="28">
        <v>0.35687732342007428</v>
      </c>
      <c r="AR230" s="28">
        <v>0.5204460966542751</v>
      </c>
      <c r="AS230" s="28">
        <v>7.0631970260223054E-2</v>
      </c>
      <c r="AT230" s="28">
        <v>5.2044609665427517E-2</v>
      </c>
      <c r="AU230" s="25">
        <v>0.95</v>
      </c>
      <c r="AV230" s="25">
        <v>3.44</v>
      </c>
      <c r="AW230" s="25">
        <v>2.4900000000000002</v>
      </c>
      <c r="AX230" s="25">
        <v>2.7559999999999998</v>
      </c>
      <c r="AY230">
        <v>2.7559999999999998</v>
      </c>
      <c r="AZ230">
        <v>6.2381766400000007</v>
      </c>
      <c r="BD230">
        <v>4.5939975124434602E-2</v>
      </c>
      <c r="BH230">
        <v>9.1879950248869205E-2</v>
      </c>
      <c r="BI230">
        <v>4.5939975124434602E-2</v>
      </c>
      <c r="BJ230">
        <v>0</v>
      </c>
      <c r="BP230" s="2">
        <v>0.8</v>
      </c>
    </row>
    <row r="231" spans="1:68" x14ac:dyDescent="0.3">
      <c r="A231" s="2" t="s">
        <v>49</v>
      </c>
      <c r="B231" s="13" t="s">
        <v>725</v>
      </c>
      <c r="C231" s="13"/>
      <c r="F231" s="2">
        <v>3.92</v>
      </c>
      <c r="G231" s="2" t="s">
        <v>192</v>
      </c>
      <c r="H231" s="9" t="s">
        <v>553</v>
      </c>
      <c r="I231" t="s">
        <v>631</v>
      </c>
      <c r="J231"/>
      <c r="L231" s="25">
        <v>8</v>
      </c>
      <c r="M231">
        <v>8</v>
      </c>
      <c r="N231">
        <v>0</v>
      </c>
      <c r="O231" s="2">
        <v>3.9329999999999998</v>
      </c>
      <c r="P231" s="2">
        <v>26.725999999999999</v>
      </c>
      <c r="Q231" s="2">
        <v>5.8630000000000004</v>
      </c>
      <c r="R231" s="2" t="s">
        <v>1095</v>
      </c>
      <c r="T231" s="25">
        <v>5.8017180100000001</v>
      </c>
      <c r="U231" s="25">
        <v>7.9756520899999996</v>
      </c>
      <c r="V231" s="25">
        <v>27.352093400000001</v>
      </c>
      <c r="W231">
        <v>26.646989999999999</v>
      </c>
      <c r="X231">
        <v>7.9359999999999999</v>
      </c>
      <c r="Y231">
        <v>5.7050000000000001</v>
      </c>
      <c r="Z231">
        <v>0</v>
      </c>
      <c r="AD231">
        <v>14</v>
      </c>
      <c r="AE231" s="55">
        <f t="shared" si="11"/>
        <v>616.27961795399995</v>
      </c>
      <c r="AF231" s="57">
        <v>1265.6493143942739</v>
      </c>
      <c r="AG231" s="55">
        <v>1206.4392746112001</v>
      </c>
      <c r="AH231" s="55">
        <v>0</v>
      </c>
      <c r="AJ231" s="51">
        <v>8.8492127105210025E-2</v>
      </c>
      <c r="AK231" s="52">
        <v>9.2835174017436004E-2</v>
      </c>
      <c r="AM231" s="28">
        <v>1.8181818181818179</v>
      </c>
      <c r="AN231" s="28">
        <v>2.545454545454545</v>
      </c>
      <c r="AO231" s="28">
        <v>0.72727272727272729</v>
      </c>
      <c r="AP231" s="28">
        <v>0</v>
      </c>
      <c r="AQ231" s="28">
        <v>0.35714285714285721</v>
      </c>
      <c r="AR231" s="28">
        <v>0.5</v>
      </c>
      <c r="AS231" s="28">
        <v>0.1428571428571429</v>
      </c>
      <c r="AT231" s="28">
        <v>0</v>
      </c>
      <c r="AU231" s="25">
        <v>0.95</v>
      </c>
      <c r="AV231" s="25">
        <v>3.44</v>
      </c>
      <c r="AW231" s="25">
        <v>2.4900000000000002</v>
      </c>
      <c r="AX231" s="25">
        <v>2.6527272727272719</v>
      </c>
      <c r="AY231">
        <v>2.6527272727272728</v>
      </c>
      <c r="AZ231">
        <v>6.0182046818181814</v>
      </c>
      <c r="BA231" s="75">
        <v>0.5176653673612065</v>
      </c>
      <c r="BB231" s="75">
        <v>0.54307152550012683</v>
      </c>
      <c r="BE231">
        <v>4.4246063552605013E-2</v>
      </c>
      <c r="BF231">
        <v>4.6417587008717988E-2</v>
      </c>
      <c r="BH231">
        <v>9.0663650561323014E-2</v>
      </c>
      <c r="BI231">
        <v>4.53318252806615E-2</v>
      </c>
      <c r="BJ231">
        <v>0.53036844643066661</v>
      </c>
      <c r="BP231" s="2">
        <v>0.6</v>
      </c>
    </row>
    <row r="232" spans="1:68" x14ac:dyDescent="0.3">
      <c r="A232" s="2" t="s">
        <v>46</v>
      </c>
      <c r="B232" s="13" t="s">
        <v>722</v>
      </c>
      <c r="C232" s="13"/>
      <c r="F232" s="2">
        <v>3.82</v>
      </c>
      <c r="G232" s="2" t="s">
        <v>197</v>
      </c>
      <c r="H232" s="9" t="s">
        <v>551</v>
      </c>
      <c r="I232" t="s">
        <v>629</v>
      </c>
      <c r="J232"/>
      <c r="K232" s="2">
        <v>4</v>
      </c>
      <c r="L232" s="25">
        <v>2</v>
      </c>
      <c r="M232">
        <v>4</v>
      </c>
      <c r="N232">
        <v>0</v>
      </c>
      <c r="O232" s="2">
        <v>13.01</v>
      </c>
      <c r="P232" s="2">
        <v>5.5439999999999996</v>
      </c>
      <c r="Q232" s="2">
        <v>7.81</v>
      </c>
      <c r="R232" s="2" t="s">
        <v>1095</v>
      </c>
      <c r="T232" s="25">
        <v>7.41544296</v>
      </c>
      <c r="U232" s="25">
        <v>7.4154429599999991</v>
      </c>
      <c r="V232" s="25">
        <v>7.41544296</v>
      </c>
      <c r="W232">
        <v>7.8</v>
      </c>
      <c r="X232">
        <v>13.010999999999999</v>
      </c>
      <c r="Y232">
        <v>5.5460000000000003</v>
      </c>
      <c r="Z232">
        <v>0</v>
      </c>
      <c r="AD232">
        <v>14</v>
      </c>
      <c r="AE232" s="55">
        <f t="shared" si="11"/>
        <v>563.31530639999994</v>
      </c>
      <c r="AF232" s="57">
        <v>288.33429290182369</v>
      </c>
      <c r="AG232" s="55">
        <v>556.51188553357167</v>
      </c>
      <c r="AH232" s="55">
        <v>0</v>
      </c>
      <c r="AI232" s="52">
        <f t="shared" si="13"/>
        <v>9.9411465237614932E-2</v>
      </c>
      <c r="AJ232" s="51">
        <v>9.7109503410799117E-2</v>
      </c>
      <c r="AK232" s="52">
        <v>0.10062678166578309</v>
      </c>
      <c r="AM232" s="28">
        <v>2</v>
      </c>
      <c r="AN232" s="28">
        <v>2.545454545454545</v>
      </c>
      <c r="AO232" s="28">
        <v>0.54545454545454541</v>
      </c>
      <c r="AP232" s="28">
        <v>0</v>
      </c>
      <c r="AQ232" s="28">
        <v>0.39285714285714279</v>
      </c>
      <c r="AR232" s="28">
        <v>0.5</v>
      </c>
      <c r="AS232" s="28">
        <v>0.1071428571428571</v>
      </c>
      <c r="AT232" s="28">
        <v>0</v>
      </c>
      <c r="AU232" s="25">
        <v>1.1000000000000001</v>
      </c>
      <c r="AV232" s="25">
        <v>3.44</v>
      </c>
      <c r="AW232" s="25">
        <v>2.34</v>
      </c>
      <c r="AX232" s="25">
        <v>2.669090909090909</v>
      </c>
      <c r="AY232">
        <v>2.669090909090909</v>
      </c>
      <c r="AZ232">
        <v>5.9831974772727277</v>
      </c>
      <c r="BA232" s="75">
        <v>0.52442413903612473</v>
      </c>
      <c r="BB232" s="75">
        <v>0.54341863036636606</v>
      </c>
      <c r="BD232">
        <v>4.9705732618807473E-2</v>
      </c>
      <c r="BE232">
        <v>4.8554751705399558E-2</v>
      </c>
      <c r="BF232">
        <v>5.0313390832891547E-2</v>
      </c>
      <c r="BH232">
        <v>9.9049250104732381E-2</v>
      </c>
      <c r="BI232">
        <v>4.952462505236619E-2</v>
      </c>
      <c r="BJ232">
        <v>0.53392138470124539</v>
      </c>
    </row>
    <row r="233" spans="1:68" x14ac:dyDescent="0.3">
      <c r="A233" s="2" t="s">
        <v>193</v>
      </c>
      <c r="B233" s="13" t="s">
        <v>799</v>
      </c>
      <c r="C233" s="13"/>
      <c r="F233" s="2">
        <v>3.68</v>
      </c>
      <c r="G233" s="2" t="s">
        <v>197</v>
      </c>
      <c r="H233" s="9">
        <v>-1</v>
      </c>
      <c r="I233">
        <v>-1</v>
      </c>
      <c r="J233"/>
      <c r="K233" s="2">
        <v>4</v>
      </c>
      <c r="L233" s="25">
        <v>0</v>
      </c>
      <c r="M233">
        <v>0</v>
      </c>
      <c r="N233">
        <v>0</v>
      </c>
      <c r="O233" s="2">
        <v>13.02</v>
      </c>
      <c r="P233" s="2">
        <v>5.5119999999999996</v>
      </c>
      <c r="Q233" s="2">
        <v>7.7450000000000001</v>
      </c>
      <c r="R233" s="2" t="s">
        <v>1095</v>
      </c>
      <c r="T233" s="25">
        <v>0</v>
      </c>
      <c r="U233" s="25"/>
      <c r="V233" s="25"/>
      <c r="W233">
        <v>0</v>
      </c>
      <c r="Z233">
        <v>0</v>
      </c>
      <c r="AD233">
        <v>14</v>
      </c>
      <c r="AE233" s="55">
        <f t="shared" si="11"/>
        <v>555.82952879999993</v>
      </c>
      <c r="AF233" s="57">
        <v>0</v>
      </c>
      <c r="AG233" s="55">
        <v>0</v>
      </c>
      <c r="AH233" s="55">
        <v>0</v>
      </c>
      <c r="AI233" s="52">
        <f t="shared" ref="AI233" si="14">K233*AD233/AE233</f>
        <v>0.10075031479687735</v>
      </c>
      <c r="AJ233" s="51"/>
      <c r="AM233" s="28">
        <v>2</v>
      </c>
      <c r="AN233" s="28">
        <v>2.545454545454545</v>
      </c>
      <c r="AO233" s="28">
        <v>0.45454545454545447</v>
      </c>
      <c r="AP233" s="28">
        <v>0.36363636363636359</v>
      </c>
      <c r="AQ233" s="28">
        <v>0.3728813559322034</v>
      </c>
      <c r="AR233" s="28">
        <v>0.47457627118644069</v>
      </c>
      <c r="AS233" s="28">
        <v>8.4745762711864403E-2</v>
      </c>
      <c r="AT233" s="28">
        <v>6.7796610169491525E-2</v>
      </c>
      <c r="AU233" s="25">
        <v>1.1000000000000001</v>
      </c>
      <c r="AV233" s="25">
        <v>3.44</v>
      </c>
      <c r="AW233" s="25">
        <v>2.34</v>
      </c>
      <c r="AX233" s="25">
        <v>2.672727272727272</v>
      </c>
      <c r="AY233">
        <v>2.6727272727272728</v>
      </c>
      <c r="AZ233">
        <v>5.9599268909090908</v>
      </c>
      <c r="BD233">
        <v>5.0375157398438668E-2</v>
      </c>
      <c r="BH233">
        <v>0.10075031479687729</v>
      </c>
      <c r="BI233">
        <v>5.0375157398438668E-2</v>
      </c>
      <c r="BJ233">
        <v>0</v>
      </c>
    </row>
    <row r="234" spans="1:68" x14ac:dyDescent="0.3">
      <c r="A234" s="2" t="s">
        <v>194</v>
      </c>
      <c r="B234" s="13" t="s">
        <v>800</v>
      </c>
      <c r="C234" s="13"/>
      <c r="F234" s="2">
        <v>3.65</v>
      </c>
      <c r="G234" s="2" t="s">
        <v>197</v>
      </c>
      <c r="H234" s="9" t="s">
        <v>582</v>
      </c>
      <c r="I234" t="s">
        <v>657</v>
      </c>
      <c r="J234"/>
      <c r="K234" s="2">
        <v>4</v>
      </c>
      <c r="L234" s="25">
        <v>2</v>
      </c>
      <c r="M234">
        <v>8</v>
      </c>
      <c r="N234">
        <v>0</v>
      </c>
      <c r="O234" s="2">
        <v>13.02</v>
      </c>
      <c r="P234" s="2">
        <v>5.48</v>
      </c>
      <c r="Q234" s="2">
        <v>7.68</v>
      </c>
      <c r="R234" s="2" t="s">
        <v>1095</v>
      </c>
      <c r="T234" s="25">
        <v>7.2854997800000012</v>
      </c>
      <c r="U234" s="25">
        <v>7.2855000099999998</v>
      </c>
      <c r="V234" s="25">
        <v>7.28550129</v>
      </c>
      <c r="W234">
        <v>7.6769999999999996</v>
      </c>
      <c r="X234">
        <v>5.4560000000000004</v>
      </c>
      <c r="Y234">
        <v>26.012989999999999</v>
      </c>
      <c r="Z234">
        <v>0</v>
      </c>
      <c r="AD234">
        <v>14</v>
      </c>
      <c r="AE234" s="55">
        <f t="shared" si="11"/>
        <v>547.9649280000001</v>
      </c>
      <c r="AF234" s="57">
        <v>273.44070809730869</v>
      </c>
      <c r="AG234" s="55">
        <v>1077.884035254056</v>
      </c>
      <c r="AH234" s="55">
        <v>0</v>
      </c>
      <c r="AI234" s="52">
        <f t="shared" si="13"/>
        <v>0.10219632158647933</v>
      </c>
      <c r="AJ234" s="51">
        <v>0.1023987986091511</v>
      </c>
      <c r="AK234" s="52">
        <v>0.1039072816155049</v>
      </c>
      <c r="AM234" s="28">
        <v>2</v>
      </c>
      <c r="AN234" s="28">
        <v>2.545454545454545</v>
      </c>
      <c r="AO234" s="28">
        <v>0.36363636363636359</v>
      </c>
      <c r="AP234" s="28">
        <v>0.72727272727272729</v>
      </c>
      <c r="AQ234" s="28">
        <v>0.35483870967741932</v>
      </c>
      <c r="AR234" s="28">
        <v>0.45161290322580638</v>
      </c>
      <c r="AS234" s="28">
        <v>6.4516129032258063E-2</v>
      </c>
      <c r="AT234" s="28">
        <v>0.1290322580645161</v>
      </c>
      <c r="AU234" s="25">
        <v>1.1399999999999999</v>
      </c>
      <c r="AV234" s="25">
        <v>3.44</v>
      </c>
      <c r="AW234" s="25">
        <v>2.2999999999999998</v>
      </c>
      <c r="AX234" s="25">
        <v>2.6763636363636358</v>
      </c>
      <c r="AY234">
        <v>2.6763636363636358</v>
      </c>
      <c r="AZ234">
        <v>5.9366563045454548</v>
      </c>
      <c r="BA234" s="75">
        <v>0.5411256777060568</v>
      </c>
      <c r="BB234" s="75">
        <v>0.54909724475770694</v>
      </c>
      <c r="BD234">
        <v>5.1098160793239672E-2</v>
      </c>
      <c r="BE234">
        <v>5.119939930457558E-2</v>
      </c>
      <c r="BF234">
        <v>5.1953640807752437E-2</v>
      </c>
      <c r="BH234">
        <v>0.1028341339370451</v>
      </c>
      <c r="BI234">
        <v>5.1417066968522558E-2</v>
      </c>
      <c r="BJ234">
        <v>0.54511146123188192</v>
      </c>
    </row>
    <row r="235" spans="1:68" x14ac:dyDescent="0.3">
      <c r="A235" s="2" t="s">
        <v>195</v>
      </c>
      <c r="B235" s="13" t="s">
        <v>801</v>
      </c>
      <c r="C235" s="13"/>
      <c r="F235" s="2">
        <v>2.99</v>
      </c>
      <c r="G235" s="2" t="s">
        <v>197</v>
      </c>
      <c r="H235" s="9" t="s">
        <v>583</v>
      </c>
      <c r="I235">
        <v>-1</v>
      </c>
      <c r="J235"/>
      <c r="K235" s="2">
        <v>4</v>
      </c>
      <c r="L235" s="25">
        <v>4</v>
      </c>
      <c r="M235">
        <v>0</v>
      </c>
      <c r="N235">
        <v>0</v>
      </c>
      <c r="O235" s="2">
        <v>12.996</v>
      </c>
      <c r="P235" s="2">
        <v>5.4850000000000003</v>
      </c>
      <c r="Q235" s="2">
        <v>7.7039999999999997</v>
      </c>
      <c r="R235" s="2" t="s">
        <v>1095</v>
      </c>
      <c r="T235" s="25">
        <v>5.5191434299999997</v>
      </c>
      <c r="U235" s="25">
        <v>7.7203982699999987</v>
      </c>
      <c r="V235" s="25">
        <v>13.117043880000001</v>
      </c>
      <c r="W235">
        <v>0</v>
      </c>
      <c r="Z235">
        <v>0</v>
      </c>
      <c r="AD235">
        <v>14</v>
      </c>
      <c r="AE235" s="55">
        <f t="shared" si="11"/>
        <v>549.16469424000002</v>
      </c>
      <c r="AF235" s="57">
        <v>552.74712386171507</v>
      </c>
      <c r="AG235" s="55">
        <v>0</v>
      </c>
      <c r="AH235" s="55">
        <v>0</v>
      </c>
      <c r="AI235" s="52">
        <f t="shared" si="13"/>
        <v>0.1019730521414883</v>
      </c>
      <c r="AJ235" s="51">
        <v>0.1013121508598025</v>
      </c>
      <c r="AM235" s="28">
        <v>2</v>
      </c>
      <c r="AN235" s="28">
        <v>2.545454545454545</v>
      </c>
      <c r="AO235" s="28">
        <v>0.36363636363636359</v>
      </c>
      <c r="AP235" s="28">
        <v>0.54545454545454541</v>
      </c>
      <c r="AQ235" s="28">
        <v>0.3666666666666667</v>
      </c>
      <c r="AR235" s="28">
        <v>0.46666666666666667</v>
      </c>
      <c r="AS235" s="28">
        <v>6.666666666666668E-2</v>
      </c>
      <c r="AT235" s="28">
        <v>0.1</v>
      </c>
      <c r="AU235" s="25">
        <v>1.1299999999999999</v>
      </c>
      <c r="AV235" s="25">
        <v>3.44</v>
      </c>
      <c r="AW235" s="25">
        <v>2.31</v>
      </c>
      <c r="AX235" s="25">
        <v>2.6745454545454539</v>
      </c>
      <c r="AY235">
        <v>2.6745454545454548</v>
      </c>
      <c r="AZ235">
        <v>5.9327418772727274</v>
      </c>
      <c r="BA235" s="75">
        <v>0.53699890088551772</v>
      </c>
      <c r="BD235">
        <v>5.0986526070744151E-2</v>
      </c>
      <c r="BE235">
        <v>5.0656075429901228E-2</v>
      </c>
      <c r="BH235">
        <v>0.1016426015006454</v>
      </c>
      <c r="BI235">
        <v>5.0821300750322693E-2</v>
      </c>
      <c r="BJ235">
        <v>0.53699890088551772</v>
      </c>
    </row>
    <row r="236" spans="1:68" x14ac:dyDescent="0.3">
      <c r="A236" s="2" t="s">
        <v>196</v>
      </c>
      <c r="B236" s="13" t="s">
        <v>802</v>
      </c>
      <c r="C236" s="13"/>
      <c r="F236" s="2">
        <v>2.98</v>
      </c>
      <c r="G236" s="2" t="s">
        <v>197</v>
      </c>
      <c r="H236" s="9">
        <v>-1</v>
      </c>
      <c r="I236">
        <v>-1</v>
      </c>
      <c r="J236"/>
      <c r="K236" s="2">
        <v>4</v>
      </c>
      <c r="L236" s="25">
        <v>0</v>
      </c>
      <c r="M236">
        <v>0</v>
      </c>
      <c r="N236">
        <v>0</v>
      </c>
      <c r="O236" s="2">
        <v>13.003</v>
      </c>
      <c r="P236" s="2">
        <v>5.5149999999999997</v>
      </c>
      <c r="Q236" s="2">
        <v>7.7569999999999997</v>
      </c>
      <c r="R236" s="2" t="s">
        <v>1095</v>
      </c>
      <c r="T236" s="25">
        <v>0</v>
      </c>
      <c r="U236" s="25"/>
      <c r="V236" s="25"/>
      <c r="W236">
        <v>0</v>
      </c>
      <c r="Z236">
        <v>0</v>
      </c>
      <c r="AD236">
        <v>14</v>
      </c>
      <c r="AE236" s="55">
        <f t="shared" si="11"/>
        <v>556.266454565</v>
      </c>
      <c r="AF236" s="57">
        <v>0</v>
      </c>
      <c r="AG236" s="55">
        <v>0</v>
      </c>
      <c r="AH236" s="55">
        <v>0</v>
      </c>
      <c r="AI236" s="52">
        <f t="shared" si="13"/>
        <v>0.10067117932500884</v>
      </c>
      <c r="AJ236" s="51"/>
      <c r="AM236" s="28">
        <v>2</v>
      </c>
      <c r="AN236" s="28">
        <v>2.545454545454545</v>
      </c>
      <c r="AO236" s="28">
        <v>0.45454545454545447</v>
      </c>
      <c r="AP236" s="28">
        <v>0.27272727272727271</v>
      </c>
      <c r="AQ236" s="28">
        <v>0.37931034482758619</v>
      </c>
      <c r="AR236" s="28">
        <v>0.48275862068965519</v>
      </c>
      <c r="AS236" s="28">
        <v>8.6206896551724144E-2</v>
      </c>
      <c r="AT236" s="28">
        <v>5.1724137931034482E-2</v>
      </c>
      <c r="AU236" s="25">
        <v>1.1000000000000001</v>
      </c>
      <c r="AV236" s="25">
        <v>3.44</v>
      </c>
      <c r="AW236" s="25">
        <v>2.34</v>
      </c>
      <c r="AX236" s="25">
        <v>2.6718181818181819</v>
      </c>
      <c r="AY236">
        <v>2.6718181818181819</v>
      </c>
      <c r="AZ236">
        <v>5.9579696772727271</v>
      </c>
      <c r="BD236">
        <v>5.0335589662504419E-2</v>
      </c>
      <c r="BH236">
        <v>0.1006711793250088</v>
      </c>
      <c r="BI236">
        <v>5.0335589662504419E-2</v>
      </c>
      <c r="BJ236">
        <v>0</v>
      </c>
    </row>
    <row r="237" spans="1:68" x14ac:dyDescent="0.3">
      <c r="A237" s="2" t="s">
        <v>44</v>
      </c>
      <c r="B237" s="13" t="s">
        <v>720</v>
      </c>
      <c r="C237" s="13"/>
      <c r="F237" s="2">
        <v>2.1</v>
      </c>
      <c r="G237" s="2" t="s">
        <v>198</v>
      </c>
      <c r="H237" s="9" t="s">
        <v>549</v>
      </c>
      <c r="I237">
        <v>-1</v>
      </c>
      <c r="J237"/>
      <c r="L237" s="25">
        <v>1</v>
      </c>
      <c r="M237">
        <v>0</v>
      </c>
      <c r="N237">
        <v>0</v>
      </c>
      <c r="O237" s="2">
        <v>3.871</v>
      </c>
      <c r="P237" s="2">
        <v>3.871</v>
      </c>
      <c r="Q237" s="2">
        <v>29.783999999999999</v>
      </c>
      <c r="R237" s="2" t="s">
        <v>440</v>
      </c>
      <c r="T237" s="25">
        <v>15.28115725</v>
      </c>
      <c r="U237" s="25">
        <v>15.28115725</v>
      </c>
      <c r="V237" s="25">
        <v>15.28115725</v>
      </c>
      <c r="W237">
        <v>0</v>
      </c>
      <c r="Z237">
        <v>0</v>
      </c>
      <c r="AD237">
        <v>20</v>
      </c>
      <c r="AE237" s="55">
        <f t="shared" si="11"/>
        <v>446.30254754399999</v>
      </c>
      <c r="AF237" s="57">
        <v>229.90248606119221</v>
      </c>
      <c r="AG237" s="55">
        <v>0</v>
      </c>
      <c r="AH237" s="55">
        <v>0</v>
      </c>
      <c r="AJ237" s="51">
        <v>8.6993404650164072E-2</v>
      </c>
      <c r="AM237" s="28">
        <v>1.882352941176471</v>
      </c>
      <c r="AN237" s="28">
        <v>2.3529411764705879</v>
      </c>
      <c r="AO237" s="28">
        <v>0.47058823529411759</v>
      </c>
      <c r="AP237" s="28">
        <v>0</v>
      </c>
      <c r="AQ237" s="28">
        <v>0.4</v>
      </c>
      <c r="AR237" s="28">
        <v>0.5</v>
      </c>
      <c r="AS237" s="28">
        <v>9.9999999999999992E-2</v>
      </c>
      <c r="AT237" s="28">
        <v>0</v>
      </c>
      <c r="AU237" s="25">
        <v>0.82</v>
      </c>
      <c r="AV237" s="25">
        <v>3.44</v>
      </c>
      <c r="AW237" s="25">
        <v>2.62</v>
      </c>
      <c r="AX237" s="25">
        <v>2.5211764705882351</v>
      </c>
      <c r="AY237">
        <v>2.521176470588236</v>
      </c>
      <c r="AZ237">
        <v>5.6898745917647062</v>
      </c>
      <c r="BA237" s="75">
        <v>0.57369840599679445</v>
      </c>
      <c r="BE237">
        <v>4.3496702325082043E-2</v>
      </c>
      <c r="BH237">
        <v>8.6993404650164072E-2</v>
      </c>
      <c r="BI237">
        <v>4.3496702325082043E-2</v>
      </c>
      <c r="BJ237">
        <v>0.57369840599679445</v>
      </c>
    </row>
    <row r="238" spans="1:68" x14ac:dyDescent="0.3">
      <c r="A238" s="2" t="s">
        <v>199</v>
      </c>
      <c r="B238" s="13" t="s">
        <v>867</v>
      </c>
      <c r="C238" s="13"/>
      <c r="F238" s="2">
        <v>2</v>
      </c>
      <c r="G238" s="2" t="s">
        <v>207</v>
      </c>
      <c r="H238" s="9">
        <v>-1</v>
      </c>
      <c r="I238">
        <v>-1</v>
      </c>
      <c r="J238"/>
      <c r="L238" s="25">
        <v>0</v>
      </c>
      <c r="M238">
        <v>0</v>
      </c>
      <c r="N238">
        <v>0</v>
      </c>
      <c r="O238" s="1">
        <v>3.871</v>
      </c>
      <c r="P238" s="1">
        <v>3.871</v>
      </c>
      <c r="Q238" s="2">
        <v>29.297000000000001</v>
      </c>
      <c r="T238" s="25">
        <v>0</v>
      </c>
      <c r="U238" s="25"/>
      <c r="V238" s="25"/>
      <c r="W238">
        <v>0</v>
      </c>
      <c r="Z238">
        <v>0</v>
      </c>
      <c r="AD238">
        <v>20</v>
      </c>
      <c r="AE238" s="55">
        <f t="shared" si="11"/>
        <v>439.00502737700003</v>
      </c>
      <c r="AF238" s="57">
        <v>0</v>
      </c>
      <c r="AG238" s="55">
        <v>0</v>
      </c>
      <c r="AH238" s="55">
        <v>0</v>
      </c>
      <c r="AJ238" s="51"/>
      <c r="AM238" s="28">
        <v>1.882352941176471</v>
      </c>
      <c r="AN238" s="28">
        <v>2.3529411764705879</v>
      </c>
      <c r="AO238" s="28">
        <v>1.6470588235294119</v>
      </c>
      <c r="AP238" s="28">
        <v>0</v>
      </c>
      <c r="AQ238" s="28">
        <v>0.32</v>
      </c>
      <c r="AR238" s="28">
        <v>0.4</v>
      </c>
      <c r="AS238" s="28">
        <v>0.28000000000000003</v>
      </c>
      <c r="AT238" s="28">
        <v>0</v>
      </c>
      <c r="AU238" s="25">
        <v>1.1000000000000001</v>
      </c>
      <c r="AV238" s="25">
        <v>3.44</v>
      </c>
      <c r="AW238" s="25">
        <v>2.34</v>
      </c>
      <c r="AX238" s="25">
        <v>2.6482352941176468</v>
      </c>
      <c r="AY238">
        <v>2.6482352941176468</v>
      </c>
      <c r="AZ238">
        <v>5.9322299529411762</v>
      </c>
      <c r="BH238">
        <v>0</v>
      </c>
      <c r="BI238">
        <v>0</v>
      </c>
      <c r="BJ238">
        <v>0</v>
      </c>
    </row>
    <row r="239" spans="1:68" x14ac:dyDescent="0.3">
      <c r="A239" s="2" t="s">
        <v>200</v>
      </c>
      <c r="B239" s="13" t="s">
        <v>868</v>
      </c>
      <c r="C239" s="13"/>
      <c r="F239" s="2">
        <v>2.2000000000000002</v>
      </c>
      <c r="G239" s="2" t="s">
        <v>207</v>
      </c>
      <c r="H239" s="9">
        <v>-1</v>
      </c>
      <c r="I239">
        <v>-1</v>
      </c>
      <c r="J239"/>
      <c r="L239" s="25">
        <v>0</v>
      </c>
      <c r="M239">
        <v>0</v>
      </c>
      <c r="N239">
        <v>0</v>
      </c>
      <c r="O239" s="1">
        <v>6.6040679999999998</v>
      </c>
      <c r="P239" s="1">
        <v>7.93</v>
      </c>
      <c r="Q239" s="2">
        <v>31.28</v>
      </c>
      <c r="T239" s="25">
        <v>0</v>
      </c>
      <c r="U239" s="25"/>
      <c r="V239" s="25"/>
      <c r="W239">
        <v>0</v>
      </c>
      <c r="Z239">
        <v>0</v>
      </c>
      <c r="AD239">
        <v>34</v>
      </c>
      <c r="AE239" s="55">
        <f t="shared" si="11"/>
        <v>1638.1417090272</v>
      </c>
      <c r="AF239" s="57">
        <v>0</v>
      </c>
      <c r="AG239" s="55">
        <v>0</v>
      </c>
      <c r="AH239" s="55">
        <v>0</v>
      </c>
      <c r="AJ239" s="51"/>
      <c r="AM239" s="28">
        <v>1.62962962962963</v>
      </c>
      <c r="AN239" s="28">
        <v>2.518518518518519</v>
      </c>
      <c r="AO239" s="28">
        <v>1.911111111111111</v>
      </c>
      <c r="AP239" s="28">
        <v>0</v>
      </c>
      <c r="AQ239" s="28">
        <v>0.26894865525672368</v>
      </c>
      <c r="AR239" s="28">
        <v>0.41564792176039123</v>
      </c>
      <c r="AS239" s="28">
        <v>0.31540342298288498</v>
      </c>
      <c r="AT239" s="28">
        <v>0</v>
      </c>
      <c r="AU239" s="25">
        <v>0.82</v>
      </c>
      <c r="AV239" s="25">
        <v>3.44</v>
      </c>
      <c r="AW239" s="25">
        <v>2.62</v>
      </c>
      <c r="AX239" s="25">
        <v>2.7533629629629628</v>
      </c>
      <c r="AY239">
        <v>2.7533629629629628</v>
      </c>
      <c r="AZ239">
        <v>6.1693161497481483</v>
      </c>
      <c r="BH239">
        <v>0</v>
      </c>
      <c r="BI239">
        <v>0</v>
      </c>
      <c r="BJ239">
        <v>0</v>
      </c>
    </row>
    <row r="240" spans="1:68" x14ac:dyDescent="0.3">
      <c r="A240" s="2" t="s">
        <v>0</v>
      </c>
      <c r="B240" s="13" t="s">
        <v>685</v>
      </c>
      <c r="C240" s="13"/>
      <c r="F240" s="2">
        <v>3.3</v>
      </c>
      <c r="G240" s="2" t="s">
        <v>207</v>
      </c>
      <c r="H240" s="9" t="s">
        <v>523</v>
      </c>
      <c r="I240" t="s">
        <v>606</v>
      </c>
      <c r="J240"/>
      <c r="L240" s="25">
        <v>4</v>
      </c>
      <c r="M240">
        <v>4</v>
      </c>
      <c r="N240">
        <v>0</v>
      </c>
      <c r="O240" s="1">
        <v>6.6040679999999998</v>
      </c>
      <c r="P240" s="1">
        <v>7.93</v>
      </c>
      <c r="Q240" s="2">
        <v>32.700000000000003</v>
      </c>
      <c r="T240" s="25">
        <v>6.6040679999999998</v>
      </c>
      <c r="U240" s="25">
        <v>7.9389519999999996</v>
      </c>
      <c r="V240" s="25">
        <v>33.703336</v>
      </c>
      <c r="W240">
        <v>7.83</v>
      </c>
      <c r="X240">
        <v>33.209989999999998</v>
      </c>
      <c r="Y240">
        <v>6.46</v>
      </c>
      <c r="Z240">
        <v>0</v>
      </c>
      <c r="AD240">
        <v>34</v>
      </c>
      <c r="AE240" s="55">
        <f t="shared" si="11"/>
        <v>1712.5074771479999</v>
      </c>
      <c r="AF240" s="57">
        <v>1767.0449718798691</v>
      </c>
      <c r="AG240" s="55">
        <v>1679.8210721820001</v>
      </c>
      <c r="AH240" s="55">
        <v>0</v>
      </c>
      <c r="AJ240" s="51">
        <v>7.6964651247849417E-2</v>
      </c>
      <c r="AK240" s="52">
        <v>8.0961003676030277E-2</v>
      </c>
      <c r="AM240" s="28">
        <v>1.62962962962963</v>
      </c>
      <c r="AN240" s="28">
        <v>2.518518518518519</v>
      </c>
      <c r="AO240" s="28">
        <v>0.88888888888888884</v>
      </c>
      <c r="AP240" s="28">
        <v>0</v>
      </c>
      <c r="AQ240" s="28">
        <v>0.32352941176470579</v>
      </c>
      <c r="AR240" s="28">
        <v>0.5</v>
      </c>
      <c r="AS240" s="28">
        <v>0.1764705882352941</v>
      </c>
      <c r="AT240" s="28">
        <v>0</v>
      </c>
      <c r="AU240" s="25">
        <v>0.82</v>
      </c>
      <c r="AV240" s="25">
        <v>3.44</v>
      </c>
      <c r="AW240" s="25">
        <v>2.62</v>
      </c>
      <c r="AX240" s="25">
        <v>2.642962962962963</v>
      </c>
      <c r="AY240">
        <v>2.642962962962963</v>
      </c>
      <c r="AZ240">
        <v>5.9587362692592576</v>
      </c>
      <c r="BA240" s="75">
        <v>0.48264383878002159</v>
      </c>
      <c r="BB240" s="75">
        <v>0.50770488753139842</v>
      </c>
      <c r="BE240">
        <v>3.8482325623924708E-2</v>
      </c>
      <c r="BF240">
        <v>4.0480501838015132E-2</v>
      </c>
      <c r="BH240">
        <v>7.8962827461939847E-2</v>
      </c>
      <c r="BI240">
        <v>3.9481413730969923E-2</v>
      </c>
      <c r="BJ240">
        <v>0.49517436315571001</v>
      </c>
    </row>
    <row r="241" spans="1:62" x14ac:dyDescent="0.3">
      <c r="A241" s="2" t="s">
        <v>201</v>
      </c>
      <c r="B241" s="13" t="s">
        <v>869</v>
      </c>
      <c r="C241" s="13"/>
      <c r="F241" s="2">
        <v>2.2999999999999998</v>
      </c>
      <c r="G241" s="2" t="s">
        <v>207</v>
      </c>
      <c r="H241" s="32" t="s">
        <v>524</v>
      </c>
      <c r="I241" s="1" t="s">
        <v>607</v>
      </c>
      <c r="J241"/>
      <c r="L241" s="25">
        <v>0</v>
      </c>
      <c r="M241">
        <v>1</v>
      </c>
      <c r="N241">
        <v>0</v>
      </c>
      <c r="O241" s="2">
        <v>-1</v>
      </c>
      <c r="T241" s="25">
        <v>0</v>
      </c>
      <c r="U241" s="25"/>
      <c r="V241" s="25"/>
      <c r="W241">
        <v>3.9060000000000001</v>
      </c>
      <c r="X241">
        <v>21.603000000000002</v>
      </c>
      <c r="Y241">
        <v>3.8879000000000001</v>
      </c>
      <c r="Z241">
        <v>0</v>
      </c>
      <c r="AD241">
        <v>14</v>
      </c>
      <c r="AE241" s="55">
        <f t="shared" si="11"/>
        <v>0</v>
      </c>
      <c r="AF241" s="57">
        <v>0</v>
      </c>
      <c r="AG241" s="55">
        <v>328.06612625219998</v>
      </c>
      <c r="AH241" s="55">
        <v>0</v>
      </c>
      <c r="AJ241" s="51"/>
      <c r="AK241" s="52">
        <v>4.2674323496713393E-2</v>
      </c>
      <c r="AM241" s="28">
        <v>1.7272727272727271</v>
      </c>
      <c r="AN241" s="28">
        <v>2.545454545454545</v>
      </c>
      <c r="AO241" s="28">
        <v>1.4090909090909089</v>
      </c>
      <c r="AP241" s="28">
        <v>0</v>
      </c>
      <c r="AQ241" s="28">
        <v>0.30399999999999999</v>
      </c>
      <c r="AR241" s="28">
        <v>0.44800000000000001</v>
      </c>
      <c r="AS241" s="28">
        <v>0.248</v>
      </c>
      <c r="AT241" s="28">
        <v>0</v>
      </c>
      <c r="AU241" s="25">
        <v>0.82</v>
      </c>
      <c r="AV241" s="25">
        <v>3.44</v>
      </c>
      <c r="AW241" s="25">
        <v>2.62</v>
      </c>
      <c r="AX241" s="25">
        <v>2.7183636363636361</v>
      </c>
      <c r="AY241">
        <v>2.718363636363637</v>
      </c>
      <c r="AZ241">
        <v>6.1164196318636357</v>
      </c>
      <c r="BA241" s="75">
        <v>0.48450364842179561</v>
      </c>
      <c r="BF241">
        <v>2.13371617483567E-2</v>
      </c>
      <c r="BH241">
        <v>4.2674323496713393E-2</v>
      </c>
      <c r="BI241">
        <v>2.13371617483567E-2</v>
      </c>
      <c r="BJ241">
        <v>0.48450364842179561</v>
      </c>
    </row>
    <row r="242" spans="1:62" x14ac:dyDescent="0.3">
      <c r="A242" s="2" t="s">
        <v>1</v>
      </c>
      <c r="B242" s="13" t="s">
        <v>686</v>
      </c>
      <c r="C242" s="13"/>
      <c r="F242" s="2">
        <v>3.2</v>
      </c>
      <c r="G242" s="2" t="s">
        <v>207</v>
      </c>
      <c r="H242" s="9" t="s">
        <v>524</v>
      </c>
      <c r="I242" t="s">
        <v>607</v>
      </c>
      <c r="J242"/>
      <c r="L242" s="25">
        <v>1</v>
      </c>
      <c r="M242">
        <v>1</v>
      </c>
      <c r="N242">
        <v>0</v>
      </c>
      <c r="O242" s="2">
        <v>-1</v>
      </c>
      <c r="T242" s="25">
        <v>3.9327019999999999</v>
      </c>
      <c r="U242" s="25">
        <v>3.9458000000000002</v>
      </c>
      <c r="V242" s="25">
        <v>11.356398779999999</v>
      </c>
      <c r="W242">
        <v>3.9060000000000001</v>
      </c>
      <c r="X242">
        <v>21.603000000000002</v>
      </c>
      <c r="Y242">
        <v>3.8879000000000001</v>
      </c>
      <c r="Z242">
        <v>0</v>
      </c>
      <c r="AD242">
        <v>14</v>
      </c>
      <c r="AE242" s="55">
        <f t="shared" si="11"/>
        <v>0</v>
      </c>
      <c r="AF242" s="57">
        <v>173.54502164551991</v>
      </c>
      <c r="AG242" s="55">
        <v>328.06612625219998</v>
      </c>
      <c r="AH242" s="55">
        <v>0</v>
      </c>
      <c r="AJ242" s="51">
        <v>8.0670709348241429E-2</v>
      </c>
      <c r="AK242" s="52">
        <v>4.2674323496713393E-2</v>
      </c>
      <c r="AM242" s="28">
        <v>1.7272727272727271</v>
      </c>
      <c r="AN242" s="28">
        <v>2.545454545454545</v>
      </c>
      <c r="AO242" s="28">
        <v>0.81818181818181823</v>
      </c>
      <c r="AP242" s="28">
        <v>0</v>
      </c>
      <c r="AQ242" s="28">
        <v>0.3392857142857143</v>
      </c>
      <c r="AR242" s="28">
        <v>0.5</v>
      </c>
      <c r="AS242" s="28">
        <v>0.1607142857142857</v>
      </c>
      <c r="AT242" s="28">
        <v>0</v>
      </c>
      <c r="AU242" s="25">
        <v>0.82</v>
      </c>
      <c r="AV242" s="25">
        <v>3.44</v>
      </c>
      <c r="AW242" s="25">
        <v>2.62</v>
      </c>
      <c r="AX242" s="25">
        <v>2.6545454545454539</v>
      </c>
      <c r="AY242">
        <v>2.6545454545454539</v>
      </c>
      <c r="AZ242">
        <v>5.9946911436363637</v>
      </c>
      <c r="BA242" s="75">
        <v>0.48450364842179561</v>
      </c>
      <c r="BE242">
        <v>4.0335354674120701E-2</v>
      </c>
      <c r="BF242">
        <v>2.13371617483567E-2</v>
      </c>
      <c r="BH242">
        <v>6.1672516422477411E-2</v>
      </c>
      <c r="BI242">
        <v>3.0836258211238698E-2</v>
      </c>
      <c r="BJ242">
        <v>0.48450364842179561</v>
      </c>
    </row>
    <row r="243" spans="1:62" x14ac:dyDescent="0.3">
      <c r="A243" s="2" t="s">
        <v>202</v>
      </c>
      <c r="B243" s="13" t="s">
        <v>870</v>
      </c>
      <c r="C243" s="13"/>
      <c r="F243" s="2">
        <v>2.8</v>
      </c>
      <c r="G243" s="2" t="s">
        <v>207</v>
      </c>
      <c r="H243" s="32" t="s">
        <v>584</v>
      </c>
      <c r="I243" s="1" t="s">
        <v>658</v>
      </c>
      <c r="J243"/>
      <c r="L243" s="25">
        <v>0</v>
      </c>
      <c r="M243">
        <v>1</v>
      </c>
      <c r="N243">
        <v>0</v>
      </c>
      <c r="O243" s="2">
        <v>-1</v>
      </c>
      <c r="T243" s="25">
        <v>0</v>
      </c>
      <c r="U243" s="25"/>
      <c r="V243" s="25"/>
      <c r="W243">
        <v>3.8573</v>
      </c>
      <c r="X243">
        <v>3.8573</v>
      </c>
      <c r="Y243">
        <v>15.044</v>
      </c>
      <c r="Z243">
        <v>0</v>
      </c>
      <c r="AD243">
        <v>20</v>
      </c>
      <c r="AE243" s="55">
        <f t="shared" si="11"/>
        <v>0</v>
      </c>
      <c r="AF243" s="57">
        <v>0</v>
      </c>
      <c r="AG243" s="55">
        <v>223.83611493475999</v>
      </c>
      <c r="AH243" s="55">
        <v>0</v>
      </c>
      <c r="AJ243" s="51"/>
      <c r="AK243" s="52">
        <v>8.9351086199066954E-2</v>
      </c>
      <c r="AM243" s="28">
        <v>1.9375</v>
      </c>
      <c r="AN243" s="28">
        <v>2.5</v>
      </c>
      <c r="AO243" s="28">
        <v>0.625</v>
      </c>
      <c r="AP243" s="28">
        <v>2.625</v>
      </c>
      <c r="AQ243" s="28">
        <v>0.25203252032520318</v>
      </c>
      <c r="AR243" s="28">
        <v>0.32520325203252032</v>
      </c>
      <c r="AS243" s="28">
        <v>8.1300813008130079E-2</v>
      </c>
      <c r="AT243" s="28">
        <v>0.34146341463414642</v>
      </c>
      <c r="AU243" s="25">
        <v>0.82</v>
      </c>
      <c r="AV243" s="25">
        <v>3.44</v>
      </c>
      <c r="AW243" s="25">
        <v>2.62</v>
      </c>
      <c r="AX243" s="25">
        <v>2.6142500000000002</v>
      </c>
      <c r="AY243">
        <v>2.6142500000000002</v>
      </c>
      <c r="AZ243">
        <v>5.9930639130937511</v>
      </c>
      <c r="BA243" s="75">
        <v>0.5100369583648936</v>
      </c>
      <c r="BB243" s="75">
        <v>0.54203706385343264</v>
      </c>
      <c r="BF243">
        <v>4.4675543099533477E-2</v>
      </c>
      <c r="BH243">
        <v>8.9351086199066954E-2</v>
      </c>
      <c r="BI243">
        <v>4.4675543099533477E-2</v>
      </c>
      <c r="BJ243">
        <v>0.52603701110916312</v>
      </c>
    </row>
    <row r="244" spans="1:62" x14ac:dyDescent="0.3">
      <c r="A244" s="2" t="s">
        <v>203</v>
      </c>
      <c r="B244" s="13" t="s">
        <v>803</v>
      </c>
      <c r="C244" s="13"/>
      <c r="F244" s="2">
        <v>4.5</v>
      </c>
      <c r="G244" s="2" t="s">
        <v>207</v>
      </c>
      <c r="H244" s="9" t="s">
        <v>584</v>
      </c>
      <c r="I244" t="s">
        <v>658</v>
      </c>
      <c r="J244"/>
      <c r="L244" s="25">
        <v>1</v>
      </c>
      <c r="M244">
        <v>1</v>
      </c>
      <c r="N244">
        <v>0</v>
      </c>
      <c r="O244" s="2">
        <v>-1</v>
      </c>
      <c r="Q244" s="2">
        <v>15.05</v>
      </c>
      <c r="T244" s="25">
        <v>3.9414189999999998</v>
      </c>
      <c r="U244" s="25">
        <v>3.9414189999999998</v>
      </c>
      <c r="V244" s="25">
        <v>15.312718</v>
      </c>
      <c r="W244">
        <v>3.8573</v>
      </c>
      <c r="X244">
        <v>3.8573</v>
      </c>
      <c r="Y244">
        <v>15.044</v>
      </c>
      <c r="Z244">
        <v>0</v>
      </c>
      <c r="AD244">
        <v>20</v>
      </c>
      <c r="AE244" s="55">
        <f t="shared" si="11"/>
        <v>0</v>
      </c>
      <c r="AF244" s="57">
        <v>237.8797625030067</v>
      </c>
      <c r="AG244" s="55">
        <v>223.83611493475999</v>
      </c>
      <c r="AH244" s="55">
        <v>0</v>
      </c>
      <c r="AJ244" s="51">
        <v>8.4076088648975381E-2</v>
      </c>
      <c r="AK244" s="52">
        <v>8.9351086199066954E-2</v>
      </c>
      <c r="AM244" s="28">
        <v>1.9375</v>
      </c>
      <c r="AN244" s="28">
        <v>2.5</v>
      </c>
      <c r="AO244" s="28">
        <v>0.5625</v>
      </c>
      <c r="AP244" s="28">
        <v>2.625</v>
      </c>
      <c r="AQ244" s="28">
        <v>0.25409836065573771</v>
      </c>
      <c r="AR244" s="28">
        <v>0.32786885245901642</v>
      </c>
      <c r="AS244" s="28">
        <v>7.3770491803278687E-2</v>
      </c>
      <c r="AT244" s="28">
        <v>0.34426229508196721</v>
      </c>
      <c r="AU244" s="25">
        <v>0.82</v>
      </c>
      <c r="AV244" s="25">
        <v>3.44</v>
      </c>
      <c r="AW244" s="25">
        <v>2.62</v>
      </c>
      <c r="AX244" s="25">
        <v>2.6074999999999999</v>
      </c>
      <c r="AY244">
        <v>2.6074999999999999</v>
      </c>
      <c r="AZ244">
        <v>5.9796291640625006</v>
      </c>
      <c r="BA244" s="75">
        <v>0.5100369583648936</v>
      </c>
      <c r="BB244" s="75">
        <v>0.54203706385343264</v>
      </c>
      <c r="BE244">
        <v>4.203804432448769E-2</v>
      </c>
      <c r="BF244">
        <v>4.4675543099533477E-2</v>
      </c>
      <c r="BH244">
        <v>8.671358742402116E-2</v>
      </c>
      <c r="BI244">
        <v>4.335679371201058E-2</v>
      </c>
      <c r="BJ244">
        <v>0.52603701110916312</v>
      </c>
    </row>
    <row r="245" spans="1:62" x14ac:dyDescent="0.3">
      <c r="A245" s="2" t="s">
        <v>204</v>
      </c>
      <c r="B245" s="13" t="s">
        <v>804</v>
      </c>
      <c r="C245" s="13"/>
      <c r="F245" s="2">
        <v>4.8</v>
      </c>
      <c r="G245" s="2" t="s">
        <v>207</v>
      </c>
      <c r="H245" s="9" t="s">
        <v>585</v>
      </c>
      <c r="I245" t="s">
        <v>659</v>
      </c>
      <c r="J245"/>
      <c r="L245" s="25">
        <v>2</v>
      </c>
      <c r="M245">
        <v>6</v>
      </c>
      <c r="N245">
        <v>0</v>
      </c>
      <c r="O245" s="2">
        <v>-1</v>
      </c>
      <c r="T245" s="25">
        <v>5.4445069999999998</v>
      </c>
      <c r="U245" s="25">
        <v>5.4445069999999998</v>
      </c>
      <c r="V245" s="25">
        <v>3.9426230000000002</v>
      </c>
      <c r="W245">
        <v>5.15428</v>
      </c>
      <c r="X245">
        <v>5.1542800000000009</v>
      </c>
      <c r="Y245">
        <v>13.7835</v>
      </c>
      <c r="Z245">
        <v>0</v>
      </c>
      <c r="AD245">
        <v>6</v>
      </c>
      <c r="AE245" s="55">
        <f t="shared" si="11"/>
        <v>0</v>
      </c>
      <c r="AF245" s="57">
        <v>116.8698191917419</v>
      </c>
      <c r="AG245" s="55">
        <v>317.12184318337751</v>
      </c>
      <c r="AH245" s="55">
        <v>0</v>
      </c>
      <c r="AJ245" s="51">
        <v>0.10267834829377349</v>
      </c>
      <c r="AK245" s="52">
        <v>0.1135210354437263</v>
      </c>
      <c r="AM245" s="28">
        <v>1.8</v>
      </c>
      <c r="AN245" s="28">
        <v>2.4</v>
      </c>
      <c r="AO245" s="28">
        <v>0.6</v>
      </c>
      <c r="AP245" s="28">
        <v>2.8</v>
      </c>
      <c r="AQ245" s="28">
        <v>0.23684210526315791</v>
      </c>
      <c r="AR245" s="28">
        <v>0.31578947368421051</v>
      </c>
      <c r="AS245" s="28">
        <v>7.8947368421052627E-2</v>
      </c>
      <c r="AT245" s="28">
        <v>0.36842105263157893</v>
      </c>
      <c r="AU245" s="25">
        <v>0.98</v>
      </c>
      <c r="AV245" s="25">
        <v>3.44</v>
      </c>
      <c r="AW245" s="25">
        <v>2.46</v>
      </c>
      <c r="AX245" s="25">
        <v>2.56</v>
      </c>
      <c r="AY245">
        <v>2.56</v>
      </c>
      <c r="AZ245">
        <v>5.9119936115999998</v>
      </c>
      <c r="BA245" s="75">
        <v>0.51645314797839414</v>
      </c>
      <c r="BB245" s="75">
        <v>0</v>
      </c>
      <c r="BE245">
        <v>5.1339174146886712E-2</v>
      </c>
      <c r="BF245">
        <v>5.6760517721863142E-2</v>
      </c>
      <c r="BH245">
        <v>0.1080996918687499</v>
      </c>
      <c r="BI245">
        <v>5.4049845934374917E-2</v>
      </c>
      <c r="BJ245">
        <v>0.25822657398919707</v>
      </c>
    </row>
    <row r="246" spans="1:62" x14ac:dyDescent="0.3">
      <c r="A246" s="2" t="s">
        <v>28</v>
      </c>
      <c r="B246" s="13" t="s">
        <v>805</v>
      </c>
      <c r="C246" s="13"/>
      <c r="F246" s="2">
        <v>4</v>
      </c>
      <c r="G246" s="2" t="s">
        <v>207</v>
      </c>
      <c r="H246" s="9" t="s">
        <v>586</v>
      </c>
      <c r="I246" t="s">
        <v>660</v>
      </c>
      <c r="J246"/>
      <c r="L246" s="25">
        <v>8</v>
      </c>
      <c r="M246">
        <v>4</v>
      </c>
      <c r="N246">
        <v>0</v>
      </c>
      <c r="O246" s="2">
        <v>-1</v>
      </c>
      <c r="T246" s="25">
        <v>7.5714817599999993</v>
      </c>
      <c r="U246" s="25">
        <v>7.4441355800000002</v>
      </c>
      <c r="V246" s="25">
        <v>14.785262019999999</v>
      </c>
      <c r="W246">
        <v>5.4767999999999999</v>
      </c>
      <c r="X246">
        <v>5.5212000000000003</v>
      </c>
      <c r="Y246">
        <v>7.7889999999999997</v>
      </c>
      <c r="Z246">
        <v>0</v>
      </c>
      <c r="AD246">
        <v>6</v>
      </c>
      <c r="AE246" s="55">
        <f t="shared" si="11"/>
        <v>0</v>
      </c>
      <c r="AF246" s="57">
        <v>583.54908217201648</v>
      </c>
      <c r="AG246" s="55">
        <v>235.52774005824</v>
      </c>
      <c r="AH246" s="55">
        <v>0</v>
      </c>
      <c r="AJ246" s="51">
        <v>8.2255291742281814E-2</v>
      </c>
      <c r="AK246" s="52">
        <v>0.10189882514078979</v>
      </c>
      <c r="AM246" s="28">
        <v>1.8</v>
      </c>
      <c r="AN246" s="28">
        <v>2.4</v>
      </c>
      <c r="AO246" s="28">
        <v>0.6</v>
      </c>
      <c r="AP246" s="28">
        <v>2.8</v>
      </c>
      <c r="AQ246" s="28">
        <v>0.23684210526315791</v>
      </c>
      <c r="AR246" s="28">
        <v>0.31578947368421051</v>
      </c>
      <c r="AS246" s="28">
        <v>7.8947368421052627E-2</v>
      </c>
      <c r="AT246" s="28">
        <v>0.36842105263157893</v>
      </c>
      <c r="AU246" s="25">
        <v>0.93</v>
      </c>
      <c r="AV246" s="25">
        <v>3.44</v>
      </c>
      <c r="AW246" s="25">
        <v>2.5099999999999998</v>
      </c>
      <c r="AX246" s="25">
        <v>2.5499999999999998</v>
      </c>
      <c r="AY246">
        <v>2.5499999999999998</v>
      </c>
      <c r="AZ246">
        <v>5.8797175109999991</v>
      </c>
      <c r="BA246" s="75">
        <v>0.46150059156666667</v>
      </c>
      <c r="BB246" s="75">
        <v>0.57171237359127625</v>
      </c>
      <c r="BE246">
        <v>4.1127645871140907E-2</v>
      </c>
      <c r="BF246">
        <v>5.0949412570394918E-2</v>
      </c>
      <c r="BH246">
        <v>9.2077058441535797E-2</v>
      </c>
      <c r="BI246">
        <v>4.6038529220767913E-2</v>
      </c>
      <c r="BJ246">
        <v>0.51660648257897146</v>
      </c>
    </row>
    <row r="247" spans="1:62" x14ac:dyDescent="0.3">
      <c r="A247" s="2" t="s">
        <v>205</v>
      </c>
      <c r="B247" s="13" t="s">
        <v>871</v>
      </c>
      <c r="C247" s="13"/>
      <c r="F247" s="2">
        <v>2.8</v>
      </c>
      <c r="G247" s="2" t="s">
        <v>207</v>
      </c>
      <c r="H247" s="32" t="s">
        <v>585</v>
      </c>
      <c r="I247" s="1" t="s">
        <v>659</v>
      </c>
      <c r="J247"/>
      <c r="L247" s="25">
        <v>0</v>
      </c>
      <c r="M247">
        <v>6</v>
      </c>
      <c r="N247">
        <v>0</v>
      </c>
      <c r="O247" s="2">
        <v>-1</v>
      </c>
      <c r="T247" s="25">
        <v>0</v>
      </c>
      <c r="U247" s="25"/>
      <c r="V247" s="25"/>
      <c r="W247">
        <v>5.15428</v>
      </c>
      <c r="X247">
        <v>5.1542800000000009</v>
      </c>
      <c r="Y247">
        <v>13.7835</v>
      </c>
      <c r="Z247">
        <v>0</v>
      </c>
      <c r="AD247">
        <v>6</v>
      </c>
      <c r="AE247" s="55">
        <f t="shared" si="11"/>
        <v>0</v>
      </c>
      <c r="AF247" s="57">
        <v>0</v>
      </c>
      <c r="AG247" s="55">
        <v>317.12184318337751</v>
      </c>
      <c r="AH247" s="55">
        <v>0</v>
      </c>
      <c r="AJ247" s="51"/>
      <c r="AK247" s="52">
        <v>0.1135210354437263</v>
      </c>
      <c r="AM247" s="28">
        <v>1.8</v>
      </c>
      <c r="AN247" s="28">
        <v>2.4</v>
      </c>
      <c r="AO247" s="28">
        <v>0.64</v>
      </c>
      <c r="AP247" s="28">
        <v>2.8</v>
      </c>
      <c r="AQ247" s="28">
        <v>0.2356020942408377</v>
      </c>
      <c r="AR247" s="28">
        <v>0.3141361256544502</v>
      </c>
      <c r="AS247" s="28">
        <v>8.3769633507853394E-2</v>
      </c>
      <c r="AT247" s="28">
        <v>0.36649214659685858</v>
      </c>
      <c r="AU247" s="25">
        <v>0.98</v>
      </c>
      <c r="AV247" s="25">
        <v>3.44</v>
      </c>
      <c r="AW247" s="25">
        <v>2.46</v>
      </c>
      <c r="AX247" s="25">
        <v>2.5636800000000002</v>
      </c>
      <c r="AY247">
        <v>2.5636800000000002</v>
      </c>
      <c r="AZ247">
        <v>5.9178984111680002</v>
      </c>
      <c r="BA247" s="75">
        <v>0.51645314797839414</v>
      </c>
      <c r="BB247" s="75">
        <v>0</v>
      </c>
      <c r="BF247">
        <v>5.6760517721863142E-2</v>
      </c>
      <c r="BH247">
        <v>0.1135210354437263</v>
      </c>
      <c r="BI247">
        <v>5.6760517721863142E-2</v>
      </c>
      <c r="BJ247">
        <v>0.25822657398919707</v>
      </c>
    </row>
    <row r="248" spans="1:62" x14ac:dyDescent="0.3">
      <c r="A248" s="2" t="s">
        <v>206</v>
      </c>
      <c r="B248" s="13" t="s">
        <v>872</v>
      </c>
      <c r="C248" s="13"/>
      <c r="F248" s="2">
        <v>2</v>
      </c>
      <c r="G248" s="2" t="s">
        <v>207</v>
      </c>
      <c r="H248" s="32" t="s">
        <v>586</v>
      </c>
      <c r="I248" s="1" t="s">
        <v>660</v>
      </c>
      <c r="J248"/>
      <c r="L248" s="25">
        <v>0</v>
      </c>
      <c r="M248">
        <v>4</v>
      </c>
      <c r="N248">
        <v>0</v>
      </c>
      <c r="O248" s="2">
        <v>-1</v>
      </c>
      <c r="T248" s="25">
        <v>0</v>
      </c>
      <c r="U248" s="25"/>
      <c r="V248" s="25"/>
      <c r="W248">
        <v>5.4767999999999999</v>
      </c>
      <c r="X248">
        <v>5.5212000000000003</v>
      </c>
      <c r="Y248">
        <v>7.7889999999999997</v>
      </c>
      <c r="Z248">
        <v>0</v>
      </c>
      <c r="AD248">
        <v>6</v>
      </c>
      <c r="AE248" s="55">
        <f t="shared" si="11"/>
        <v>0</v>
      </c>
      <c r="AF248" s="57">
        <v>0</v>
      </c>
      <c r="AG248" s="55">
        <v>235.52774005824</v>
      </c>
      <c r="AH248" s="55">
        <v>0</v>
      </c>
      <c r="AJ248" s="51"/>
      <c r="AK248" s="52">
        <v>0.10189882514078979</v>
      </c>
      <c r="AM248" s="28">
        <v>1.8</v>
      </c>
      <c r="AN248" s="28">
        <v>2.4</v>
      </c>
      <c r="AO248" s="28">
        <v>0.78</v>
      </c>
      <c r="AP248" s="28">
        <v>2.8</v>
      </c>
      <c r="AQ248" s="28">
        <v>0.23136246786632389</v>
      </c>
      <c r="AR248" s="28">
        <v>0.30848329048843193</v>
      </c>
      <c r="AS248" s="28">
        <v>0.10025706940874041</v>
      </c>
      <c r="AT248" s="28">
        <v>0.35989717223650391</v>
      </c>
      <c r="AU248" s="25">
        <v>0.93</v>
      </c>
      <c r="AV248" s="25">
        <v>3.44</v>
      </c>
      <c r="AW248" s="25">
        <v>2.5099999999999998</v>
      </c>
      <c r="AX248" s="25">
        <v>2.5674600000000001</v>
      </c>
      <c r="AY248">
        <v>2.5674600000000001</v>
      </c>
      <c r="AZ248">
        <v>5.9091939581100004</v>
      </c>
      <c r="BA248" s="75">
        <v>0.46150059156666667</v>
      </c>
      <c r="BB248" s="75">
        <v>0.57171237359127625</v>
      </c>
      <c r="BF248">
        <v>5.0949412570394918E-2</v>
      </c>
      <c r="BH248">
        <v>0.10189882514078979</v>
      </c>
      <c r="BI248">
        <v>5.0949412570394918E-2</v>
      </c>
      <c r="BJ248">
        <v>0.51660648257897146</v>
      </c>
    </row>
    <row r="249" spans="1:62" x14ac:dyDescent="0.3">
      <c r="A249" s="2" t="s">
        <v>153</v>
      </c>
      <c r="B249" s="13" t="s">
        <v>775</v>
      </c>
      <c r="C249" s="13"/>
      <c r="F249" s="2">
        <v>3.36</v>
      </c>
      <c r="G249" s="2" t="s">
        <v>208</v>
      </c>
      <c r="H249" s="9" t="s">
        <v>578</v>
      </c>
      <c r="I249">
        <v>-1</v>
      </c>
      <c r="J249"/>
      <c r="K249" s="2">
        <v>1</v>
      </c>
      <c r="L249" s="25">
        <v>1</v>
      </c>
      <c r="M249">
        <v>0</v>
      </c>
      <c r="N249">
        <v>0</v>
      </c>
      <c r="O249" s="2">
        <v>3.8860000000000001</v>
      </c>
      <c r="P249" s="2">
        <v>3.8860000000000001</v>
      </c>
      <c r="Q249" s="2">
        <v>10.548299999999999</v>
      </c>
      <c r="R249" s="2" t="s">
        <v>1097</v>
      </c>
      <c r="T249" s="25">
        <v>3.9263319999999999</v>
      </c>
      <c r="U249" s="25">
        <v>3.9263319999999999</v>
      </c>
      <c r="V249" s="25">
        <v>10.74639</v>
      </c>
      <c r="W249">
        <v>0</v>
      </c>
      <c r="Z249">
        <v>0</v>
      </c>
      <c r="AD249">
        <v>14</v>
      </c>
      <c r="AE249" s="55">
        <f t="shared" si="11"/>
        <v>159.28983610679998</v>
      </c>
      <c r="AF249" s="57">
        <v>165.66723991337099</v>
      </c>
      <c r="AG249" s="55">
        <v>0</v>
      </c>
      <c r="AH249" s="55">
        <v>0</v>
      </c>
      <c r="AJ249" s="51">
        <v>8.4506749839743392E-2</v>
      </c>
      <c r="AM249" s="28">
        <v>1.7272727272727271</v>
      </c>
      <c r="AN249" s="28">
        <v>2.545454545454545</v>
      </c>
      <c r="AO249" s="28">
        <v>0.81818181818181823</v>
      </c>
      <c r="AP249" s="28">
        <v>0</v>
      </c>
      <c r="AQ249" s="28">
        <v>0.3392857142857143</v>
      </c>
      <c r="AR249" s="28">
        <v>0.5</v>
      </c>
      <c r="AS249" s="28">
        <v>0.1607142857142857</v>
      </c>
      <c r="AT249" s="28">
        <v>0</v>
      </c>
      <c r="AU249" s="25">
        <v>1.1000000000000001</v>
      </c>
      <c r="AV249" s="25">
        <v>3.44</v>
      </c>
      <c r="AW249" s="25">
        <v>2.34</v>
      </c>
      <c r="AX249" s="25">
        <v>2.78</v>
      </c>
      <c r="AY249">
        <v>2.78</v>
      </c>
      <c r="AZ249">
        <v>6.4270052227137269</v>
      </c>
      <c r="BA249" s="75">
        <v>0.41874886813759421</v>
      </c>
      <c r="BD249">
        <v>4.3945051178950742E-2</v>
      </c>
      <c r="BE249">
        <v>4.2253374919871717E-2</v>
      </c>
      <c r="BH249">
        <v>8.4506749839743392E-2</v>
      </c>
      <c r="BI249">
        <v>4.3099213049411229E-2</v>
      </c>
      <c r="BJ249">
        <v>0.41874886813759421</v>
      </c>
    </row>
    <row r="250" spans="1:62" x14ac:dyDescent="0.3">
      <c r="A250" s="2" t="s">
        <v>153</v>
      </c>
      <c r="B250" s="13" t="s">
        <v>775</v>
      </c>
      <c r="C250" s="13"/>
      <c r="D250" s="2" t="s">
        <v>964</v>
      </c>
      <c r="E250" s="2">
        <v>0.66</v>
      </c>
      <c r="F250" s="2">
        <v>3.48</v>
      </c>
      <c r="G250" s="2" t="s">
        <v>208</v>
      </c>
      <c r="H250" s="9" t="s">
        <v>578</v>
      </c>
      <c r="I250">
        <v>-1</v>
      </c>
      <c r="J250"/>
      <c r="K250" s="2">
        <v>1</v>
      </c>
      <c r="L250" s="25">
        <v>1</v>
      </c>
      <c r="M250">
        <v>0</v>
      </c>
      <c r="N250">
        <v>0</v>
      </c>
      <c r="O250" s="2">
        <v>3.8860000000000001</v>
      </c>
      <c r="P250" s="2">
        <v>3.8860000000000001</v>
      </c>
      <c r="Q250" s="2">
        <v>10.548299999999999</v>
      </c>
      <c r="R250" s="2" t="s">
        <v>1097</v>
      </c>
      <c r="T250" s="25">
        <v>3.9263319999999999</v>
      </c>
      <c r="U250" s="25">
        <v>3.9263319999999999</v>
      </c>
      <c r="V250" s="25">
        <v>10.74639</v>
      </c>
      <c r="W250">
        <v>0</v>
      </c>
      <c r="Z250">
        <v>0</v>
      </c>
      <c r="AD250">
        <v>14</v>
      </c>
      <c r="AE250" s="55">
        <f t="shared" si="11"/>
        <v>159.28983610679998</v>
      </c>
      <c r="AF250" s="57">
        <v>165.66723991337099</v>
      </c>
      <c r="AG250" s="55">
        <v>0</v>
      </c>
      <c r="AH250" s="55">
        <v>0</v>
      </c>
      <c r="AJ250" s="51">
        <v>8.4506749839743392E-2</v>
      </c>
      <c r="AM250" s="28">
        <v>1.7272727272727271</v>
      </c>
      <c r="AN250" s="28">
        <v>2.545454545454545</v>
      </c>
      <c r="AO250" s="28">
        <v>0.81818181818181823</v>
      </c>
      <c r="AP250" s="28">
        <v>0</v>
      </c>
      <c r="AQ250" s="28">
        <v>0.3392857142857143</v>
      </c>
      <c r="AR250" s="28">
        <v>0.5</v>
      </c>
      <c r="AS250" s="28">
        <v>0.1607142857142857</v>
      </c>
      <c r="AT250" s="28">
        <v>0</v>
      </c>
      <c r="AU250" s="25">
        <v>1.1000000000000001</v>
      </c>
      <c r="AV250" s="25">
        <v>3.44</v>
      </c>
      <c r="AW250" s="25">
        <v>2.34</v>
      </c>
      <c r="AX250" s="25">
        <v>2.78</v>
      </c>
      <c r="AY250">
        <v>2.78</v>
      </c>
      <c r="AZ250">
        <v>6.4270052227137269</v>
      </c>
      <c r="BA250" s="75">
        <v>0.41874886813759421</v>
      </c>
      <c r="BD250">
        <v>4.3945051178950742E-2</v>
      </c>
      <c r="BE250">
        <v>4.2253374919871717E-2</v>
      </c>
      <c r="BH250">
        <v>8.4506749839743392E-2</v>
      </c>
      <c r="BI250">
        <v>4.3099213049411229E-2</v>
      </c>
      <c r="BJ250">
        <v>0.41874886813759421</v>
      </c>
    </row>
    <row r="251" spans="1:62" x14ac:dyDescent="0.3">
      <c r="A251" s="2" t="s">
        <v>153</v>
      </c>
      <c r="B251" s="13" t="s">
        <v>775</v>
      </c>
      <c r="C251" s="13"/>
      <c r="D251" s="2" t="s">
        <v>964</v>
      </c>
      <c r="E251" s="2">
        <f>E250*2</f>
        <v>1.32</v>
      </c>
      <c r="F251" s="2">
        <v>3.47</v>
      </c>
      <c r="G251" s="2" t="s">
        <v>208</v>
      </c>
      <c r="H251" s="9" t="s">
        <v>578</v>
      </c>
      <c r="I251">
        <v>-1</v>
      </c>
      <c r="J251"/>
      <c r="K251" s="2">
        <v>1</v>
      </c>
      <c r="L251" s="25">
        <v>1</v>
      </c>
      <c r="M251">
        <v>0</v>
      </c>
      <c r="N251">
        <v>0</v>
      </c>
      <c r="O251" s="2">
        <v>3.8860000000000001</v>
      </c>
      <c r="P251" s="2">
        <v>3.8860000000000001</v>
      </c>
      <c r="Q251" s="2">
        <v>10.548299999999999</v>
      </c>
      <c r="R251" s="2" t="s">
        <v>1097</v>
      </c>
      <c r="T251" s="25">
        <v>3.9263319999999999</v>
      </c>
      <c r="U251" s="25">
        <v>3.9263319999999999</v>
      </c>
      <c r="V251" s="25">
        <v>10.74639</v>
      </c>
      <c r="W251">
        <v>0</v>
      </c>
      <c r="Z251">
        <v>0</v>
      </c>
      <c r="AD251">
        <v>14</v>
      </c>
      <c r="AE251" s="55">
        <f t="shared" si="11"/>
        <v>159.28983610679998</v>
      </c>
      <c r="AF251" s="57">
        <v>165.66723991337099</v>
      </c>
      <c r="AG251" s="55">
        <v>0</v>
      </c>
      <c r="AH251" s="55">
        <v>0</v>
      </c>
      <c r="AJ251" s="51">
        <v>8.4506749839743392E-2</v>
      </c>
      <c r="AM251" s="28">
        <v>1.7272727272727271</v>
      </c>
      <c r="AN251" s="28">
        <v>2.545454545454545</v>
      </c>
      <c r="AO251" s="28">
        <v>0.81818181818181823</v>
      </c>
      <c r="AP251" s="28">
        <v>0</v>
      </c>
      <c r="AQ251" s="28">
        <v>0.3392857142857143</v>
      </c>
      <c r="AR251" s="28">
        <v>0.5</v>
      </c>
      <c r="AS251" s="28">
        <v>0.1607142857142857</v>
      </c>
      <c r="AT251" s="28">
        <v>0</v>
      </c>
      <c r="AU251" s="25">
        <v>1.1000000000000001</v>
      </c>
      <c r="AV251" s="25">
        <v>3.44</v>
      </c>
      <c r="AW251" s="25">
        <v>2.34</v>
      </c>
      <c r="AX251" s="25">
        <v>2.78</v>
      </c>
      <c r="AY251">
        <v>2.78</v>
      </c>
      <c r="AZ251">
        <v>6.4270052227137269</v>
      </c>
      <c r="BA251" s="75">
        <v>0.41874886813759421</v>
      </c>
      <c r="BD251">
        <v>4.3945051178950742E-2</v>
      </c>
      <c r="BE251">
        <v>4.2253374919871717E-2</v>
      </c>
      <c r="BH251">
        <v>8.4506749839743392E-2</v>
      </c>
      <c r="BI251">
        <v>4.3099213049411229E-2</v>
      </c>
      <c r="BJ251">
        <v>0.41874886813759421</v>
      </c>
    </row>
    <row r="252" spans="1:62" x14ac:dyDescent="0.3">
      <c r="A252" s="2" t="s">
        <v>153</v>
      </c>
      <c r="B252" s="13" t="s">
        <v>775</v>
      </c>
      <c r="C252" s="13"/>
      <c r="D252" s="2" t="s">
        <v>964</v>
      </c>
      <c r="E252" s="2">
        <f>E250*3</f>
        <v>1.98</v>
      </c>
      <c r="F252" s="2">
        <v>3.41</v>
      </c>
      <c r="G252" s="2" t="s">
        <v>208</v>
      </c>
      <c r="H252" s="9" t="s">
        <v>578</v>
      </c>
      <c r="I252">
        <v>-1</v>
      </c>
      <c r="J252"/>
      <c r="K252" s="2">
        <v>1</v>
      </c>
      <c r="L252" s="25">
        <v>1</v>
      </c>
      <c r="M252">
        <v>0</v>
      </c>
      <c r="N252">
        <v>0</v>
      </c>
      <c r="O252" s="2">
        <v>3.8860000000000001</v>
      </c>
      <c r="P252" s="2">
        <v>3.8860000000000001</v>
      </c>
      <c r="Q252" s="2">
        <v>10.548299999999999</v>
      </c>
      <c r="R252" s="2" t="s">
        <v>1097</v>
      </c>
      <c r="T252" s="25">
        <v>3.9263319999999999</v>
      </c>
      <c r="U252" s="25">
        <v>3.9263319999999999</v>
      </c>
      <c r="V252" s="25">
        <v>10.74639</v>
      </c>
      <c r="W252">
        <v>0</v>
      </c>
      <c r="Z252">
        <v>0</v>
      </c>
      <c r="AD252">
        <v>14</v>
      </c>
      <c r="AE252" s="55">
        <f t="shared" si="11"/>
        <v>159.28983610679998</v>
      </c>
      <c r="AF252" s="57">
        <v>165.66723991337099</v>
      </c>
      <c r="AG252" s="55">
        <v>0</v>
      </c>
      <c r="AH252" s="55">
        <v>0</v>
      </c>
      <c r="AJ252" s="51">
        <v>8.4506749839743392E-2</v>
      </c>
      <c r="AM252" s="28">
        <v>1.7272727272727271</v>
      </c>
      <c r="AN252" s="28">
        <v>2.545454545454545</v>
      </c>
      <c r="AO252" s="28">
        <v>0.81818181818181823</v>
      </c>
      <c r="AP252" s="28">
        <v>0</v>
      </c>
      <c r="AQ252" s="28">
        <v>0.3392857142857143</v>
      </c>
      <c r="AR252" s="28">
        <v>0.5</v>
      </c>
      <c r="AS252" s="28">
        <v>0.1607142857142857</v>
      </c>
      <c r="AT252" s="28">
        <v>0</v>
      </c>
      <c r="AU252" s="25">
        <v>1.1000000000000001</v>
      </c>
      <c r="AV252" s="25">
        <v>3.44</v>
      </c>
      <c r="AW252" s="25">
        <v>2.34</v>
      </c>
      <c r="AX252" s="25">
        <v>2.78</v>
      </c>
      <c r="AY252">
        <v>2.78</v>
      </c>
      <c r="AZ252">
        <v>6.4270052227137269</v>
      </c>
      <c r="BA252" s="75">
        <v>0.41874886813759421</v>
      </c>
      <c r="BD252">
        <v>4.3945051178950742E-2</v>
      </c>
      <c r="BE252">
        <v>4.2253374919871717E-2</v>
      </c>
      <c r="BH252">
        <v>8.4506749839743392E-2</v>
      </c>
      <c r="BI252">
        <v>4.3099213049411229E-2</v>
      </c>
      <c r="BJ252">
        <v>0.41874886813759421</v>
      </c>
    </row>
    <row r="253" spans="1:62" x14ac:dyDescent="0.3">
      <c r="A253" s="2" t="s">
        <v>153</v>
      </c>
      <c r="B253" s="13" t="s">
        <v>775</v>
      </c>
      <c r="C253" s="13"/>
      <c r="D253" s="2" t="s">
        <v>964</v>
      </c>
      <c r="E253" s="2">
        <f>E250*4</f>
        <v>2.64</v>
      </c>
      <c r="F253" s="2">
        <v>3.42</v>
      </c>
      <c r="G253" s="2" t="s">
        <v>208</v>
      </c>
      <c r="H253" s="9" t="s">
        <v>578</v>
      </c>
      <c r="I253">
        <v>-1</v>
      </c>
      <c r="J253"/>
      <c r="K253" s="2">
        <v>1</v>
      </c>
      <c r="L253" s="25">
        <v>1</v>
      </c>
      <c r="M253">
        <v>0</v>
      </c>
      <c r="N253">
        <v>0</v>
      </c>
      <c r="O253" s="2">
        <v>3.8860000000000001</v>
      </c>
      <c r="P253" s="2">
        <v>3.8860000000000001</v>
      </c>
      <c r="Q253" s="2">
        <v>10.548299999999999</v>
      </c>
      <c r="R253" s="2" t="s">
        <v>1097</v>
      </c>
      <c r="T253" s="25">
        <v>3.9263319999999999</v>
      </c>
      <c r="U253" s="25">
        <v>3.9263319999999999</v>
      </c>
      <c r="V253" s="25">
        <v>10.74639</v>
      </c>
      <c r="W253">
        <v>0</v>
      </c>
      <c r="Z253">
        <v>0</v>
      </c>
      <c r="AD253">
        <v>14</v>
      </c>
      <c r="AE253" s="55">
        <f t="shared" si="11"/>
        <v>159.28983610679998</v>
      </c>
      <c r="AF253" s="57">
        <v>165.66723991337099</v>
      </c>
      <c r="AG253" s="55">
        <v>0</v>
      </c>
      <c r="AH253" s="55">
        <v>0</v>
      </c>
      <c r="AJ253" s="51">
        <v>8.4506749839743392E-2</v>
      </c>
      <c r="AM253" s="28">
        <v>1.7272727272727271</v>
      </c>
      <c r="AN253" s="28">
        <v>2.545454545454545</v>
      </c>
      <c r="AO253" s="28">
        <v>0.81818181818181823</v>
      </c>
      <c r="AP253" s="28">
        <v>0</v>
      </c>
      <c r="AQ253" s="28">
        <v>0.3392857142857143</v>
      </c>
      <c r="AR253" s="28">
        <v>0.5</v>
      </c>
      <c r="AS253" s="28">
        <v>0.1607142857142857</v>
      </c>
      <c r="AT253" s="28">
        <v>0</v>
      </c>
      <c r="AU253" s="25">
        <v>1.1000000000000001</v>
      </c>
      <c r="AV253" s="25">
        <v>3.44</v>
      </c>
      <c r="AW253" s="25">
        <v>2.34</v>
      </c>
      <c r="AX253" s="25">
        <v>2.78</v>
      </c>
      <c r="AY253">
        <v>2.78</v>
      </c>
      <c r="AZ253">
        <v>6.4270052227137269</v>
      </c>
      <c r="BA253" s="75">
        <v>0.41874886813759421</v>
      </c>
      <c r="BD253">
        <v>4.3945051178950742E-2</v>
      </c>
      <c r="BE253">
        <v>4.2253374919871717E-2</v>
      </c>
      <c r="BH253">
        <v>8.4506749839743392E-2</v>
      </c>
      <c r="BI253">
        <v>4.3099213049411229E-2</v>
      </c>
      <c r="BJ253">
        <v>0.41874886813759421</v>
      </c>
    </row>
    <row r="254" spans="1:62" x14ac:dyDescent="0.3">
      <c r="A254" s="2" t="s">
        <v>153</v>
      </c>
      <c r="B254" s="13" t="s">
        <v>775</v>
      </c>
      <c r="C254" s="13"/>
      <c r="D254" s="2" t="s">
        <v>964</v>
      </c>
      <c r="E254" s="2">
        <f>E250*6</f>
        <v>3.96</v>
      </c>
      <c r="F254" s="2">
        <v>3.44</v>
      </c>
      <c r="G254" s="2" t="s">
        <v>208</v>
      </c>
      <c r="H254" s="9" t="s">
        <v>578</v>
      </c>
      <c r="I254">
        <v>-1</v>
      </c>
      <c r="J254"/>
      <c r="K254" s="2">
        <v>1</v>
      </c>
      <c r="L254" s="25">
        <v>1</v>
      </c>
      <c r="M254">
        <v>0</v>
      </c>
      <c r="N254">
        <v>0</v>
      </c>
      <c r="O254" s="2">
        <v>3.8860000000000001</v>
      </c>
      <c r="P254" s="2">
        <v>3.8860000000000001</v>
      </c>
      <c r="Q254" s="2">
        <v>10.548299999999999</v>
      </c>
      <c r="R254" s="2" t="s">
        <v>1097</v>
      </c>
      <c r="T254" s="25">
        <v>3.9263319999999999</v>
      </c>
      <c r="U254" s="25">
        <v>3.9263319999999999</v>
      </c>
      <c r="V254" s="25">
        <v>10.74639</v>
      </c>
      <c r="W254">
        <v>0</v>
      </c>
      <c r="Z254">
        <v>0</v>
      </c>
      <c r="AD254">
        <v>14</v>
      </c>
      <c r="AE254" s="55">
        <f t="shared" si="11"/>
        <v>159.28983610679998</v>
      </c>
      <c r="AF254" s="57">
        <v>165.66723991337099</v>
      </c>
      <c r="AG254" s="55">
        <v>0</v>
      </c>
      <c r="AH254" s="55">
        <v>0</v>
      </c>
      <c r="AJ254" s="51">
        <v>8.4506749839743392E-2</v>
      </c>
      <c r="AM254" s="28">
        <v>1.7272727272727271</v>
      </c>
      <c r="AN254" s="28">
        <v>2.545454545454545</v>
      </c>
      <c r="AO254" s="28">
        <v>0.81818181818181823</v>
      </c>
      <c r="AP254" s="28">
        <v>0</v>
      </c>
      <c r="AQ254" s="28">
        <v>0.3392857142857143</v>
      </c>
      <c r="AR254" s="28">
        <v>0.5</v>
      </c>
      <c r="AS254" s="28">
        <v>0.1607142857142857</v>
      </c>
      <c r="AT254" s="28">
        <v>0</v>
      </c>
      <c r="AU254" s="25">
        <v>1.1000000000000001</v>
      </c>
      <c r="AV254" s="25">
        <v>3.44</v>
      </c>
      <c r="AW254" s="25">
        <v>2.34</v>
      </c>
      <c r="AX254" s="25">
        <v>2.78</v>
      </c>
      <c r="AY254">
        <v>2.78</v>
      </c>
      <c r="AZ254">
        <v>6.4270052227137269</v>
      </c>
      <c r="BA254" s="75">
        <v>0.41874886813759421</v>
      </c>
      <c r="BD254">
        <v>4.3945051178950742E-2</v>
      </c>
      <c r="BE254">
        <v>4.2253374919871717E-2</v>
      </c>
      <c r="BH254">
        <v>8.4506749839743392E-2</v>
      </c>
      <c r="BI254">
        <v>4.3099213049411229E-2</v>
      </c>
      <c r="BJ254">
        <v>0.41874886813759421</v>
      </c>
    </row>
    <row r="255" spans="1:62" x14ac:dyDescent="0.3">
      <c r="A255" s="2" t="s">
        <v>8</v>
      </c>
      <c r="B255" s="13" t="s">
        <v>694</v>
      </c>
      <c r="C255" s="13"/>
      <c r="F255" s="2">
        <v>3.2</v>
      </c>
      <c r="G255" s="2" t="s">
        <v>208</v>
      </c>
      <c r="H255" s="9" t="s">
        <v>530</v>
      </c>
      <c r="I255" t="s">
        <v>612</v>
      </c>
      <c r="J255"/>
      <c r="L255" s="25">
        <v>30</v>
      </c>
      <c r="M255">
        <v>4</v>
      </c>
      <c r="N255">
        <v>0</v>
      </c>
      <c r="O255" s="2">
        <v>-2</v>
      </c>
      <c r="T255" s="25">
        <v>10.59112378</v>
      </c>
      <c r="U255" s="25">
        <v>10.784736629999999</v>
      </c>
      <c r="V255" s="25">
        <v>10.486176179999999</v>
      </c>
      <c r="W255">
        <v>3.73</v>
      </c>
      <c r="X255">
        <v>3.73</v>
      </c>
      <c r="Y255">
        <v>9.3699999999999992</v>
      </c>
      <c r="Z255">
        <v>0</v>
      </c>
      <c r="AD255">
        <v>4</v>
      </c>
      <c r="AE255" s="55">
        <f t="shared" si="11"/>
        <v>0</v>
      </c>
      <c r="AF255" s="57">
        <v>1182.741260108548</v>
      </c>
      <c r="AG255" s="55">
        <v>130.36387300000001</v>
      </c>
      <c r="AH255" s="55">
        <v>0</v>
      </c>
      <c r="AJ255" s="51">
        <v>0.1014592151701775</v>
      </c>
      <c r="AK255" s="52">
        <v>0.1227333894874388</v>
      </c>
      <c r="AM255" s="28">
        <v>2</v>
      </c>
      <c r="AN255" s="28">
        <v>2.666666666666667</v>
      </c>
      <c r="AO255" s="28">
        <v>0.66666666666666663</v>
      </c>
      <c r="AP255" s="28">
        <v>0</v>
      </c>
      <c r="AQ255" s="28">
        <v>0.375</v>
      </c>
      <c r="AR255" s="28">
        <v>0.5</v>
      </c>
      <c r="AS255" s="28">
        <v>0.125</v>
      </c>
      <c r="AT255" s="28">
        <v>0</v>
      </c>
      <c r="AU255" s="25">
        <v>1.54</v>
      </c>
      <c r="AV255" s="25">
        <v>3.44</v>
      </c>
      <c r="AW255" s="25">
        <v>1.9</v>
      </c>
      <c r="AX255" s="25">
        <v>2.8066666666666671</v>
      </c>
      <c r="AY255">
        <v>2.8066666666666662</v>
      </c>
      <c r="AZ255">
        <v>6.1769976</v>
      </c>
      <c r="BA255" s="75">
        <v>0.46900407026869628</v>
      </c>
      <c r="BB255" s="75">
        <v>0.56734579634715776</v>
      </c>
      <c r="BE255">
        <v>5.072960758508873E-2</v>
      </c>
      <c r="BF255">
        <v>6.136669474371937E-2</v>
      </c>
      <c r="BH255">
        <v>0.1120963023288082</v>
      </c>
      <c r="BI255">
        <v>5.604815116440405E-2</v>
      </c>
      <c r="BJ255">
        <v>0.51817493330792708</v>
      </c>
    </row>
    <row r="256" spans="1:62" x14ac:dyDescent="0.3">
      <c r="A256" s="2" t="s">
        <v>153</v>
      </c>
      <c r="B256" s="13" t="s">
        <v>775</v>
      </c>
      <c r="C256" s="13"/>
      <c r="F256" s="2">
        <v>3.1</v>
      </c>
      <c r="G256" s="2" t="s">
        <v>209</v>
      </c>
      <c r="H256" s="9" t="s">
        <v>578</v>
      </c>
      <c r="I256">
        <v>-1</v>
      </c>
      <c r="J256"/>
      <c r="K256" s="2">
        <v>1</v>
      </c>
      <c r="L256" s="25">
        <v>1</v>
      </c>
      <c r="M256">
        <v>0</v>
      </c>
      <c r="N256">
        <v>0</v>
      </c>
      <c r="O256" s="2">
        <v>3.8860000000000001</v>
      </c>
      <c r="P256" s="2">
        <v>3.8860000000000001</v>
      </c>
      <c r="Q256" s="2">
        <v>10.548299999999999</v>
      </c>
      <c r="R256" s="2" t="s">
        <v>1097</v>
      </c>
      <c r="T256" s="25">
        <v>3.9263319999999999</v>
      </c>
      <c r="U256" s="25">
        <v>3.9263319999999999</v>
      </c>
      <c r="V256" s="25">
        <v>10.74639</v>
      </c>
      <c r="W256">
        <v>0</v>
      </c>
      <c r="Z256">
        <v>0</v>
      </c>
      <c r="AD256">
        <v>14</v>
      </c>
      <c r="AE256" s="55">
        <f t="shared" si="11"/>
        <v>159.28983610679998</v>
      </c>
      <c r="AF256" s="57">
        <v>165.66723991337099</v>
      </c>
      <c r="AG256" s="55">
        <v>0</v>
      </c>
      <c r="AH256" s="55">
        <v>0</v>
      </c>
      <c r="AI256" s="52">
        <f t="shared" ref="AI256:AI263" si="15">K256*AD256/AE256</f>
        <v>8.789010235790147E-2</v>
      </c>
      <c r="AJ256" s="51">
        <v>8.4506749839743392E-2</v>
      </c>
      <c r="AM256" s="28">
        <v>1.7272727272727271</v>
      </c>
      <c r="AN256" s="28">
        <v>2.545454545454545</v>
      </c>
      <c r="AO256" s="28">
        <v>0.81818181818181823</v>
      </c>
      <c r="AP256" s="28">
        <v>0</v>
      </c>
      <c r="AQ256" s="28">
        <v>0.3392857142857143</v>
      </c>
      <c r="AR256" s="28">
        <v>0.5</v>
      </c>
      <c r="AS256" s="28">
        <v>0.1607142857142857</v>
      </c>
      <c r="AT256" s="28">
        <v>0</v>
      </c>
      <c r="AU256" s="25">
        <v>1.1000000000000001</v>
      </c>
      <c r="AV256" s="25">
        <v>3.44</v>
      </c>
      <c r="AW256" s="25">
        <v>2.34</v>
      </c>
      <c r="AX256" s="25">
        <v>2.78</v>
      </c>
      <c r="AY256">
        <v>2.78</v>
      </c>
      <c r="AZ256">
        <v>6.4270052227137269</v>
      </c>
      <c r="BA256" s="75">
        <v>0.41874886813759421</v>
      </c>
      <c r="BD256">
        <v>4.3945051178950742E-2</v>
      </c>
      <c r="BE256">
        <v>4.2253374919871717E-2</v>
      </c>
      <c r="BH256">
        <v>8.6198426098822431E-2</v>
      </c>
      <c r="BI256">
        <v>4.3099213049411229E-2</v>
      </c>
      <c r="BJ256">
        <v>0.41874886813759421</v>
      </c>
    </row>
    <row r="257" spans="1:62" x14ac:dyDescent="0.3">
      <c r="A257" s="2" t="s">
        <v>210</v>
      </c>
      <c r="B257" s="17" t="s">
        <v>935</v>
      </c>
      <c r="C257" s="13"/>
      <c r="F257" s="2">
        <v>3.1</v>
      </c>
      <c r="G257" s="2" t="s">
        <v>209</v>
      </c>
      <c r="H257" s="32" t="s">
        <v>578</v>
      </c>
      <c r="I257">
        <v>-1</v>
      </c>
      <c r="J257"/>
      <c r="K257" s="2">
        <v>1</v>
      </c>
      <c r="L257" s="25">
        <v>0</v>
      </c>
      <c r="M257">
        <v>0</v>
      </c>
      <c r="N257">
        <v>0</v>
      </c>
      <c r="O257" s="1">
        <v>3.8860000000000001</v>
      </c>
      <c r="P257" s="1">
        <v>3.8860000000000001</v>
      </c>
      <c r="Q257" s="1">
        <v>10.548299999999999</v>
      </c>
      <c r="R257" s="1" t="s">
        <v>1097</v>
      </c>
      <c r="T257" s="25">
        <v>0</v>
      </c>
      <c r="U257" s="25"/>
      <c r="V257" s="25"/>
      <c r="W257">
        <v>0</v>
      </c>
      <c r="Z257">
        <v>0</v>
      </c>
      <c r="AD257">
        <v>14</v>
      </c>
      <c r="AE257" s="55">
        <f t="shared" si="11"/>
        <v>159.28983610679998</v>
      </c>
      <c r="AF257" s="57">
        <v>0</v>
      </c>
      <c r="AG257" s="55">
        <v>0</v>
      </c>
      <c r="AH257" s="55">
        <v>0</v>
      </c>
      <c r="AI257" s="52">
        <f t="shared" si="15"/>
        <v>8.789010235790147E-2</v>
      </c>
      <c r="AJ257" s="51"/>
      <c r="AM257" s="28">
        <v>1.7285974499089249</v>
      </c>
      <c r="AN257" s="28">
        <v>2.5500910746812391</v>
      </c>
      <c r="AO257" s="28">
        <v>0.82149362477231325</v>
      </c>
      <c r="AP257" s="28">
        <v>0</v>
      </c>
      <c r="AQ257" s="28">
        <v>0.33892857142857141</v>
      </c>
      <c r="AR257" s="28">
        <v>0.5</v>
      </c>
      <c r="AS257" s="28">
        <v>0.16107142857142859</v>
      </c>
      <c r="AT257" s="28">
        <v>0</v>
      </c>
      <c r="AU257" s="25">
        <v>1.1000000000000001</v>
      </c>
      <c r="AV257" s="25">
        <v>3.44</v>
      </c>
      <c r="AW257" s="25">
        <v>2.34</v>
      </c>
      <c r="AX257" s="25">
        <v>2.7820765027322398</v>
      </c>
      <c r="AY257">
        <v>2.7820765027322398</v>
      </c>
      <c r="AZ257">
        <v>6.4257889029010924</v>
      </c>
      <c r="BA257" s="75">
        <v>0.41874886813759421</v>
      </c>
      <c r="BD257">
        <v>4.3945051178950742E-2</v>
      </c>
      <c r="BH257">
        <v>8.789010235790147E-2</v>
      </c>
      <c r="BI257">
        <v>4.3945051178950742E-2</v>
      </c>
      <c r="BJ257">
        <v>0.41874886813759421</v>
      </c>
    </row>
    <row r="258" spans="1:62" x14ac:dyDescent="0.3">
      <c r="A258" s="2" t="s">
        <v>211</v>
      </c>
      <c r="B258" s="17" t="s">
        <v>936</v>
      </c>
      <c r="C258" s="13"/>
      <c r="F258" s="2">
        <v>3.1</v>
      </c>
      <c r="G258" s="2" t="s">
        <v>209</v>
      </c>
      <c r="H258" s="32" t="s">
        <v>578</v>
      </c>
      <c r="I258">
        <v>-1</v>
      </c>
      <c r="J258"/>
      <c r="K258" s="2">
        <v>1</v>
      </c>
      <c r="L258" s="25">
        <v>0</v>
      </c>
      <c r="M258">
        <v>0</v>
      </c>
      <c r="N258">
        <v>0</v>
      </c>
      <c r="O258" s="1">
        <v>3.8860000000000001</v>
      </c>
      <c r="P258" s="1">
        <v>3.8860000000000001</v>
      </c>
      <c r="Q258" s="1">
        <v>10.548299999999999</v>
      </c>
      <c r="R258" s="1" t="s">
        <v>1097</v>
      </c>
      <c r="T258" s="25">
        <v>0</v>
      </c>
      <c r="U258" s="25"/>
      <c r="V258" s="25"/>
      <c r="W258">
        <v>0</v>
      </c>
      <c r="Z258">
        <v>0</v>
      </c>
      <c r="AD258">
        <v>14</v>
      </c>
      <c r="AE258" s="55">
        <f t="shared" si="11"/>
        <v>159.28983610679998</v>
      </c>
      <c r="AF258" s="57">
        <v>0</v>
      </c>
      <c r="AG258" s="55">
        <v>0</v>
      </c>
      <c r="AH258" s="55">
        <v>0</v>
      </c>
      <c r="AI258" s="52">
        <f t="shared" si="15"/>
        <v>8.789010235790147E-2</v>
      </c>
      <c r="AJ258" s="51"/>
      <c r="AM258" s="28">
        <v>1.730593607305936</v>
      </c>
      <c r="AN258" s="28">
        <v>2.557077625570777</v>
      </c>
      <c r="AO258" s="28">
        <v>0.8264840182648403</v>
      </c>
      <c r="AP258" s="28">
        <v>0</v>
      </c>
      <c r="AQ258" s="28">
        <v>0.33839285714285711</v>
      </c>
      <c r="AR258" s="28">
        <v>0.5</v>
      </c>
      <c r="AS258" s="28">
        <v>0.16160714285714289</v>
      </c>
      <c r="AT258" s="28">
        <v>0</v>
      </c>
      <c r="AU258" s="25">
        <v>1.1000000000000001</v>
      </c>
      <c r="AV258" s="25">
        <v>3.44</v>
      </c>
      <c r="AW258" s="25">
        <v>2.34</v>
      </c>
      <c r="AX258" s="25">
        <v>2.7852054794520549</v>
      </c>
      <c r="AY258">
        <v>2.7852054794520549</v>
      </c>
      <c r="AZ258">
        <v>6.4239560922245156</v>
      </c>
      <c r="BA258" s="75">
        <v>0.41874886813759421</v>
      </c>
      <c r="BD258">
        <v>4.3945051178950742E-2</v>
      </c>
      <c r="BH258">
        <v>8.789010235790147E-2</v>
      </c>
      <c r="BI258">
        <v>4.3945051178950742E-2</v>
      </c>
      <c r="BJ258">
        <v>0.41874886813759421</v>
      </c>
    </row>
    <row r="259" spans="1:62" x14ac:dyDescent="0.3">
      <c r="A259" s="2" t="s">
        <v>212</v>
      </c>
      <c r="B259" s="17" t="s">
        <v>937</v>
      </c>
      <c r="C259" s="13"/>
      <c r="F259" s="2">
        <v>3.1</v>
      </c>
      <c r="G259" s="2" t="s">
        <v>209</v>
      </c>
      <c r="H259" s="32" t="s">
        <v>578</v>
      </c>
      <c r="I259">
        <v>-1</v>
      </c>
      <c r="J259"/>
      <c r="K259" s="2">
        <v>1</v>
      </c>
      <c r="L259" s="25">
        <v>0</v>
      </c>
      <c r="M259">
        <v>0</v>
      </c>
      <c r="N259">
        <v>0</v>
      </c>
      <c r="O259" s="1">
        <v>3.8860000000000001</v>
      </c>
      <c r="P259" s="1">
        <v>3.8860000000000001</v>
      </c>
      <c r="Q259" s="1">
        <v>10.548299999999999</v>
      </c>
      <c r="R259" s="1" t="s">
        <v>1097</v>
      </c>
      <c r="T259" s="25">
        <v>0</v>
      </c>
      <c r="U259" s="25"/>
      <c r="V259" s="25"/>
      <c r="W259">
        <v>0</v>
      </c>
      <c r="Z259">
        <v>0</v>
      </c>
      <c r="AD259">
        <v>14</v>
      </c>
      <c r="AE259" s="55">
        <f t="shared" ref="AE259:AE322" si="16">O259*P259*Q259</f>
        <v>159.28983610679998</v>
      </c>
      <c r="AF259" s="57">
        <v>0</v>
      </c>
      <c r="AG259" s="55">
        <v>0</v>
      </c>
      <c r="AH259" s="55">
        <v>0</v>
      </c>
      <c r="AI259" s="52">
        <f t="shared" si="15"/>
        <v>8.789010235790147E-2</v>
      </c>
      <c r="AJ259" s="51"/>
      <c r="AM259" s="28">
        <v>1.7373271889400921</v>
      </c>
      <c r="AN259" s="28">
        <v>2.580645161290323</v>
      </c>
      <c r="AO259" s="28">
        <v>0.84331797235023043</v>
      </c>
      <c r="AP259" s="28">
        <v>0</v>
      </c>
      <c r="AQ259" s="28">
        <v>0.33660714285714288</v>
      </c>
      <c r="AR259" s="28">
        <v>0.5</v>
      </c>
      <c r="AS259" s="28">
        <v>0.16339285714285709</v>
      </c>
      <c r="AT259" s="28">
        <v>0</v>
      </c>
      <c r="AU259" s="25">
        <v>1.1000000000000001</v>
      </c>
      <c r="AV259" s="25">
        <v>3.44</v>
      </c>
      <c r="AW259" s="25">
        <v>2.34</v>
      </c>
      <c r="AX259" s="25">
        <v>2.7957603686635939</v>
      </c>
      <c r="AY259">
        <v>2.7957603686635939</v>
      </c>
      <c r="AZ259">
        <v>6.4177735234906308</v>
      </c>
      <c r="BA259" s="75">
        <v>0.41874886813759421</v>
      </c>
      <c r="BD259">
        <v>4.3945051178950742E-2</v>
      </c>
      <c r="BH259">
        <v>8.789010235790147E-2</v>
      </c>
      <c r="BI259">
        <v>4.3945051178950742E-2</v>
      </c>
      <c r="BJ259">
        <v>0.41874886813759421</v>
      </c>
    </row>
    <row r="260" spans="1:62" x14ac:dyDescent="0.3">
      <c r="A260" s="2" t="s">
        <v>153</v>
      </c>
      <c r="B260" s="17" t="s">
        <v>775</v>
      </c>
      <c r="C260" s="13"/>
      <c r="D260" s="2" t="s">
        <v>863</v>
      </c>
      <c r="E260" s="2">
        <v>1.34</v>
      </c>
      <c r="F260" s="2">
        <v>3.1</v>
      </c>
      <c r="G260" s="2" t="s">
        <v>209</v>
      </c>
      <c r="H260" s="9" t="s">
        <v>578</v>
      </c>
      <c r="I260">
        <v>-1</v>
      </c>
      <c r="J260"/>
      <c r="K260" s="2">
        <v>1</v>
      </c>
      <c r="L260" s="25">
        <v>1</v>
      </c>
      <c r="M260">
        <v>0</v>
      </c>
      <c r="N260">
        <v>0</v>
      </c>
      <c r="O260" s="2">
        <v>3.8860000000000001</v>
      </c>
      <c r="P260" s="2">
        <v>3.8860000000000001</v>
      </c>
      <c r="Q260" s="2">
        <v>10.548299999999999</v>
      </c>
      <c r="R260" s="2" t="s">
        <v>1097</v>
      </c>
      <c r="T260" s="25">
        <v>3.9263319999999999</v>
      </c>
      <c r="U260" s="25">
        <v>3.9263319999999999</v>
      </c>
      <c r="V260" s="25">
        <v>10.74639</v>
      </c>
      <c r="W260">
        <v>0</v>
      </c>
      <c r="Z260">
        <v>0</v>
      </c>
      <c r="AD260">
        <v>14</v>
      </c>
      <c r="AE260" s="55">
        <f t="shared" si="16"/>
        <v>159.28983610679998</v>
      </c>
      <c r="AF260" s="57">
        <v>165.66723991337099</v>
      </c>
      <c r="AG260" s="55">
        <v>0</v>
      </c>
      <c r="AH260" s="55">
        <v>0</v>
      </c>
      <c r="AI260" s="52">
        <f t="shared" si="15"/>
        <v>8.789010235790147E-2</v>
      </c>
      <c r="AJ260" s="51">
        <v>8.4506749839743392E-2</v>
      </c>
      <c r="AM260" s="28">
        <v>1.7272727272727271</v>
      </c>
      <c r="AN260" s="28">
        <v>2.545454545454545</v>
      </c>
      <c r="AO260" s="28">
        <v>0.81818181818181823</v>
      </c>
      <c r="AP260" s="28">
        <v>0</v>
      </c>
      <c r="AQ260" s="28">
        <v>0.3392857142857143</v>
      </c>
      <c r="AR260" s="28">
        <v>0.5</v>
      </c>
      <c r="AS260" s="28">
        <v>0.1607142857142857</v>
      </c>
      <c r="AT260" s="28">
        <v>0</v>
      </c>
      <c r="AU260" s="25">
        <v>1.1000000000000001</v>
      </c>
      <c r="AV260" s="25">
        <v>3.44</v>
      </c>
      <c r="AW260" s="25">
        <v>2.34</v>
      </c>
      <c r="AX260" s="25">
        <v>2.78</v>
      </c>
      <c r="AY260">
        <v>2.78</v>
      </c>
      <c r="AZ260">
        <v>6.4270052227137269</v>
      </c>
      <c r="BA260" s="75">
        <v>0.41874886813759421</v>
      </c>
      <c r="BD260">
        <v>4.3945051178950742E-2</v>
      </c>
      <c r="BE260">
        <v>4.2253374919871717E-2</v>
      </c>
      <c r="BH260">
        <v>8.6198426098822431E-2</v>
      </c>
      <c r="BI260">
        <v>4.3099213049411229E-2</v>
      </c>
      <c r="BJ260">
        <v>0.41874886813759421</v>
      </c>
    </row>
    <row r="261" spans="1:62" x14ac:dyDescent="0.3">
      <c r="A261" s="2" t="s">
        <v>210</v>
      </c>
      <c r="B261" s="17" t="s">
        <v>935</v>
      </c>
      <c r="C261" s="13"/>
      <c r="D261" s="2" t="s">
        <v>863</v>
      </c>
      <c r="E261" s="2">
        <v>1.04</v>
      </c>
      <c r="F261" s="2">
        <v>3.1</v>
      </c>
      <c r="G261" s="2" t="s">
        <v>209</v>
      </c>
      <c r="H261" s="32" t="s">
        <v>578</v>
      </c>
      <c r="I261">
        <v>-1</v>
      </c>
      <c r="J261"/>
      <c r="K261" s="2">
        <v>1</v>
      </c>
      <c r="L261" s="25">
        <v>0</v>
      </c>
      <c r="M261">
        <v>0</v>
      </c>
      <c r="N261">
        <v>0</v>
      </c>
      <c r="O261" s="1">
        <v>3.8860000000000001</v>
      </c>
      <c r="P261" s="1">
        <v>3.8860000000000001</v>
      </c>
      <c r="Q261" s="1">
        <v>10.548299999999999</v>
      </c>
      <c r="R261" s="1" t="s">
        <v>1097</v>
      </c>
      <c r="T261" s="25">
        <v>0</v>
      </c>
      <c r="U261" s="25"/>
      <c r="V261" s="25"/>
      <c r="W261">
        <v>0</v>
      </c>
      <c r="Z261">
        <v>0</v>
      </c>
      <c r="AD261">
        <v>14</v>
      </c>
      <c r="AE261" s="55">
        <f t="shared" si="16"/>
        <v>159.28983610679998</v>
      </c>
      <c r="AF261" s="57">
        <v>0</v>
      </c>
      <c r="AG261" s="55">
        <v>0</v>
      </c>
      <c r="AH261" s="55">
        <v>0</v>
      </c>
      <c r="AI261" s="52">
        <f t="shared" si="15"/>
        <v>8.789010235790147E-2</v>
      </c>
      <c r="AJ261" s="51"/>
      <c r="AM261" s="28">
        <v>1.7285974499089249</v>
      </c>
      <c r="AN261" s="28">
        <v>2.5500910746812391</v>
      </c>
      <c r="AO261" s="28">
        <v>0.82149362477231325</v>
      </c>
      <c r="AP261" s="28">
        <v>0</v>
      </c>
      <c r="AQ261" s="28">
        <v>0.33892857142857141</v>
      </c>
      <c r="AR261" s="28">
        <v>0.5</v>
      </c>
      <c r="AS261" s="28">
        <v>0.16107142857142859</v>
      </c>
      <c r="AT261" s="28">
        <v>0</v>
      </c>
      <c r="AU261" s="25">
        <v>1.1000000000000001</v>
      </c>
      <c r="AV261" s="25">
        <v>3.44</v>
      </c>
      <c r="AW261" s="25">
        <v>2.34</v>
      </c>
      <c r="AX261" s="25">
        <v>2.7820765027322398</v>
      </c>
      <c r="AY261">
        <v>2.7820765027322398</v>
      </c>
      <c r="AZ261">
        <v>6.4257889029010924</v>
      </c>
      <c r="BA261" s="75">
        <v>0.41874886813759421</v>
      </c>
      <c r="BD261">
        <v>4.3945051178950742E-2</v>
      </c>
      <c r="BH261">
        <v>8.789010235790147E-2</v>
      </c>
      <c r="BI261">
        <v>4.3945051178950742E-2</v>
      </c>
      <c r="BJ261">
        <v>0.41874886813759421</v>
      </c>
    </row>
    <row r="262" spans="1:62" x14ac:dyDescent="0.3">
      <c r="A262" s="2" t="s">
        <v>211</v>
      </c>
      <c r="B262" s="17" t="s">
        <v>936</v>
      </c>
      <c r="C262" s="13"/>
      <c r="D262" s="2" t="s">
        <v>863</v>
      </c>
      <c r="E262" s="2">
        <v>1.19</v>
      </c>
      <c r="F262" s="2">
        <v>3.1</v>
      </c>
      <c r="G262" s="2" t="s">
        <v>209</v>
      </c>
      <c r="H262" s="32" t="s">
        <v>578</v>
      </c>
      <c r="I262">
        <v>-1</v>
      </c>
      <c r="J262"/>
      <c r="K262" s="2">
        <v>1</v>
      </c>
      <c r="L262" s="25">
        <v>0</v>
      </c>
      <c r="M262">
        <v>0</v>
      </c>
      <c r="N262">
        <v>0</v>
      </c>
      <c r="O262" s="1">
        <v>3.8860000000000001</v>
      </c>
      <c r="P262" s="1">
        <v>3.8860000000000001</v>
      </c>
      <c r="Q262" s="1">
        <v>10.548299999999999</v>
      </c>
      <c r="R262" s="1" t="s">
        <v>1097</v>
      </c>
      <c r="T262" s="25">
        <v>0</v>
      </c>
      <c r="U262" s="25"/>
      <c r="V262" s="25"/>
      <c r="W262">
        <v>0</v>
      </c>
      <c r="Z262">
        <v>0</v>
      </c>
      <c r="AD262">
        <v>14</v>
      </c>
      <c r="AE262" s="55">
        <f t="shared" si="16"/>
        <v>159.28983610679998</v>
      </c>
      <c r="AF262" s="57">
        <v>0</v>
      </c>
      <c r="AG262" s="55">
        <v>0</v>
      </c>
      <c r="AH262" s="55">
        <v>0</v>
      </c>
      <c r="AI262" s="52">
        <f t="shared" si="15"/>
        <v>8.789010235790147E-2</v>
      </c>
      <c r="AJ262" s="51"/>
      <c r="AM262" s="28">
        <v>1.730593607305936</v>
      </c>
      <c r="AN262" s="28">
        <v>2.557077625570777</v>
      </c>
      <c r="AO262" s="28">
        <v>0.8264840182648403</v>
      </c>
      <c r="AP262" s="28">
        <v>0</v>
      </c>
      <c r="AQ262" s="28">
        <v>0.33839285714285711</v>
      </c>
      <c r="AR262" s="28">
        <v>0.5</v>
      </c>
      <c r="AS262" s="28">
        <v>0.16160714285714289</v>
      </c>
      <c r="AT262" s="28">
        <v>0</v>
      </c>
      <c r="AU262" s="25">
        <v>1.1000000000000001</v>
      </c>
      <c r="AV262" s="25">
        <v>3.44</v>
      </c>
      <c r="AW262" s="25">
        <v>2.34</v>
      </c>
      <c r="AX262" s="25">
        <v>2.7852054794520549</v>
      </c>
      <c r="AY262">
        <v>2.7852054794520549</v>
      </c>
      <c r="AZ262">
        <v>6.4239560922245156</v>
      </c>
      <c r="BA262" s="75">
        <v>0.41874886813759421</v>
      </c>
      <c r="BD262">
        <v>4.3945051178950742E-2</v>
      </c>
      <c r="BH262">
        <v>8.789010235790147E-2</v>
      </c>
      <c r="BI262">
        <v>4.3945051178950742E-2</v>
      </c>
      <c r="BJ262">
        <v>0.41874886813759421</v>
      </c>
    </row>
    <row r="263" spans="1:62" x14ac:dyDescent="0.3">
      <c r="A263" s="2" t="s">
        <v>212</v>
      </c>
      <c r="B263" s="17" t="s">
        <v>937</v>
      </c>
      <c r="C263" s="13"/>
      <c r="D263" s="2" t="s">
        <v>863</v>
      </c>
      <c r="E263" s="2">
        <v>1.61</v>
      </c>
      <c r="F263" s="2">
        <v>3.1</v>
      </c>
      <c r="G263" s="2" t="s">
        <v>209</v>
      </c>
      <c r="H263" s="32" t="s">
        <v>578</v>
      </c>
      <c r="I263">
        <v>-1</v>
      </c>
      <c r="J263"/>
      <c r="K263" s="2">
        <v>1</v>
      </c>
      <c r="L263" s="25">
        <v>0</v>
      </c>
      <c r="M263">
        <v>0</v>
      </c>
      <c r="N263">
        <v>0</v>
      </c>
      <c r="O263" s="1">
        <v>3.8860000000000001</v>
      </c>
      <c r="P263" s="1">
        <v>3.8860000000000001</v>
      </c>
      <c r="Q263" s="1">
        <v>10.548299999999999</v>
      </c>
      <c r="R263" s="1" t="s">
        <v>1097</v>
      </c>
      <c r="T263" s="25">
        <v>0</v>
      </c>
      <c r="U263" s="25"/>
      <c r="V263" s="25"/>
      <c r="W263">
        <v>0</v>
      </c>
      <c r="Z263">
        <v>0</v>
      </c>
      <c r="AD263">
        <v>14</v>
      </c>
      <c r="AE263" s="55">
        <f t="shared" si="16"/>
        <v>159.28983610679998</v>
      </c>
      <c r="AF263" s="57">
        <v>0</v>
      </c>
      <c r="AG263" s="55">
        <v>0</v>
      </c>
      <c r="AH263" s="55">
        <v>0</v>
      </c>
      <c r="AI263" s="52">
        <f t="shared" si="15"/>
        <v>8.789010235790147E-2</v>
      </c>
      <c r="AJ263" s="51"/>
      <c r="AM263" s="28">
        <v>1.7373271889400921</v>
      </c>
      <c r="AN263" s="28">
        <v>2.580645161290323</v>
      </c>
      <c r="AO263" s="28">
        <v>0.84331797235023043</v>
      </c>
      <c r="AP263" s="28">
        <v>0</v>
      </c>
      <c r="AQ263" s="28">
        <v>0.33660714285714288</v>
      </c>
      <c r="AR263" s="28">
        <v>0.5</v>
      </c>
      <c r="AS263" s="28">
        <v>0.16339285714285709</v>
      </c>
      <c r="AT263" s="28">
        <v>0</v>
      </c>
      <c r="AU263" s="25">
        <v>1.1000000000000001</v>
      </c>
      <c r="AV263" s="25">
        <v>3.44</v>
      </c>
      <c r="AW263" s="25">
        <v>2.34</v>
      </c>
      <c r="AX263" s="25">
        <v>2.7957603686635939</v>
      </c>
      <c r="AY263">
        <v>2.7957603686635939</v>
      </c>
      <c r="AZ263">
        <v>6.4177735234906308</v>
      </c>
      <c r="BA263" s="75">
        <v>0.41874886813759421</v>
      </c>
      <c r="BD263">
        <v>4.3945051178950742E-2</v>
      </c>
      <c r="BH263">
        <v>8.789010235790147E-2</v>
      </c>
      <c r="BI263">
        <v>4.3945051178950742E-2</v>
      </c>
      <c r="BJ263">
        <v>0.41874886813759421</v>
      </c>
    </row>
    <row r="264" spans="1:62" x14ac:dyDescent="0.3">
      <c r="A264" s="2" t="s">
        <v>22</v>
      </c>
      <c r="B264" s="17" t="s">
        <v>876</v>
      </c>
      <c r="C264" s="13"/>
      <c r="F264" s="2">
        <v>2.74</v>
      </c>
      <c r="G264" s="2" t="s">
        <v>213</v>
      </c>
      <c r="H264" s="32" t="s">
        <v>541</v>
      </c>
      <c r="I264" s="1" t="s">
        <v>621</v>
      </c>
      <c r="J264"/>
      <c r="L264" s="25">
        <v>0</v>
      </c>
      <c r="M264">
        <v>4</v>
      </c>
      <c r="N264">
        <v>0</v>
      </c>
      <c r="O264" s="1">
        <v>5.4960000000000004</v>
      </c>
      <c r="P264" s="1">
        <v>5.4960000000000004</v>
      </c>
      <c r="Q264" s="1">
        <v>25.55</v>
      </c>
      <c r="R264" s="1" t="s">
        <v>450</v>
      </c>
      <c r="T264" s="25">
        <v>0</v>
      </c>
      <c r="U264" s="25"/>
      <c r="V264" s="25"/>
      <c r="W264">
        <v>5.5453000000000001</v>
      </c>
      <c r="X264">
        <v>5.5453000000000001</v>
      </c>
      <c r="Y264">
        <v>25.686699999999998</v>
      </c>
      <c r="Z264">
        <v>0</v>
      </c>
      <c r="AD264">
        <v>18</v>
      </c>
      <c r="AE264" s="55">
        <f t="shared" si="16"/>
        <v>771.76370880000013</v>
      </c>
      <c r="AF264" s="57">
        <v>0</v>
      </c>
      <c r="AG264" s="55">
        <v>789.87506903020289</v>
      </c>
      <c r="AH264" s="55">
        <v>0</v>
      </c>
      <c r="AJ264" s="51"/>
      <c r="AK264" s="52">
        <v>9.1153655588092616E-2</v>
      </c>
      <c r="AM264" s="28">
        <v>1.871428571428571</v>
      </c>
      <c r="AN264" s="28">
        <v>3.1428571428571428</v>
      </c>
      <c r="AO264" s="28">
        <v>2.714285714285714</v>
      </c>
      <c r="AP264" s="28">
        <v>3.2</v>
      </c>
      <c r="AQ264" s="28">
        <v>0.17124183006535951</v>
      </c>
      <c r="AR264" s="28">
        <v>0.28758169934640521</v>
      </c>
      <c r="AS264" s="28">
        <v>0.2483660130718954</v>
      </c>
      <c r="AT264" s="28">
        <v>0.29281045751633977</v>
      </c>
      <c r="AU264" s="25">
        <v>1.6</v>
      </c>
      <c r="AV264" s="25">
        <v>3.44</v>
      </c>
      <c r="AW264" s="25">
        <v>1.84</v>
      </c>
      <c r="AX264" s="25">
        <v>2.9058571428571431</v>
      </c>
      <c r="AY264">
        <v>2.9058571428571431</v>
      </c>
      <c r="AZ264">
        <v>6.2676757950000006</v>
      </c>
      <c r="BA264" s="75">
        <v>0.51995616258071919</v>
      </c>
      <c r="BB264" s="75">
        <v>0.51988140722208986</v>
      </c>
      <c r="BF264">
        <v>4.5576827794046308E-2</v>
      </c>
      <c r="BH264">
        <v>9.1153655588092616E-2</v>
      </c>
      <c r="BI264">
        <v>4.5576827794046308E-2</v>
      </c>
      <c r="BJ264">
        <v>0.51991878490140453</v>
      </c>
    </row>
    <row r="265" spans="1:62" x14ac:dyDescent="0.3">
      <c r="A265" s="2" t="s">
        <v>23</v>
      </c>
      <c r="B265" s="17" t="s">
        <v>877</v>
      </c>
      <c r="C265" s="13"/>
      <c r="F265" s="2">
        <v>2.74</v>
      </c>
      <c r="G265" s="2" t="s">
        <v>213</v>
      </c>
      <c r="H265" s="32" t="s">
        <v>541</v>
      </c>
      <c r="I265" s="1" t="s">
        <v>621</v>
      </c>
      <c r="J265"/>
      <c r="L265" s="25">
        <v>0</v>
      </c>
      <c r="M265">
        <v>4</v>
      </c>
      <c r="N265">
        <v>0</v>
      </c>
      <c r="O265" s="1">
        <v>5.4960000000000004</v>
      </c>
      <c r="P265" s="1">
        <v>5.4960000000000004</v>
      </c>
      <c r="Q265" s="1">
        <v>25.55</v>
      </c>
      <c r="R265" s="1" t="s">
        <v>450</v>
      </c>
      <c r="T265" s="25">
        <v>0</v>
      </c>
      <c r="U265" s="25"/>
      <c r="V265" s="25"/>
      <c r="W265">
        <v>5.5453000000000001</v>
      </c>
      <c r="X265">
        <v>5.5453000000000001</v>
      </c>
      <c r="Y265">
        <v>25.686699999999998</v>
      </c>
      <c r="Z265">
        <v>0</v>
      </c>
      <c r="AD265">
        <v>18</v>
      </c>
      <c r="AE265" s="55">
        <f t="shared" si="16"/>
        <v>771.76370880000013</v>
      </c>
      <c r="AF265" s="57">
        <v>0</v>
      </c>
      <c r="AG265" s="55">
        <v>789.87506903020289</v>
      </c>
      <c r="AH265" s="55">
        <v>0</v>
      </c>
      <c r="AJ265" s="51"/>
      <c r="AK265" s="52">
        <v>9.1153655588092616E-2</v>
      </c>
      <c r="AM265" s="28">
        <v>1.8678571428571431</v>
      </c>
      <c r="AN265" s="28">
        <v>3.1428571428571428</v>
      </c>
      <c r="AO265" s="28">
        <v>2.714285714285714</v>
      </c>
      <c r="AP265" s="28">
        <v>3.15</v>
      </c>
      <c r="AQ265" s="28">
        <v>0.1717569786535304</v>
      </c>
      <c r="AR265" s="28">
        <v>0.28899835796387519</v>
      </c>
      <c r="AS265" s="28">
        <v>0.24958949096880129</v>
      </c>
      <c r="AT265" s="28">
        <v>0.28965517241379313</v>
      </c>
      <c r="AU265" s="25">
        <v>1.6</v>
      </c>
      <c r="AV265" s="25">
        <v>3.44</v>
      </c>
      <c r="AW265" s="25">
        <v>1.84</v>
      </c>
      <c r="AX265" s="25">
        <v>2.903142857142857</v>
      </c>
      <c r="AY265">
        <v>2.903142857142857</v>
      </c>
      <c r="AZ265">
        <v>6.2658828646428582</v>
      </c>
      <c r="BA265" s="75">
        <v>0.51995616258071919</v>
      </c>
      <c r="BB265" s="75">
        <v>0.51988140722208986</v>
      </c>
      <c r="BF265">
        <v>4.5576827794046308E-2</v>
      </c>
      <c r="BH265">
        <v>9.1153655588092616E-2</v>
      </c>
      <c r="BI265">
        <v>4.5576827794046308E-2</v>
      </c>
      <c r="BJ265">
        <v>0.51991878490140453</v>
      </c>
    </row>
    <row r="266" spans="1:62" x14ac:dyDescent="0.3">
      <c r="A266" s="2" t="s">
        <v>24</v>
      </c>
      <c r="B266" s="17" t="s">
        <v>878</v>
      </c>
      <c r="C266" s="13"/>
      <c r="F266" s="2">
        <v>2.75</v>
      </c>
      <c r="G266" s="2" t="s">
        <v>213</v>
      </c>
      <c r="H266" s="32" t="s">
        <v>541</v>
      </c>
      <c r="I266" s="1" t="s">
        <v>621</v>
      </c>
      <c r="J266"/>
      <c r="L266" s="25">
        <v>0</v>
      </c>
      <c r="M266">
        <v>4</v>
      </c>
      <c r="N266">
        <v>0</v>
      </c>
      <c r="O266" s="1">
        <v>5.4960000000000004</v>
      </c>
      <c r="P266" s="1">
        <v>5.4960000000000004</v>
      </c>
      <c r="Q266" s="1">
        <v>25.55</v>
      </c>
      <c r="R266" s="1" t="s">
        <v>450</v>
      </c>
      <c r="T266" s="25">
        <v>0</v>
      </c>
      <c r="U266" s="25"/>
      <c r="V266" s="25"/>
      <c r="W266">
        <v>5.5453000000000001</v>
      </c>
      <c r="X266">
        <v>5.5453000000000001</v>
      </c>
      <c r="Y266">
        <v>25.686699999999998</v>
      </c>
      <c r="Z266">
        <v>0</v>
      </c>
      <c r="AD266">
        <v>18</v>
      </c>
      <c r="AE266" s="55">
        <f t="shared" si="16"/>
        <v>771.76370880000013</v>
      </c>
      <c r="AF266" s="57">
        <v>0</v>
      </c>
      <c r="AG266" s="55">
        <v>789.87506903020289</v>
      </c>
      <c r="AH266" s="55">
        <v>0</v>
      </c>
      <c r="AJ266" s="51"/>
      <c r="AK266" s="52">
        <v>9.1153655588092616E-2</v>
      </c>
      <c r="AM266" s="28">
        <v>1.8642857142857141</v>
      </c>
      <c r="AN266" s="28">
        <v>3.1428571428571428</v>
      </c>
      <c r="AO266" s="28">
        <v>2.714285714285714</v>
      </c>
      <c r="AP266" s="28">
        <v>3.1</v>
      </c>
      <c r="AQ266" s="28">
        <v>0.17227722772277229</v>
      </c>
      <c r="AR266" s="28">
        <v>0.29042904290429039</v>
      </c>
      <c r="AS266" s="28">
        <v>0.25082508250825092</v>
      </c>
      <c r="AT266" s="28">
        <v>0.28646864686468648</v>
      </c>
      <c r="AU266" s="25">
        <v>1.6</v>
      </c>
      <c r="AV266" s="25">
        <v>3.44</v>
      </c>
      <c r="AW266" s="25">
        <v>1.84</v>
      </c>
      <c r="AX266" s="25">
        <v>2.9004285714285709</v>
      </c>
      <c r="AY266">
        <v>2.9004285714285718</v>
      </c>
      <c r="AZ266">
        <v>6.2640899342857157</v>
      </c>
      <c r="BA266" s="75">
        <v>0.51995616258071919</v>
      </c>
      <c r="BB266" s="75">
        <v>0.51988140722208986</v>
      </c>
      <c r="BF266">
        <v>4.5576827794046308E-2</v>
      </c>
      <c r="BH266">
        <v>9.1153655588092616E-2</v>
      </c>
      <c r="BI266">
        <v>4.5576827794046308E-2</v>
      </c>
      <c r="BJ266">
        <v>0.51991878490140453</v>
      </c>
    </row>
    <row r="267" spans="1:62" x14ac:dyDescent="0.3">
      <c r="A267" s="2" t="s">
        <v>25</v>
      </c>
      <c r="B267" s="13" t="s">
        <v>708</v>
      </c>
      <c r="C267" s="13"/>
      <c r="F267" s="2">
        <v>2.88</v>
      </c>
      <c r="G267" s="2" t="s">
        <v>213</v>
      </c>
      <c r="H267" s="9" t="s">
        <v>541</v>
      </c>
      <c r="I267" t="s">
        <v>621</v>
      </c>
      <c r="J267"/>
      <c r="L267" s="25">
        <v>1</v>
      </c>
      <c r="M267">
        <v>4</v>
      </c>
      <c r="N267">
        <v>0</v>
      </c>
      <c r="O267" s="2">
        <v>5.4960000000000004</v>
      </c>
      <c r="P267" s="2">
        <v>5.4960000000000004</v>
      </c>
      <c r="Q267" s="2">
        <v>25.55</v>
      </c>
      <c r="R267" s="2" t="s">
        <v>450</v>
      </c>
      <c r="T267" s="25">
        <v>12.868820120000001</v>
      </c>
      <c r="U267" s="25">
        <v>12.868820120000001</v>
      </c>
      <c r="V267" s="25">
        <v>12.868820120000001</v>
      </c>
      <c r="W267">
        <v>5.5453000000000001</v>
      </c>
      <c r="X267">
        <v>5.5453000000000001</v>
      </c>
      <c r="Y267">
        <v>25.686699999999998</v>
      </c>
      <c r="Z267">
        <v>0</v>
      </c>
      <c r="AD267">
        <v>18</v>
      </c>
      <c r="AE267" s="55">
        <f t="shared" si="16"/>
        <v>771.76370880000013</v>
      </c>
      <c r="AF267" s="57">
        <v>197.4403766939285</v>
      </c>
      <c r="AG267" s="55">
        <v>789.87506903020289</v>
      </c>
      <c r="AH267" s="55">
        <v>0</v>
      </c>
      <c r="AJ267" s="51">
        <v>9.1166762854710051E-2</v>
      </c>
      <c r="AK267" s="52">
        <v>9.1153655588092616E-2</v>
      </c>
      <c r="AM267" s="28">
        <v>1.857142857142857</v>
      </c>
      <c r="AN267" s="28">
        <v>3.1428571428571428</v>
      </c>
      <c r="AO267" s="28">
        <v>2.714285714285714</v>
      </c>
      <c r="AP267" s="28">
        <v>3</v>
      </c>
      <c r="AQ267" s="28">
        <v>0.17333333333333331</v>
      </c>
      <c r="AR267" s="28">
        <v>0.29333333333333328</v>
      </c>
      <c r="AS267" s="28">
        <v>0.25333333333333341</v>
      </c>
      <c r="AT267" s="28">
        <v>0.28000000000000003</v>
      </c>
      <c r="AU267" s="25">
        <v>1.6</v>
      </c>
      <c r="AV267" s="25">
        <v>3.44</v>
      </c>
      <c r="AW267" s="25">
        <v>1.84</v>
      </c>
      <c r="AX267" s="25">
        <v>2.895</v>
      </c>
      <c r="AY267">
        <v>2.895</v>
      </c>
      <c r="AZ267">
        <v>6.260504073571429</v>
      </c>
      <c r="BA267" s="75">
        <v>0.51995616258071919</v>
      </c>
      <c r="BB267" s="75">
        <v>0.51988140722208986</v>
      </c>
      <c r="BE267">
        <v>4.5583381427355033E-2</v>
      </c>
      <c r="BF267">
        <v>4.5576827794046308E-2</v>
      </c>
      <c r="BH267">
        <v>9.1160209221401334E-2</v>
      </c>
      <c r="BI267">
        <v>4.5580104610700667E-2</v>
      </c>
      <c r="BJ267">
        <v>0.51991878490140453</v>
      </c>
    </row>
    <row r="268" spans="1:62" x14ac:dyDescent="0.3">
      <c r="A268" s="2" t="s">
        <v>26</v>
      </c>
      <c r="B268" s="17" t="s">
        <v>879</v>
      </c>
      <c r="C268" s="13"/>
      <c r="F268" s="2">
        <v>2.91</v>
      </c>
      <c r="G268" s="2" t="s">
        <v>213</v>
      </c>
      <c r="H268" s="32" t="s">
        <v>541</v>
      </c>
      <c r="I268" s="1" t="s">
        <v>621</v>
      </c>
      <c r="J268" s="1"/>
      <c r="K268" s="1"/>
      <c r="L268" s="36">
        <v>0</v>
      </c>
      <c r="M268">
        <v>4</v>
      </c>
      <c r="N268">
        <v>0</v>
      </c>
      <c r="O268" s="1">
        <v>5.4960000000000004</v>
      </c>
      <c r="P268" s="1">
        <v>5.4960000000000004</v>
      </c>
      <c r="Q268" s="1">
        <v>25.55</v>
      </c>
      <c r="R268" s="1" t="s">
        <v>450</v>
      </c>
      <c r="T268" s="25">
        <v>0</v>
      </c>
      <c r="U268" s="25"/>
      <c r="V268" s="25"/>
      <c r="W268">
        <v>5.5453000000000001</v>
      </c>
      <c r="X268">
        <v>5.5453000000000001</v>
      </c>
      <c r="Y268">
        <v>25.686699999999998</v>
      </c>
      <c r="Z268">
        <v>0</v>
      </c>
      <c r="AD268">
        <v>18</v>
      </c>
      <c r="AE268" s="55">
        <f t="shared" si="16"/>
        <v>771.76370880000013</v>
      </c>
      <c r="AF268" s="57">
        <v>0</v>
      </c>
      <c r="AG268" s="55">
        <v>789.87506903020289</v>
      </c>
      <c r="AH268" s="55">
        <v>0</v>
      </c>
      <c r="AJ268" s="51"/>
      <c r="AK268" s="52">
        <v>9.1153655588092616E-2</v>
      </c>
      <c r="AM268" s="28">
        <v>1.8642857142857141</v>
      </c>
      <c r="AN268" s="28">
        <v>3.1428571428571428</v>
      </c>
      <c r="AO268" s="28">
        <v>2.7</v>
      </c>
      <c r="AP268" s="28">
        <v>3</v>
      </c>
      <c r="AQ268" s="28">
        <v>0.1741160773849233</v>
      </c>
      <c r="AR268" s="28">
        <v>0.29352901934623082</v>
      </c>
      <c r="AS268" s="28">
        <v>0.25216811207471651</v>
      </c>
      <c r="AT268" s="28">
        <v>0.28018679119412943</v>
      </c>
      <c r="AU268" s="25">
        <v>1.54</v>
      </c>
      <c r="AV268" s="25">
        <v>3.44</v>
      </c>
      <c r="AW268" s="25">
        <v>1.9</v>
      </c>
      <c r="AX268" s="25">
        <v>2.894571428571429</v>
      </c>
      <c r="AY268">
        <v>2.894571428571429</v>
      </c>
      <c r="AZ268">
        <v>6.2577448164285716</v>
      </c>
      <c r="BA268" s="75">
        <v>0.51995616258071919</v>
      </c>
      <c r="BB268" s="75">
        <v>0.51988140722208986</v>
      </c>
      <c r="BF268">
        <v>4.5576827794046308E-2</v>
      </c>
      <c r="BH268">
        <v>9.1153655588092616E-2</v>
      </c>
      <c r="BI268">
        <v>4.5576827794046308E-2</v>
      </c>
      <c r="BJ268">
        <v>0.51991878490140453</v>
      </c>
    </row>
    <row r="269" spans="1:62" x14ac:dyDescent="0.3">
      <c r="A269" s="2" t="s">
        <v>107</v>
      </c>
      <c r="B269" s="13" t="s">
        <v>727</v>
      </c>
      <c r="C269" s="13"/>
      <c r="F269" s="2">
        <v>3.08</v>
      </c>
      <c r="G269" s="2" t="s">
        <v>214</v>
      </c>
      <c r="H269" s="9" t="s">
        <v>555</v>
      </c>
      <c r="I269" t="s">
        <v>632</v>
      </c>
      <c r="J269"/>
      <c r="L269" s="25">
        <v>1</v>
      </c>
      <c r="M269">
        <v>4</v>
      </c>
      <c r="N269">
        <v>0</v>
      </c>
      <c r="T269" s="25">
        <v>3.86469438</v>
      </c>
      <c r="U269" s="25">
        <v>3.86469438</v>
      </c>
      <c r="V269" s="25">
        <v>16.978874730000001</v>
      </c>
      <c r="W269">
        <v>32.83</v>
      </c>
      <c r="X269">
        <v>5.4109999999999996</v>
      </c>
      <c r="Y269">
        <v>5.4480000000000004</v>
      </c>
      <c r="Z269">
        <v>0</v>
      </c>
      <c r="AD269">
        <v>24</v>
      </c>
      <c r="AE269" s="55">
        <f t="shared" si="16"/>
        <v>0</v>
      </c>
      <c r="AF269" s="57">
        <v>251.01098912285789</v>
      </c>
      <c r="AG269" s="55">
        <v>967.79977224000004</v>
      </c>
      <c r="AH269" s="55">
        <v>0</v>
      </c>
      <c r="AJ269" s="51">
        <v>9.5613343797681868E-2</v>
      </c>
      <c r="AK269" s="52">
        <v>9.919407170122109E-2</v>
      </c>
      <c r="AM269" s="28">
        <v>2</v>
      </c>
      <c r="AN269" s="28">
        <v>3.1578947368421049</v>
      </c>
      <c r="AO269" s="28">
        <v>2.4210526315789469</v>
      </c>
      <c r="AP269" s="28">
        <v>2.947368421052631</v>
      </c>
      <c r="AQ269" s="28">
        <v>0.19</v>
      </c>
      <c r="AR269" s="28">
        <v>0.3</v>
      </c>
      <c r="AS269" s="28">
        <v>0.23</v>
      </c>
      <c r="AT269" s="28">
        <v>0.28000000000000003</v>
      </c>
      <c r="AU269" s="25">
        <v>1.54</v>
      </c>
      <c r="AV269" s="25">
        <v>3.44</v>
      </c>
      <c r="AW269" s="25">
        <v>1.9</v>
      </c>
      <c r="AX269" s="25">
        <v>2.8410526315789468</v>
      </c>
      <c r="AY269">
        <v>2.8410526315789468</v>
      </c>
      <c r="AZ269">
        <v>6.1729587136842099</v>
      </c>
      <c r="BA269" s="75">
        <v>0.52818907539878324</v>
      </c>
      <c r="BB269" s="75">
        <v>0.54796980145127927</v>
      </c>
      <c r="BE269">
        <v>4.7806671898840941E-2</v>
      </c>
      <c r="BF269">
        <v>4.9597035850610538E-2</v>
      </c>
      <c r="BH269">
        <v>9.7403707749451479E-2</v>
      </c>
      <c r="BI269">
        <v>4.870185387472574E-2</v>
      </c>
      <c r="BJ269">
        <v>0.53807943842503125</v>
      </c>
    </row>
    <row r="270" spans="1:62" x14ac:dyDescent="0.3">
      <c r="A270" s="2" t="s">
        <v>215</v>
      </c>
      <c r="B270" s="13" t="s">
        <v>734</v>
      </c>
      <c r="C270" s="13"/>
      <c r="F270" s="2">
        <v>3.8</v>
      </c>
      <c r="G270" s="2" t="s">
        <v>216</v>
      </c>
      <c r="H270" s="9" t="s">
        <v>587</v>
      </c>
      <c r="I270" t="s">
        <v>636</v>
      </c>
      <c r="J270"/>
      <c r="L270" s="25">
        <v>1</v>
      </c>
      <c r="M270">
        <v>1</v>
      </c>
      <c r="N270">
        <v>0</v>
      </c>
      <c r="T270" s="25">
        <v>3.950634</v>
      </c>
      <c r="U270" s="25">
        <v>3.950634</v>
      </c>
      <c r="V270" s="25">
        <v>15.513552000000001</v>
      </c>
      <c r="W270">
        <v>3.8658999999999999</v>
      </c>
      <c r="X270">
        <v>3.8658999999999999</v>
      </c>
      <c r="Y270">
        <v>15.2538</v>
      </c>
      <c r="Z270">
        <v>0</v>
      </c>
      <c r="AD270">
        <v>20</v>
      </c>
      <c r="AE270" s="55">
        <f t="shared" si="16"/>
        <v>0</v>
      </c>
      <c r="AF270" s="57">
        <v>242.1279024923125</v>
      </c>
      <c r="AG270" s="55">
        <v>227.970829547178</v>
      </c>
      <c r="AH270" s="55">
        <v>0</v>
      </c>
      <c r="AJ270" s="51">
        <v>8.2600971611006269E-2</v>
      </c>
      <c r="AK270" s="52">
        <v>8.7730522539775438E-2</v>
      </c>
      <c r="AM270" s="28">
        <v>1.9375</v>
      </c>
      <c r="AN270" s="28">
        <v>2.5</v>
      </c>
      <c r="AO270" s="28">
        <v>0.5625</v>
      </c>
      <c r="AP270" s="28">
        <v>2.625</v>
      </c>
      <c r="AQ270" s="28">
        <v>0.25409836065573771</v>
      </c>
      <c r="AR270" s="28">
        <v>0.32786885245901642</v>
      </c>
      <c r="AS270" s="28">
        <v>7.3770491803278687E-2</v>
      </c>
      <c r="AT270" s="28">
        <v>0.34426229508196721</v>
      </c>
      <c r="AU270" s="25">
        <v>0.79</v>
      </c>
      <c r="AV270" s="25">
        <v>3.44</v>
      </c>
      <c r="AW270" s="25">
        <v>2.65</v>
      </c>
      <c r="AX270" s="25">
        <v>2.6056249999999999</v>
      </c>
      <c r="AY270">
        <v>2.6056249999999999</v>
      </c>
      <c r="AZ270">
        <v>5.9703320286696879</v>
      </c>
      <c r="BA270" s="75">
        <v>0.52453741991489755</v>
      </c>
      <c r="BB270" s="75">
        <v>0.55711138795694093</v>
      </c>
      <c r="BE270">
        <v>4.1300485805503127E-2</v>
      </c>
      <c r="BF270">
        <v>4.3865261269887712E-2</v>
      </c>
      <c r="BH270">
        <v>8.5165747075390846E-2</v>
      </c>
      <c r="BI270">
        <v>4.2582873537695423E-2</v>
      </c>
      <c r="BJ270">
        <v>0.54082440393591924</v>
      </c>
    </row>
    <row r="271" spans="1:62" x14ac:dyDescent="0.3">
      <c r="A271" s="2" t="s">
        <v>215</v>
      </c>
      <c r="B271" s="13" t="s">
        <v>734</v>
      </c>
      <c r="C271" s="13"/>
      <c r="D271" s="2" t="s">
        <v>676</v>
      </c>
      <c r="E271" s="2">
        <v>0.44</v>
      </c>
      <c r="F271" s="2">
        <v>2</v>
      </c>
      <c r="G271" s="2" t="s">
        <v>216</v>
      </c>
      <c r="H271" s="9" t="s">
        <v>587</v>
      </c>
      <c r="I271" t="s">
        <v>636</v>
      </c>
      <c r="J271"/>
      <c r="L271" s="25">
        <v>1</v>
      </c>
      <c r="M271">
        <v>1</v>
      </c>
      <c r="N271">
        <v>0</v>
      </c>
      <c r="T271" s="25">
        <v>3.950634</v>
      </c>
      <c r="U271" s="25">
        <v>3.950634</v>
      </c>
      <c r="V271" s="25">
        <v>15.513552000000001</v>
      </c>
      <c r="W271">
        <v>3.8658999999999999</v>
      </c>
      <c r="X271">
        <v>3.8658999999999999</v>
      </c>
      <c r="Y271">
        <v>15.2538</v>
      </c>
      <c r="Z271">
        <v>0</v>
      </c>
      <c r="AD271">
        <v>20</v>
      </c>
      <c r="AE271" s="55">
        <f t="shared" si="16"/>
        <v>0</v>
      </c>
      <c r="AF271" s="57">
        <v>242.1279024923125</v>
      </c>
      <c r="AG271" s="55">
        <v>227.970829547178</v>
      </c>
      <c r="AH271" s="55">
        <v>0</v>
      </c>
      <c r="AJ271" s="51">
        <v>8.2600971611006269E-2</v>
      </c>
      <c r="AK271" s="52">
        <v>8.7730522539775438E-2</v>
      </c>
      <c r="AM271" s="28">
        <v>1.9375</v>
      </c>
      <c r="AN271" s="28">
        <v>2.5</v>
      </c>
      <c r="AO271" s="28">
        <v>0.5625</v>
      </c>
      <c r="AP271" s="28">
        <v>2.625</v>
      </c>
      <c r="AQ271" s="28">
        <v>0.25409836065573771</v>
      </c>
      <c r="AR271" s="28">
        <v>0.32786885245901642</v>
      </c>
      <c r="AS271" s="28">
        <v>7.3770491803278687E-2</v>
      </c>
      <c r="AT271" s="28">
        <v>0.34426229508196721</v>
      </c>
      <c r="AU271" s="25">
        <v>0.79</v>
      </c>
      <c r="AV271" s="25">
        <v>3.44</v>
      </c>
      <c r="AW271" s="25">
        <v>2.65</v>
      </c>
      <c r="AX271" s="25">
        <v>2.6056249999999999</v>
      </c>
      <c r="AY271">
        <v>2.6056249999999999</v>
      </c>
      <c r="AZ271">
        <v>5.9703320286696879</v>
      </c>
      <c r="BA271" s="75">
        <v>0.52453741991489755</v>
      </c>
      <c r="BB271" s="75">
        <v>0.55711138795694093</v>
      </c>
      <c r="BE271">
        <v>4.1300485805503127E-2</v>
      </c>
      <c r="BF271">
        <v>4.3865261269887712E-2</v>
      </c>
      <c r="BH271">
        <v>8.5165747075390846E-2</v>
      </c>
      <c r="BI271">
        <v>4.2582873537695423E-2</v>
      </c>
      <c r="BJ271">
        <v>0.54082440393591924</v>
      </c>
    </row>
    <row r="272" spans="1:62" x14ac:dyDescent="0.3">
      <c r="A272" s="2" t="s">
        <v>217</v>
      </c>
      <c r="B272" s="13" t="s">
        <v>806</v>
      </c>
      <c r="C272" s="13"/>
      <c r="F272" s="2">
        <v>2.58</v>
      </c>
      <c r="G272" s="2" t="s">
        <v>218</v>
      </c>
      <c r="H272" s="9">
        <v>-1</v>
      </c>
      <c r="I272">
        <v>-1</v>
      </c>
      <c r="J272"/>
      <c r="K272" s="2">
        <v>1</v>
      </c>
      <c r="L272" s="25">
        <v>0</v>
      </c>
      <c r="M272">
        <v>0</v>
      </c>
      <c r="N272">
        <v>0</v>
      </c>
      <c r="O272" s="2">
        <v>3.93</v>
      </c>
      <c r="P272" s="2">
        <v>3.93</v>
      </c>
      <c r="Q272" s="2">
        <v>15.3</v>
      </c>
      <c r="T272" s="25">
        <v>0</v>
      </c>
      <c r="U272" s="25"/>
      <c r="V272" s="25"/>
      <c r="W272">
        <v>0</v>
      </c>
      <c r="Z272">
        <v>0</v>
      </c>
      <c r="AD272">
        <v>20</v>
      </c>
      <c r="AE272" s="55">
        <f t="shared" si="16"/>
        <v>236.30697000000001</v>
      </c>
      <c r="AF272" s="57">
        <v>0</v>
      </c>
      <c r="AG272" s="55">
        <v>0</v>
      </c>
      <c r="AH272" s="55">
        <v>0</v>
      </c>
      <c r="AI272" s="52">
        <f t="shared" ref="AI272:AI273" si="17">K272*AD272/AE272</f>
        <v>8.4635675367510321E-2</v>
      </c>
      <c r="AJ272" s="51"/>
      <c r="AM272" s="28">
        <v>1.75</v>
      </c>
      <c r="AN272" s="28">
        <v>2.75</v>
      </c>
      <c r="AO272" s="28">
        <v>2</v>
      </c>
      <c r="AP272" s="28">
        <v>1.75</v>
      </c>
      <c r="AQ272" s="28">
        <v>0.2121212121212121</v>
      </c>
      <c r="AR272" s="28">
        <v>0.33333333333333331</v>
      </c>
      <c r="AS272" s="28">
        <v>0.2424242424242424</v>
      </c>
      <c r="AT272" s="28">
        <v>0.2121212121212121</v>
      </c>
      <c r="AU272" s="25">
        <v>1.6</v>
      </c>
      <c r="AV272" s="25">
        <v>3.44</v>
      </c>
      <c r="AW272" s="25">
        <v>1.84</v>
      </c>
      <c r="AX272" s="25">
        <v>2.8787500000000001</v>
      </c>
      <c r="AY272">
        <v>2.8787500000000001</v>
      </c>
      <c r="AZ272">
        <v>6.3662565249906873</v>
      </c>
      <c r="BD272">
        <v>4.2317837683755161E-2</v>
      </c>
      <c r="BH272">
        <v>8.4635675367510321E-2</v>
      </c>
      <c r="BI272">
        <v>4.2317837683755161E-2</v>
      </c>
      <c r="BJ272">
        <v>0</v>
      </c>
    </row>
    <row r="273" spans="1:62" x14ac:dyDescent="0.3">
      <c r="A273" s="2" t="s">
        <v>873</v>
      </c>
      <c r="B273" s="13" t="s">
        <v>874</v>
      </c>
      <c r="C273" s="13"/>
      <c r="F273" s="2">
        <v>2.29</v>
      </c>
      <c r="G273" s="2" t="s">
        <v>218</v>
      </c>
      <c r="H273" s="9">
        <v>-1</v>
      </c>
      <c r="I273">
        <v>-1</v>
      </c>
      <c r="J273"/>
      <c r="K273" s="2">
        <v>1</v>
      </c>
      <c r="L273" s="25">
        <v>0</v>
      </c>
      <c r="M273">
        <v>0</v>
      </c>
      <c r="N273">
        <v>0</v>
      </c>
      <c r="O273" s="2">
        <v>3.93</v>
      </c>
      <c r="P273" s="2">
        <v>3.93</v>
      </c>
      <c r="Q273" s="2">
        <v>15.3</v>
      </c>
      <c r="T273" s="25">
        <v>0</v>
      </c>
      <c r="U273" s="25"/>
      <c r="V273" s="25"/>
      <c r="W273">
        <v>0</v>
      </c>
      <c r="Z273">
        <v>0</v>
      </c>
      <c r="AD273">
        <v>20</v>
      </c>
      <c r="AE273" s="55">
        <f t="shared" si="16"/>
        <v>236.30697000000001</v>
      </c>
      <c r="AF273" s="57">
        <v>0</v>
      </c>
      <c r="AG273" s="55">
        <v>0</v>
      </c>
      <c r="AH273" s="55">
        <v>0</v>
      </c>
      <c r="AI273" s="52">
        <f t="shared" si="17"/>
        <v>8.4635675367510321E-2</v>
      </c>
      <c r="AJ273" s="51"/>
      <c r="AM273" s="28">
        <v>1.714285714285714</v>
      </c>
      <c r="AN273" s="28">
        <v>2.6190476190476191</v>
      </c>
      <c r="AO273" s="28">
        <v>1.9285714285714279</v>
      </c>
      <c r="AP273" s="28">
        <v>1.666666666666667</v>
      </c>
      <c r="AQ273" s="28">
        <v>0.2162162162162162</v>
      </c>
      <c r="AR273" s="28">
        <v>0.33033033033033038</v>
      </c>
      <c r="AS273" s="28">
        <v>0.2432432432432432</v>
      </c>
      <c r="AT273" s="28">
        <v>0.21021021021021019</v>
      </c>
      <c r="AU273" s="25">
        <v>1.6</v>
      </c>
      <c r="AV273" s="25">
        <v>3.44</v>
      </c>
      <c r="AW273" s="25">
        <v>1.84</v>
      </c>
      <c r="AX273" s="25">
        <v>2.847857142857142</v>
      </c>
      <c r="AY273">
        <v>2.8478571428571429</v>
      </c>
      <c r="AZ273">
        <v>6.402055730936417</v>
      </c>
      <c r="BD273">
        <v>4.2317837683755161E-2</v>
      </c>
      <c r="BH273">
        <v>8.4635675367510321E-2</v>
      </c>
      <c r="BI273">
        <v>4.2317837683755161E-2</v>
      </c>
      <c r="BJ273">
        <v>0</v>
      </c>
    </row>
    <row r="274" spans="1:62" x14ac:dyDescent="0.3">
      <c r="A274" s="2" t="s">
        <v>220</v>
      </c>
      <c r="B274" s="13" t="s">
        <v>807</v>
      </c>
      <c r="C274" s="13"/>
      <c r="F274" s="2">
        <v>4.05</v>
      </c>
      <c r="G274" s="2" t="s">
        <v>219</v>
      </c>
      <c r="H274" s="9" t="s">
        <v>588</v>
      </c>
      <c r="I274" t="s">
        <v>661</v>
      </c>
      <c r="J274"/>
      <c r="L274" s="25">
        <v>1</v>
      </c>
      <c r="M274">
        <v>1</v>
      </c>
      <c r="N274">
        <v>0</v>
      </c>
      <c r="T274" s="25">
        <v>5.81978595</v>
      </c>
      <c r="U274" s="25">
        <v>5.81978595</v>
      </c>
      <c r="V274" s="25">
        <v>11.88463337</v>
      </c>
      <c r="W274">
        <v>5.7759999999999998</v>
      </c>
      <c r="X274">
        <v>5.7759999999999998</v>
      </c>
      <c r="Y274">
        <v>11.82</v>
      </c>
      <c r="Z274">
        <v>0</v>
      </c>
      <c r="AD274">
        <v>30</v>
      </c>
      <c r="AE274" s="55">
        <f t="shared" si="16"/>
        <v>0</v>
      </c>
      <c r="AF274" s="57">
        <v>348.60249769877402</v>
      </c>
      <c r="AG274" s="55">
        <v>341.5092547488552</v>
      </c>
      <c r="AH274" s="55">
        <v>0</v>
      </c>
      <c r="AJ274" s="51">
        <v>8.6057903193576313E-2</v>
      </c>
      <c r="AK274" s="52">
        <v>8.7845349965879851E-2</v>
      </c>
      <c r="AM274" s="28">
        <v>2</v>
      </c>
      <c r="AN274" s="28">
        <v>2.5</v>
      </c>
      <c r="AO274" s="28">
        <v>0.5</v>
      </c>
      <c r="AP274" s="28">
        <v>2.333333333333333</v>
      </c>
      <c r="AQ274" s="28">
        <v>0.27272727272727282</v>
      </c>
      <c r="AR274" s="28">
        <v>0.34090909090909088</v>
      </c>
      <c r="AS274" s="28">
        <v>6.8181818181818191E-2</v>
      </c>
      <c r="AT274" s="28">
        <v>0.31818181818181818</v>
      </c>
      <c r="AU274" s="25">
        <v>0.89</v>
      </c>
      <c r="AV274" s="25">
        <v>3.44</v>
      </c>
      <c r="AW274" s="25">
        <v>2.5499999999999998</v>
      </c>
      <c r="AX274" s="25">
        <v>2.5854166666666671</v>
      </c>
      <c r="AY274">
        <v>2.5854166666666671</v>
      </c>
      <c r="AZ274">
        <v>5.9262421145833333</v>
      </c>
      <c r="BA274" s="75">
        <v>0.58209579444379334</v>
      </c>
      <c r="BB274" s="75">
        <v>0.59418608726221844</v>
      </c>
      <c r="BE274">
        <v>4.3028951596788149E-2</v>
      </c>
      <c r="BF274">
        <v>4.3922674982939933E-2</v>
      </c>
      <c r="BH274">
        <v>8.6951626579728075E-2</v>
      </c>
      <c r="BI274">
        <v>4.3475813289864038E-2</v>
      </c>
      <c r="BJ274">
        <v>0.58814094085300583</v>
      </c>
    </row>
    <row r="275" spans="1:62" x14ac:dyDescent="0.3">
      <c r="A275" s="2" t="s">
        <v>220</v>
      </c>
      <c r="B275" s="13" t="s">
        <v>807</v>
      </c>
      <c r="C275" s="13"/>
      <c r="D275" s="2" t="s">
        <v>676</v>
      </c>
      <c r="E275" s="2">
        <v>0.3</v>
      </c>
      <c r="F275" s="2">
        <v>1.75</v>
      </c>
      <c r="G275" s="2" t="s">
        <v>219</v>
      </c>
      <c r="H275" s="9" t="s">
        <v>588</v>
      </c>
      <c r="I275" t="s">
        <v>661</v>
      </c>
      <c r="J275"/>
      <c r="L275" s="25">
        <v>1</v>
      </c>
      <c r="M275">
        <v>1</v>
      </c>
      <c r="N275">
        <v>0</v>
      </c>
      <c r="T275" s="25">
        <v>5.81978595</v>
      </c>
      <c r="U275" s="25">
        <v>5.81978595</v>
      </c>
      <c r="V275" s="25">
        <v>11.88463337</v>
      </c>
      <c r="W275">
        <v>5.7759999999999998</v>
      </c>
      <c r="X275">
        <v>5.7759999999999998</v>
      </c>
      <c r="Y275">
        <v>11.82</v>
      </c>
      <c r="Z275">
        <v>0</v>
      </c>
      <c r="AD275">
        <v>30</v>
      </c>
      <c r="AE275" s="55">
        <f t="shared" si="16"/>
        <v>0</v>
      </c>
      <c r="AF275" s="57">
        <v>348.60249769877402</v>
      </c>
      <c r="AG275" s="55">
        <v>341.5092547488552</v>
      </c>
      <c r="AH275" s="55">
        <v>0</v>
      </c>
      <c r="AJ275" s="51">
        <v>8.6057903193576313E-2</v>
      </c>
      <c r="AK275" s="52">
        <v>8.7845349965879851E-2</v>
      </c>
      <c r="AM275" s="28">
        <v>2</v>
      </c>
      <c r="AN275" s="28">
        <v>2.5</v>
      </c>
      <c r="AO275" s="28">
        <v>0.5</v>
      </c>
      <c r="AP275" s="28">
        <v>2.333333333333333</v>
      </c>
      <c r="AQ275" s="28">
        <v>0.27272727272727282</v>
      </c>
      <c r="AR275" s="28">
        <v>0.34090909090909088</v>
      </c>
      <c r="AS275" s="28">
        <v>6.8181818181818191E-2</v>
      </c>
      <c r="AT275" s="28">
        <v>0.31818181818181818</v>
      </c>
      <c r="AU275" s="25">
        <v>0.89</v>
      </c>
      <c r="AV275" s="25">
        <v>3.44</v>
      </c>
      <c r="AW275" s="25">
        <v>2.5499999999999998</v>
      </c>
      <c r="AX275" s="25">
        <v>2.5854166666666671</v>
      </c>
      <c r="AY275">
        <v>2.5854166666666671</v>
      </c>
      <c r="AZ275">
        <v>5.9262421145833333</v>
      </c>
      <c r="BA275" s="75">
        <v>0.58209579444379334</v>
      </c>
      <c r="BB275" s="75">
        <v>0.59418608726221844</v>
      </c>
      <c r="BE275">
        <v>4.3028951596788149E-2</v>
      </c>
      <c r="BF275">
        <v>4.3922674982939933E-2</v>
      </c>
      <c r="BH275">
        <v>8.6951626579728075E-2</v>
      </c>
      <c r="BI275">
        <v>4.3475813289864038E-2</v>
      </c>
      <c r="BJ275">
        <v>0.58814094085300583</v>
      </c>
    </row>
    <row r="276" spans="1:62" x14ac:dyDescent="0.3">
      <c r="A276" s="2" t="s">
        <v>221</v>
      </c>
      <c r="B276" s="13" t="s">
        <v>808</v>
      </c>
      <c r="C276" s="13"/>
      <c r="F276" s="2">
        <v>4.51</v>
      </c>
      <c r="G276" s="2" t="s">
        <v>222</v>
      </c>
      <c r="H276" s="9" t="s">
        <v>589</v>
      </c>
      <c r="I276">
        <v>-1</v>
      </c>
      <c r="J276"/>
      <c r="L276" s="25">
        <v>1</v>
      </c>
      <c r="M276">
        <v>0</v>
      </c>
      <c r="N276">
        <v>0</v>
      </c>
      <c r="T276" s="25">
        <v>5.6694849300000003</v>
      </c>
      <c r="U276" s="25">
        <v>5.6694842000000003</v>
      </c>
      <c r="V276" s="25">
        <v>11.54266629</v>
      </c>
      <c r="W276">
        <v>0</v>
      </c>
      <c r="Z276">
        <v>0</v>
      </c>
      <c r="AD276">
        <v>30</v>
      </c>
      <c r="AE276" s="55">
        <f t="shared" si="16"/>
        <v>0</v>
      </c>
      <c r="AF276" s="57">
        <v>321.30962315738361</v>
      </c>
      <c r="AG276" s="55">
        <v>0</v>
      </c>
      <c r="AH276" s="55">
        <v>0</v>
      </c>
      <c r="AJ276" s="51">
        <v>9.3367885173191417E-2</v>
      </c>
      <c r="AM276" s="28">
        <v>2</v>
      </c>
      <c r="AN276" s="28">
        <v>2.5</v>
      </c>
      <c r="AO276" s="28">
        <v>0.5</v>
      </c>
      <c r="AP276" s="28">
        <v>2.333333333333333</v>
      </c>
      <c r="AQ276" s="28">
        <v>0.27272727272727282</v>
      </c>
      <c r="AR276" s="28">
        <v>0.34090909090909088</v>
      </c>
      <c r="AS276" s="28">
        <v>6.8181818181818191E-2</v>
      </c>
      <c r="AT276" s="28">
        <v>0.31818181818181818</v>
      </c>
      <c r="AU276" s="25">
        <v>0.95</v>
      </c>
      <c r="AV276" s="25">
        <v>3.44</v>
      </c>
      <c r="AW276" s="25">
        <v>2.4900000000000002</v>
      </c>
      <c r="AX276" s="25">
        <v>2.5979166666666669</v>
      </c>
      <c r="AY276">
        <v>2.597916666666666</v>
      </c>
      <c r="AZ276">
        <v>5.966934078125</v>
      </c>
      <c r="BA276" s="75">
        <v>0.56583721757051464</v>
      </c>
      <c r="BE276">
        <v>4.6683942586595709E-2</v>
      </c>
      <c r="BH276">
        <v>9.3367885173191417E-2</v>
      </c>
      <c r="BI276">
        <v>4.6683942586595709E-2</v>
      </c>
      <c r="BJ276">
        <v>0.56583721757051464</v>
      </c>
    </row>
    <row r="277" spans="1:62" x14ac:dyDescent="0.3">
      <c r="A277" s="2" t="s">
        <v>221</v>
      </c>
      <c r="B277" s="13" t="s">
        <v>808</v>
      </c>
      <c r="C277" s="13"/>
      <c r="D277" s="2" t="s">
        <v>676</v>
      </c>
      <c r="E277" s="2">
        <v>0.63</v>
      </c>
      <c r="F277" s="2">
        <v>2.2000000000000002</v>
      </c>
      <c r="G277" s="2" t="s">
        <v>222</v>
      </c>
      <c r="H277" s="9" t="s">
        <v>589</v>
      </c>
      <c r="I277">
        <v>-1</v>
      </c>
      <c r="J277"/>
      <c r="L277" s="25">
        <v>1</v>
      </c>
      <c r="M277">
        <v>0</v>
      </c>
      <c r="N277">
        <v>0</v>
      </c>
      <c r="T277" s="25">
        <v>5.6694849300000003</v>
      </c>
      <c r="U277" s="25">
        <v>5.6694842000000003</v>
      </c>
      <c r="V277" s="25">
        <v>11.54266629</v>
      </c>
      <c r="W277">
        <v>0</v>
      </c>
      <c r="Z277">
        <v>0</v>
      </c>
      <c r="AD277">
        <v>30</v>
      </c>
      <c r="AE277" s="55">
        <f t="shared" si="16"/>
        <v>0</v>
      </c>
      <c r="AF277" s="57">
        <v>321.30962315738361</v>
      </c>
      <c r="AG277" s="55">
        <v>0</v>
      </c>
      <c r="AH277" s="55">
        <v>0</v>
      </c>
      <c r="AJ277" s="51">
        <v>9.3367885173191417E-2</v>
      </c>
      <c r="AM277" s="28">
        <v>2</v>
      </c>
      <c r="AN277" s="28">
        <v>2.5</v>
      </c>
      <c r="AO277" s="28">
        <v>0.5</v>
      </c>
      <c r="AP277" s="28">
        <v>2.333333333333333</v>
      </c>
      <c r="AQ277" s="28">
        <v>0.27272727272727282</v>
      </c>
      <c r="AR277" s="28">
        <v>0.34090909090909088</v>
      </c>
      <c r="AS277" s="28">
        <v>6.8181818181818191E-2</v>
      </c>
      <c r="AT277" s="28">
        <v>0.31818181818181818</v>
      </c>
      <c r="AU277" s="25">
        <v>0.95</v>
      </c>
      <c r="AV277" s="25">
        <v>3.44</v>
      </c>
      <c r="AW277" s="25">
        <v>2.4900000000000002</v>
      </c>
      <c r="AX277" s="25">
        <v>2.5979166666666669</v>
      </c>
      <c r="AY277">
        <v>2.597916666666666</v>
      </c>
      <c r="AZ277">
        <v>5.966934078125</v>
      </c>
      <c r="BA277" s="75">
        <v>0.56583721757051464</v>
      </c>
      <c r="BE277">
        <v>4.6683942586595709E-2</v>
      </c>
      <c r="BH277">
        <v>9.3367885173191417E-2</v>
      </c>
      <c r="BI277">
        <v>4.6683942586595709E-2</v>
      </c>
      <c r="BJ277">
        <v>0.56583721757051464</v>
      </c>
    </row>
    <row r="278" spans="1:62" x14ac:dyDescent="0.3">
      <c r="A278" s="2" t="s">
        <v>185</v>
      </c>
      <c r="B278" s="13" t="s">
        <v>729</v>
      </c>
      <c r="C278" s="13"/>
      <c r="F278" s="2">
        <v>4.2</v>
      </c>
      <c r="G278" s="2" t="s">
        <v>223</v>
      </c>
      <c r="H278" s="9" t="s">
        <v>556</v>
      </c>
      <c r="I278" t="s">
        <v>633</v>
      </c>
      <c r="J278"/>
      <c r="L278" s="25">
        <v>2</v>
      </c>
      <c r="M278">
        <v>4</v>
      </c>
      <c r="N278">
        <v>0</v>
      </c>
      <c r="T278" s="25">
        <v>13.81974189</v>
      </c>
      <c r="U278" s="25">
        <v>13.81974189</v>
      </c>
      <c r="V278" s="25">
        <v>5.7110870199999999</v>
      </c>
      <c r="W278">
        <v>3.94</v>
      </c>
      <c r="X278">
        <v>27.15</v>
      </c>
      <c r="Y278">
        <v>5.6920000000000002</v>
      </c>
      <c r="Z278">
        <v>0</v>
      </c>
      <c r="AD278">
        <v>14</v>
      </c>
      <c r="AE278" s="55">
        <f t="shared" si="16"/>
        <v>0</v>
      </c>
      <c r="AF278" s="57">
        <v>309.44138863753989</v>
      </c>
      <c r="AG278" s="55">
        <v>608.87893199999996</v>
      </c>
      <c r="AH278" s="55">
        <v>0</v>
      </c>
      <c r="AJ278" s="51">
        <v>9.0485633235046756E-2</v>
      </c>
      <c r="AK278" s="52">
        <v>9.1972306901891634E-2</v>
      </c>
      <c r="AM278" s="28">
        <v>2</v>
      </c>
      <c r="AN278" s="28">
        <v>2.545454545454545</v>
      </c>
      <c r="AO278" s="28">
        <v>0.54545454545454541</v>
      </c>
      <c r="AP278" s="28">
        <v>2.545454545454545</v>
      </c>
      <c r="AQ278" s="28">
        <v>0.26190476190476192</v>
      </c>
      <c r="AR278" s="28">
        <v>0.33333333333333331</v>
      </c>
      <c r="AS278" s="28">
        <v>7.1428571428571425E-2</v>
      </c>
      <c r="AT278" s="28">
        <v>0.33333333333333331</v>
      </c>
      <c r="AU278" s="25">
        <v>0.95</v>
      </c>
      <c r="AV278" s="25">
        <v>3.44</v>
      </c>
      <c r="AW278" s="25">
        <v>2.4900000000000002</v>
      </c>
      <c r="AX278" s="25">
        <v>2.6345454545454539</v>
      </c>
      <c r="AY278">
        <v>2.6345454545454552</v>
      </c>
      <c r="AZ278">
        <v>6.036062318181818</v>
      </c>
      <c r="BA278" s="75">
        <v>0.52932707238284982</v>
      </c>
      <c r="BB278" s="75">
        <v>0.53802388525275069</v>
      </c>
      <c r="BE278">
        <v>4.5242816617523378E-2</v>
      </c>
      <c r="BF278">
        <v>4.5986153450945817E-2</v>
      </c>
      <c r="BH278">
        <v>9.1228970068469195E-2</v>
      </c>
      <c r="BI278">
        <v>4.5614485034234598E-2</v>
      </c>
      <c r="BJ278">
        <v>0.5336754788178002</v>
      </c>
    </row>
    <row r="279" spans="1:62" x14ac:dyDescent="0.3">
      <c r="A279" s="2" t="s">
        <v>185</v>
      </c>
      <c r="B279" s="13" t="s">
        <v>729</v>
      </c>
      <c r="C279" s="13"/>
      <c r="D279" s="2" t="s">
        <v>676</v>
      </c>
      <c r="E279" s="2">
        <v>0.90500000000000003</v>
      </c>
      <c r="F279" s="2">
        <v>2.2999999999999998</v>
      </c>
      <c r="G279" s="2" t="s">
        <v>223</v>
      </c>
      <c r="H279" s="9" t="s">
        <v>556</v>
      </c>
      <c r="I279" t="s">
        <v>633</v>
      </c>
      <c r="J279"/>
      <c r="L279" s="25">
        <v>2</v>
      </c>
      <c r="M279">
        <v>4</v>
      </c>
      <c r="N279">
        <v>0</v>
      </c>
      <c r="T279" s="25">
        <v>13.81974189</v>
      </c>
      <c r="U279" s="25">
        <v>13.81974189</v>
      </c>
      <c r="V279" s="25">
        <v>5.7110870199999999</v>
      </c>
      <c r="W279">
        <v>3.94</v>
      </c>
      <c r="X279">
        <v>27.15</v>
      </c>
      <c r="Y279">
        <v>5.6920000000000002</v>
      </c>
      <c r="Z279">
        <v>0</v>
      </c>
      <c r="AD279">
        <v>14</v>
      </c>
      <c r="AE279" s="55">
        <f t="shared" si="16"/>
        <v>0</v>
      </c>
      <c r="AF279" s="57">
        <v>309.44138863753989</v>
      </c>
      <c r="AG279" s="55">
        <v>608.87893199999996</v>
      </c>
      <c r="AH279" s="55">
        <v>0</v>
      </c>
      <c r="AJ279" s="51">
        <v>9.0485633235046756E-2</v>
      </c>
      <c r="AK279" s="52">
        <v>9.1972306901891634E-2</v>
      </c>
      <c r="AM279" s="28">
        <v>2</v>
      </c>
      <c r="AN279" s="28">
        <v>2.545454545454545</v>
      </c>
      <c r="AO279" s="28">
        <v>0.54545454545454541</v>
      </c>
      <c r="AP279" s="28">
        <v>2.545454545454545</v>
      </c>
      <c r="AQ279" s="28">
        <v>0.26190476190476192</v>
      </c>
      <c r="AR279" s="28">
        <v>0.33333333333333331</v>
      </c>
      <c r="AS279" s="28">
        <v>7.1428571428571425E-2</v>
      </c>
      <c r="AT279" s="28">
        <v>0.33333333333333331</v>
      </c>
      <c r="AU279" s="25">
        <v>0.95</v>
      </c>
      <c r="AV279" s="25">
        <v>3.44</v>
      </c>
      <c r="AW279" s="25">
        <v>2.4900000000000002</v>
      </c>
      <c r="AX279" s="25">
        <v>2.6345454545454539</v>
      </c>
      <c r="AY279">
        <v>2.6345454545454552</v>
      </c>
      <c r="AZ279">
        <v>6.036062318181818</v>
      </c>
      <c r="BA279" s="75">
        <v>0.52932707238284982</v>
      </c>
      <c r="BB279" s="75">
        <v>0.53802388525275069</v>
      </c>
      <c r="BE279">
        <v>4.5242816617523378E-2</v>
      </c>
      <c r="BF279">
        <v>4.5986153450945817E-2</v>
      </c>
      <c r="BH279">
        <v>9.1228970068469195E-2</v>
      </c>
      <c r="BI279">
        <v>4.5614485034234598E-2</v>
      </c>
      <c r="BJ279">
        <v>0.5336754788178002</v>
      </c>
    </row>
    <row r="280" spans="1:62" x14ac:dyDescent="0.3">
      <c r="A280" s="2" t="s">
        <v>46</v>
      </c>
      <c r="B280" s="13" t="s">
        <v>722</v>
      </c>
      <c r="C280" s="13"/>
      <c r="F280" s="2">
        <v>3.82</v>
      </c>
      <c r="G280" s="2" t="s">
        <v>224</v>
      </c>
      <c r="H280" s="9" t="s">
        <v>551</v>
      </c>
      <c r="I280" t="s">
        <v>629</v>
      </c>
      <c r="J280"/>
      <c r="L280" s="25">
        <v>2</v>
      </c>
      <c r="M280">
        <v>4</v>
      </c>
      <c r="N280">
        <v>0</v>
      </c>
      <c r="T280" s="25">
        <v>7.41544296</v>
      </c>
      <c r="U280" s="25">
        <v>7.4154429599999991</v>
      </c>
      <c r="V280" s="25">
        <v>7.41544296</v>
      </c>
      <c r="W280">
        <v>7.8</v>
      </c>
      <c r="X280">
        <v>13.010999999999999</v>
      </c>
      <c r="Y280">
        <v>5.5460000000000003</v>
      </c>
      <c r="Z280">
        <v>0</v>
      </c>
      <c r="AD280">
        <v>14</v>
      </c>
      <c r="AE280" s="55">
        <f t="shared" si="16"/>
        <v>0</v>
      </c>
      <c r="AF280" s="57">
        <v>288.33429290182369</v>
      </c>
      <c r="AG280" s="55">
        <v>556.51188553357167</v>
      </c>
      <c r="AH280" s="55">
        <v>0</v>
      </c>
      <c r="AJ280" s="51">
        <v>9.7109503410799117E-2</v>
      </c>
      <c r="AK280" s="52">
        <v>0.10062678166578309</v>
      </c>
      <c r="AM280" s="28">
        <v>2</v>
      </c>
      <c r="AN280" s="28">
        <v>2.545454545454545</v>
      </c>
      <c r="AO280" s="28">
        <v>0.54545454545454541</v>
      </c>
      <c r="AP280" s="28">
        <v>0</v>
      </c>
      <c r="AQ280" s="28">
        <v>0.39285714285714279</v>
      </c>
      <c r="AR280" s="28">
        <v>0.5</v>
      </c>
      <c r="AS280" s="28">
        <v>0.1071428571428571</v>
      </c>
      <c r="AT280" s="28">
        <v>0</v>
      </c>
      <c r="AU280" s="25">
        <v>1.1000000000000001</v>
      </c>
      <c r="AV280" s="25">
        <v>3.44</v>
      </c>
      <c r="AW280" s="25">
        <v>2.34</v>
      </c>
      <c r="AX280" s="25">
        <v>2.669090909090909</v>
      </c>
      <c r="AY280">
        <v>2.669090909090909</v>
      </c>
      <c r="AZ280">
        <v>5.9831974772727277</v>
      </c>
      <c r="BA280" s="75">
        <v>0.52442413903612473</v>
      </c>
      <c r="BB280" s="75">
        <v>0.54341863036636606</v>
      </c>
      <c r="BE280">
        <v>4.8554751705399558E-2</v>
      </c>
      <c r="BF280">
        <v>5.0313390832891547E-2</v>
      </c>
      <c r="BH280">
        <v>9.8868142538291098E-2</v>
      </c>
      <c r="BI280">
        <v>4.9434071269145549E-2</v>
      </c>
      <c r="BJ280">
        <v>0.53392138470124539</v>
      </c>
    </row>
    <row r="281" spans="1:62" x14ac:dyDescent="0.3">
      <c r="A281" s="2" t="s">
        <v>46</v>
      </c>
      <c r="B281" s="13" t="s">
        <v>722</v>
      </c>
      <c r="C281" s="13"/>
      <c r="F281" s="2">
        <v>3.82</v>
      </c>
      <c r="G281" s="2" t="s">
        <v>225</v>
      </c>
      <c r="H281" s="9" t="s">
        <v>551</v>
      </c>
      <c r="I281" t="s">
        <v>629</v>
      </c>
      <c r="J281"/>
      <c r="L281" s="25">
        <v>2</v>
      </c>
      <c r="M281">
        <v>4</v>
      </c>
      <c r="N281">
        <v>0</v>
      </c>
      <c r="T281" s="25">
        <v>7.41544296</v>
      </c>
      <c r="U281" s="25">
        <v>7.4154429599999991</v>
      </c>
      <c r="V281" s="25">
        <v>7.41544296</v>
      </c>
      <c r="W281">
        <v>7.8</v>
      </c>
      <c r="X281">
        <v>13.010999999999999</v>
      </c>
      <c r="Y281">
        <v>5.5460000000000003</v>
      </c>
      <c r="Z281">
        <v>0</v>
      </c>
      <c r="AD281">
        <v>14</v>
      </c>
      <c r="AE281" s="55">
        <f t="shared" si="16"/>
        <v>0</v>
      </c>
      <c r="AF281" s="57">
        <v>288.33429290182369</v>
      </c>
      <c r="AG281" s="55">
        <v>556.51188553357167</v>
      </c>
      <c r="AH281" s="55">
        <v>0</v>
      </c>
      <c r="AJ281" s="51">
        <v>9.7109503410799117E-2</v>
      </c>
      <c r="AK281" s="52">
        <v>0.10062678166578309</v>
      </c>
      <c r="AM281" s="28">
        <v>2</v>
      </c>
      <c r="AN281" s="28">
        <v>2.545454545454545</v>
      </c>
      <c r="AO281" s="28">
        <v>0.54545454545454541</v>
      </c>
      <c r="AP281" s="28">
        <v>0</v>
      </c>
      <c r="AQ281" s="28">
        <v>0.39285714285714279</v>
      </c>
      <c r="AR281" s="28">
        <v>0.5</v>
      </c>
      <c r="AS281" s="28">
        <v>0.1071428571428571</v>
      </c>
      <c r="AT281" s="28">
        <v>0</v>
      </c>
      <c r="AU281" s="25">
        <v>1.1000000000000001</v>
      </c>
      <c r="AV281" s="25">
        <v>3.44</v>
      </c>
      <c r="AW281" s="25">
        <v>2.34</v>
      </c>
      <c r="AX281" s="25">
        <v>2.669090909090909</v>
      </c>
      <c r="AY281">
        <v>2.669090909090909</v>
      </c>
      <c r="AZ281">
        <v>5.9831974772727277</v>
      </c>
      <c r="BA281" s="75">
        <v>0.52442413903612473</v>
      </c>
      <c r="BB281" s="75">
        <v>0.54341863036636606</v>
      </c>
      <c r="BE281">
        <v>4.8554751705399558E-2</v>
      </c>
      <c r="BF281">
        <v>5.0313390832891547E-2</v>
      </c>
      <c r="BH281">
        <v>9.8868142538291098E-2</v>
      </c>
      <c r="BI281">
        <v>4.9434071269145549E-2</v>
      </c>
      <c r="BJ281">
        <v>0.53392138470124539</v>
      </c>
    </row>
    <row r="282" spans="1:62" x14ac:dyDescent="0.3">
      <c r="A282" s="2" t="s">
        <v>226</v>
      </c>
      <c r="B282" s="37" t="s">
        <v>938</v>
      </c>
      <c r="C282" s="13"/>
      <c r="F282" s="2">
        <v>2.6</v>
      </c>
      <c r="G282" s="2" t="s">
        <v>225</v>
      </c>
      <c r="H282" s="32" t="s">
        <v>551</v>
      </c>
      <c r="I282" s="1" t="s">
        <v>629</v>
      </c>
      <c r="J282"/>
      <c r="L282" s="25">
        <v>0</v>
      </c>
      <c r="M282">
        <v>4</v>
      </c>
      <c r="N282">
        <v>0</v>
      </c>
      <c r="O282" s="2">
        <v>-1</v>
      </c>
      <c r="T282" s="25">
        <v>0</v>
      </c>
      <c r="U282" s="25"/>
      <c r="V282" s="25"/>
      <c r="W282">
        <v>7.8</v>
      </c>
      <c r="X282">
        <v>13.010999999999999</v>
      </c>
      <c r="Y282">
        <v>5.5460000000000003</v>
      </c>
      <c r="Z282">
        <v>0</v>
      </c>
      <c r="AD282">
        <v>14</v>
      </c>
      <c r="AE282" s="55">
        <f t="shared" si="16"/>
        <v>0</v>
      </c>
      <c r="AF282" s="57">
        <v>0</v>
      </c>
      <c r="AG282" s="55">
        <v>556.51188553357167</v>
      </c>
      <c r="AH282" s="55">
        <v>0</v>
      </c>
      <c r="AJ282" s="51"/>
      <c r="AK282" s="52">
        <v>0.10062678166578309</v>
      </c>
      <c r="AM282" s="28">
        <v>2</v>
      </c>
      <c r="AN282" s="28">
        <v>2.545454545454545</v>
      </c>
      <c r="AO282" s="28">
        <v>0.55454545454545456</v>
      </c>
      <c r="AP282" s="28">
        <v>0</v>
      </c>
      <c r="AQ282" s="28">
        <v>0.39215686274509798</v>
      </c>
      <c r="AR282" s="28">
        <v>0.49910873440285197</v>
      </c>
      <c r="AS282" s="28">
        <v>0.1087344028520499</v>
      </c>
      <c r="AT282" s="28">
        <v>0</v>
      </c>
      <c r="AU282" s="25">
        <v>1.1000000000000001</v>
      </c>
      <c r="AV282" s="25">
        <v>3.44</v>
      </c>
      <c r="AW282" s="25">
        <v>2.34</v>
      </c>
      <c r="AX282" s="25">
        <v>2.670418181818182</v>
      </c>
      <c r="AY282">
        <v>2.670418181818182</v>
      </c>
      <c r="AZ282">
        <v>5.9849440756727272</v>
      </c>
      <c r="BA282" s="75">
        <v>0.52442413903612473</v>
      </c>
      <c r="BB282" s="75">
        <v>0.54341863036636606</v>
      </c>
      <c r="BF282">
        <v>5.0313390832891547E-2</v>
      </c>
      <c r="BH282">
        <v>0.10062678166578309</v>
      </c>
      <c r="BI282">
        <v>5.0313390832891547E-2</v>
      </c>
      <c r="BJ282">
        <v>0.53392138470124539</v>
      </c>
    </row>
    <row r="283" spans="1:62" x14ac:dyDescent="0.3">
      <c r="A283" s="2" t="s">
        <v>227</v>
      </c>
      <c r="B283" s="17" t="s">
        <v>939</v>
      </c>
      <c r="C283" s="13"/>
      <c r="F283" s="2">
        <v>2.2000000000000002</v>
      </c>
      <c r="G283" s="2" t="s">
        <v>225</v>
      </c>
      <c r="H283" s="32" t="s">
        <v>551</v>
      </c>
      <c r="I283" s="1" t="s">
        <v>629</v>
      </c>
      <c r="J283"/>
      <c r="L283" s="25">
        <v>0</v>
      </c>
      <c r="M283">
        <v>4</v>
      </c>
      <c r="N283">
        <v>0</v>
      </c>
      <c r="O283" s="2">
        <v>-1</v>
      </c>
      <c r="T283" s="25">
        <v>0</v>
      </c>
      <c r="U283" s="25"/>
      <c r="V283" s="25"/>
      <c r="W283">
        <v>7.8</v>
      </c>
      <c r="X283">
        <v>13.010999999999999</v>
      </c>
      <c r="Y283">
        <v>5.5460000000000003</v>
      </c>
      <c r="Z283">
        <v>0</v>
      </c>
      <c r="AD283">
        <v>14</v>
      </c>
      <c r="AE283" s="55">
        <f t="shared" si="16"/>
        <v>0</v>
      </c>
      <c r="AF283" s="57">
        <v>0</v>
      </c>
      <c r="AG283" s="55">
        <v>556.51188553357167</v>
      </c>
      <c r="AH283" s="55">
        <v>0</v>
      </c>
      <c r="AJ283" s="51"/>
      <c r="AK283" s="52">
        <v>0.10062678166578309</v>
      </c>
      <c r="AM283" s="28">
        <v>1.9981818181818181</v>
      </c>
      <c r="AN283" s="28">
        <v>2.545454545454545</v>
      </c>
      <c r="AO283" s="28">
        <v>0.55272727272727273</v>
      </c>
      <c r="AP283" s="28">
        <v>0</v>
      </c>
      <c r="AQ283" s="28">
        <v>0.39207991437745271</v>
      </c>
      <c r="AR283" s="28">
        <v>0.49946485907955762</v>
      </c>
      <c r="AS283" s="28">
        <v>0.1084552265429897</v>
      </c>
      <c r="AT283" s="28">
        <v>0</v>
      </c>
      <c r="AU283" s="25">
        <v>1.1000000000000001</v>
      </c>
      <c r="AV283" s="25">
        <v>3.44</v>
      </c>
      <c r="AW283" s="25">
        <v>2.34</v>
      </c>
      <c r="AX283" s="25">
        <v>2.670109090909091</v>
      </c>
      <c r="AY283">
        <v>2.670109090909091</v>
      </c>
      <c r="AZ283">
        <v>5.9843864818181816</v>
      </c>
      <c r="BA283" s="75">
        <v>0.52442413903612473</v>
      </c>
      <c r="BB283" s="75">
        <v>0.54341863036636606</v>
      </c>
      <c r="BF283">
        <v>5.0313390832891547E-2</v>
      </c>
      <c r="BH283">
        <v>0.10062678166578309</v>
      </c>
      <c r="BI283">
        <v>5.0313390832891547E-2</v>
      </c>
      <c r="BJ283">
        <v>0.53392138470124539</v>
      </c>
    </row>
    <row r="284" spans="1:62" x14ac:dyDescent="0.3">
      <c r="A284" s="2" t="s">
        <v>49</v>
      </c>
      <c r="B284" s="13" t="s">
        <v>725</v>
      </c>
      <c r="C284" s="13"/>
      <c r="F284" s="2">
        <v>4</v>
      </c>
      <c r="G284" s="2" t="s">
        <v>228</v>
      </c>
      <c r="H284" s="9" t="s">
        <v>553</v>
      </c>
      <c r="I284" t="s">
        <v>631</v>
      </c>
      <c r="J284"/>
      <c r="L284" s="25">
        <v>8</v>
      </c>
      <c r="M284">
        <v>8</v>
      </c>
      <c r="N284">
        <v>0</v>
      </c>
      <c r="T284" s="25">
        <v>5.8017180100000001</v>
      </c>
      <c r="U284" s="25">
        <v>7.9756520899999996</v>
      </c>
      <c r="V284" s="25">
        <v>27.352093400000001</v>
      </c>
      <c r="W284">
        <v>26.646989999999999</v>
      </c>
      <c r="X284">
        <v>7.9359999999999999</v>
      </c>
      <c r="Y284">
        <v>5.7050000000000001</v>
      </c>
      <c r="Z284">
        <v>0</v>
      </c>
      <c r="AD284">
        <v>14</v>
      </c>
      <c r="AE284" s="55">
        <f t="shared" si="16"/>
        <v>0</v>
      </c>
      <c r="AF284" s="57">
        <v>1265.6493143942739</v>
      </c>
      <c r="AG284" s="55">
        <v>1206.4392746112001</v>
      </c>
      <c r="AH284" s="55">
        <v>0</v>
      </c>
      <c r="AJ284" s="51">
        <v>8.8492127105210025E-2</v>
      </c>
      <c r="AK284" s="52">
        <v>9.2835174017436004E-2</v>
      </c>
      <c r="AM284" s="28">
        <v>1.8181818181818179</v>
      </c>
      <c r="AN284" s="28">
        <v>2.545454545454545</v>
      </c>
      <c r="AO284" s="28">
        <v>0.72727272727272729</v>
      </c>
      <c r="AP284" s="28">
        <v>0</v>
      </c>
      <c r="AQ284" s="28">
        <v>0.35714285714285721</v>
      </c>
      <c r="AR284" s="28">
        <v>0.5</v>
      </c>
      <c r="AS284" s="28">
        <v>0.1428571428571429</v>
      </c>
      <c r="AT284" s="28">
        <v>0</v>
      </c>
      <c r="AU284" s="25">
        <v>0.95</v>
      </c>
      <c r="AV284" s="25">
        <v>3.44</v>
      </c>
      <c r="AW284" s="25">
        <v>2.4900000000000002</v>
      </c>
      <c r="AX284" s="25">
        <v>2.6527272727272719</v>
      </c>
      <c r="AY284">
        <v>2.6527272727272728</v>
      </c>
      <c r="AZ284">
        <v>6.0182046818181814</v>
      </c>
      <c r="BA284" s="75">
        <v>0.5176653673612065</v>
      </c>
      <c r="BB284" s="75">
        <v>0.54307152550012683</v>
      </c>
      <c r="BE284">
        <v>4.4246063552605013E-2</v>
      </c>
      <c r="BF284">
        <v>4.6417587008717988E-2</v>
      </c>
      <c r="BH284">
        <v>9.0663650561323014E-2</v>
      </c>
      <c r="BI284">
        <v>4.53318252806615E-2</v>
      </c>
      <c r="BJ284">
        <v>0.53036844643066661</v>
      </c>
    </row>
    <row r="285" spans="1:62" x14ac:dyDescent="0.3">
      <c r="A285" s="2" t="s">
        <v>46</v>
      </c>
      <c r="B285" s="13" t="s">
        <v>722</v>
      </c>
      <c r="C285" s="13"/>
      <c r="F285" s="2">
        <v>3.9</v>
      </c>
      <c r="G285" s="2" t="s">
        <v>229</v>
      </c>
      <c r="H285" s="12" t="s">
        <v>551</v>
      </c>
      <c r="I285" t="s">
        <v>629</v>
      </c>
      <c r="J285"/>
      <c r="L285" s="25">
        <v>2</v>
      </c>
      <c r="M285">
        <v>4</v>
      </c>
      <c r="N285">
        <v>0</v>
      </c>
      <c r="T285" s="25">
        <v>7.41544296</v>
      </c>
      <c r="U285" s="25">
        <v>7.4154429599999991</v>
      </c>
      <c r="V285" s="25">
        <v>7.41544296</v>
      </c>
      <c r="W285">
        <v>7.8</v>
      </c>
      <c r="X285">
        <v>13.010999999999999</v>
      </c>
      <c r="Y285">
        <v>5.5460000000000003</v>
      </c>
      <c r="Z285">
        <v>0</v>
      </c>
      <c r="AD285">
        <v>14</v>
      </c>
      <c r="AE285" s="55">
        <f t="shared" si="16"/>
        <v>0</v>
      </c>
      <c r="AF285" s="57">
        <v>288.33429290182369</v>
      </c>
      <c r="AG285" s="55">
        <v>556.51188553357167</v>
      </c>
      <c r="AH285" s="55">
        <v>0</v>
      </c>
      <c r="AJ285" s="51">
        <v>9.7109503410799117E-2</v>
      </c>
      <c r="AK285" s="52">
        <v>0.10062678166578309</v>
      </c>
      <c r="AM285" s="28">
        <v>2</v>
      </c>
      <c r="AN285" s="28">
        <v>2.545454545454545</v>
      </c>
      <c r="AO285" s="28">
        <v>0.54545454545454541</v>
      </c>
      <c r="AP285" s="28">
        <v>0</v>
      </c>
      <c r="AQ285" s="28">
        <v>0.39285714285714279</v>
      </c>
      <c r="AR285" s="28">
        <v>0.5</v>
      </c>
      <c r="AS285" s="28">
        <v>0.1071428571428571</v>
      </c>
      <c r="AT285" s="28">
        <v>0</v>
      </c>
      <c r="AU285" s="25">
        <v>1.1000000000000001</v>
      </c>
      <c r="AV285" s="25">
        <v>3.44</v>
      </c>
      <c r="AW285" s="25">
        <v>2.34</v>
      </c>
      <c r="AX285" s="25">
        <v>2.669090909090909</v>
      </c>
      <c r="AY285">
        <v>2.669090909090909</v>
      </c>
      <c r="AZ285">
        <v>5.9831974772727277</v>
      </c>
      <c r="BA285" s="75">
        <v>0.52442413903612473</v>
      </c>
      <c r="BB285" s="75">
        <v>0.54341863036636606</v>
      </c>
      <c r="BE285">
        <v>4.8554751705399558E-2</v>
      </c>
      <c r="BF285">
        <v>5.0313390832891547E-2</v>
      </c>
      <c r="BH285">
        <v>9.8868142538291098E-2</v>
      </c>
      <c r="BI285">
        <v>4.9434071269145549E-2</v>
      </c>
      <c r="BJ285">
        <v>0.53392138470124539</v>
      </c>
    </row>
    <row r="286" spans="1:62" x14ac:dyDescent="0.3">
      <c r="A286" s="2" t="s">
        <v>46</v>
      </c>
      <c r="B286" s="13" t="s">
        <v>722</v>
      </c>
      <c r="C286" s="13"/>
      <c r="D286" s="2" t="s">
        <v>890</v>
      </c>
      <c r="E286" s="2">
        <v>0.42</v>
      </c>
      <c r="F286" s="2">
        <v>3.78</v>
      </c>
      <c r="G286" s="2" t="s">
        <v>229</v>
      </c>
      <c r="H286" s="12" t="s">
        <v>551</v>
      </c>
      <c r="I286" t="s">
        <v>629</v>
      </c>
      <c r="J286"/>
      <c r="L286" s="25">
        <v>2</v>
      </c>
      <c r="M286">
        <v>4</v>
      </c>
      <c r="N286">
        <v>0</v>
      </c>
      <c r="T286" s="25">
        <v>7.41544296</v>
      </c>
      <c r="U286" s="25">
        <v>7.4154429599999991</v>
      </c>
      <c r="V286" s="25">
        <v>7.41544296</v>
      </c>
      <c r="W286">
        <v>7.8</v>
      </c>
      <c r="X286">
        <v>13.010999999999999</v>
      </c>
      <c r="Y286">
        <v>5.5460000000000003</v>
      </c>
      <c r="Z286">
        <v>0</v>
      </c>
      <c r="AD286">
        <v>14</v>
      </c>
      <c r="AE286" s="55">
        <f t="shared" si="16"/>
        <v>0</v>
      </c>
      <c r="AF286" s="57">
        <v>288.33429290182369</v>
      </c>
      <c r="AG286" s="55">
        <v>556.51188553357167</v>
      </c>
      <c r="AH286" s="55">
        <v>0</v>
      </c>
      <c r="AJ286" s="51">
        <v>9.7109503410799117E-2</v>
      </c>
      <c r="AK286" s="52">
        <v>0.10062678166578309</v>
      </c>
      <c r="AM286" s="28">
        <v>2</v>
      </c>
      <c r="AN286" s="28">
        <v>2.545454545454545</v>
      </c>
      <c r="AO286" s="28">
        <v>0.54545454545454541</v>
      </c>
      <c r="AP286" s="28">
        <v>0</v>
      </c>
      <c r="AQ286" s="28">
        <v>0.39285714285714279</v>
      </c>
      <c r="AR286" s="28">
        <v>0.5</v>
      </c>
      <c r="AS286" s="28">
        <v>0.1071428571428571</v>
      </c>
      <c r="AT286" s="28">
        <v>0</v>
      </c>
      <c r="AU286" s="25">
        <v>1.1000000000000001</v>
      </c>
      <c r="AV286" s="25">
        <v>3.44</v>
      </c>
      <c r="AW286" s="25">
        <v>2.34</v>
      </c>
      <c r="AX286" s="25">
        <v>2.669090909090909</v>
      </c>
      <c r="AY286">
        <v>2.669090909090909</v>
      </c>
      <c r="AZ286">
        <v>5.9831974772727277</v>
      </c>
      <c r="BA286" s="75">
        <v>0.52442413903612473</v>
      </c>
      <c r="BB286" s="75">
        <v>0.54341863036636606</v>
      </c>
      <c r="BE286">
        <v>4.8554751705399558E-2</v>
      </c>
      <c r="BF286">
        <v>5.0313390832891547E-2</v>
      </c>
      <c r="BH286">
        <v>9.8868142538291098E-2</v>
      </c>
      <c r="BI286">
        <v>4.9434071269145549E-2</v>
      </c>
      <c r="BJ286">
        <v>0.53392138470124539</v>
      </c>
    </row>
    <row r="287" spans="1:62" x14ac:dyDescent="0.3">
      <c r="A287" s="2" t="s">
        <v>44</v>
      </c>
      <c r="B287" s="13" t="s">
        <v>720</v>
      </c>
      <c r="C287" s="13"/>
      <c r="F287" s="2">
        <v>3.5</v>
      </c>
      <c r="G287" s="7" t="s">
        <v>230</v>
      </c>
      <c r="H287" s="12" t="s">
        <v>549</v>
      </c>
      <c r="I287">
        <v>-1</v>
      </c>
      <c r="J287"/>
      <c r="K287" s="7"/>
      <c r="L287" s="25">
        <v>1</v>
      </c>
      <c r="M287">
        <v>0</v>
      </c>
      <c r="N287">
        <v>0</v>
      </c>
      <c r="T287" s="25">
        <v>15.28115725</v>
      </c>
      <c r="U287" s="25">
        <v>15.28115725</v>
      </c>
      <c r="V287" s="25">
        <v>15.28115725</v>
      </c>
      <c r="W287">
        <v>0</v>
      </c>
      <c r="Z287">
        <v>0</v>
      </c>
      <c r="AD287">
        <v>20</v>
      </c>
      <c r="AE287" s="55">
        <f t="shared" si="16"/>
        <v>0</v>
      </c>
      <c r="AF287" s="57">
        <v>229.90248606119221</v>
      </c>
      <c r="AG287" s="55">
        <v>0</v>
      </c>
      <c r="AH287" s="55">
        <v>0</v>
      </c>
      <c r="AJ287" s="51">
        <v>8.6993404650164072E-2</v>
      </c>
      <c r="AM287" s="28">
        <v>1.882352941176471</v>
      </c>
      <c r="AN287" s="28">
        <v>2.3529411764705879</v>
      </c>
      <c r="AO287" s="28">
        <v>0.47058823529411759</v>
      </c>
      <c r="AP287" s="28">
        <v>0</v>
      </c>
      <c r="AQ287" s="28">
        <v>0.4</v>
      </c>
      <c r="AR287" s="28">
        <v>0.5</v>
      </c>
      <c r="AS287" s="28">
        <v>9.9999999999999992E-2</v>
      </c>
      <c r="AT287" s="28">
        <v>0</v>
      </c>
      <c r="AU287" s="25">
        <v>0.82</v>
      </c>
      <c r="AV287" s="25">
        <v>3.44</v>
      </c>
      <c r="AW287" s="25">
        <v>2.62</v>
      </c>
      <c r="AX287" s="25">
        <v>2.5211764705882351</v>
      </c>
      <c r="AY287">
        <v>2.521176470588236</v>
      </c>
      <c r="AZ287">
        <v>5.6898745917647062</v>
      </c>
      <c r="BA287" s="75">
        <v>0.57369840599679445</v>
      </c>
      <c r="BE287">
        <v>4.3496702325082043E-2</v>
      </c>
      <c r="BH287">
        <v>8.6993404650164072E-2</v>
      </c>
      <c r="BI287">
        <v>4.3496702325082043E-2</v>
      </c>
      <c r="BJ287">
        <v>0.57369840599679445</v>
      </c>
    </row>
    <row r="288" spans="1:62" x14ac:dyDescent="0.3">
      <c r="A288" s="2" t="s">
        <v>44</v>
      </c>
      <c r="B288" s="13" t="s">
        <v>720</v>
      </c>
      <c r="C288" s="13"/>
      <c r="D288" s="2" t="s">
        <v>875</v>
      </c>
      <c r="E288" s="2" t="s">
        <v>1067</v>
      </c>
      <c r="F288" s="2">
        <v>3.06</v>
      </c>
      <c r="G288" s="7" t="s">
        <v>230</v>
      </c>
      <c r="H288" s="12" t="s">
        <v>549</v>
      </c>
      <c r="I288">
        <v>-1</v>
      </c>
      <c r="J288"/>
      <c r="K288" s="7"/>
      <c r="L288" s="25">
        <v>1</v>
      </c>
      <c r="M288">
        <v>0</v>
      </c>
      <c r="N288">
        <v>0</v>
      </c>
      <c r="T288" s="25">
        <v>15.28115725</v>
      </c>
      <c r="U288" s="25">
        <v>15.28115725</v>
      </c>
      <c r="V288" s="25">
        <v>15.28115725</v>
      </c>
      <c r="W288">
        <v>0</v>
      </c>
      <c r="Z288">
        <v>0</v>
      </c>
      <c r="AD288">
        <v>20</v>
      </c>
      <c r="AE288" s="55">
        <f t="shared" si="16"/>
        <v>0</v>
      </c>
      <c r="AF288" s="57">
        <v>229.90248606119221</v>
      </c>
      <c r="AG288" s="55">
        <v>0</v>
      </c>
      <c r="AH288" s="55">
        <v>0</v>
      </c>
      <c r="AJ288" s="51">
        <v>8.6993404650164072E-2</v>
      </c>
      <c r="AM288" s="28">
        <v>1.882352941176471</v>
      </c>
      <c r="AN288" s="28">
        <v>2.3529411764705879</v>
      </c>
      <c r="AO288" s="28">
        <v>0.47058823529411759</v>
      </c>
      <c r="AP288" s="28">
        <v>0</v>
      </c>
      <c r="AQ288" s="28">
        <v>0.4</v>
      </c>
      <c r="AR288" s="28">
        <v>0.5</v>
      </c>
      <c r="AS288" s="28">
        <v>9.9999999999999992E-2</v>
      </c>
      <c r="AT288" s="28">
        <v>0</v>
      </c>
      <c r="AU288" s="25">
        <v>0.82</v>
      </c>
      <c r="AV288" s="25">
        <v>3.44</v>
      </c>
      <c r="AW288" s="25">
        <v>2.62</v>
      </c>
      <c r="AX288" s="25">
        <v>2.5211764705882351</v>
      </c>
      <c r="AY288">
        <v>2.521176470588236</v>
      </c>
      <c r="AZ288">
        <v>5.6898745917647062</v>
      </c>
      <c r="BA288" s="75">
        <v>0.57369840599679445</v>
      </c>
      <c r="BE288">
        <v>4.3496702325082043E-2</v>
      </c>
      <c r="BH288">
        <v>8.6993404650164072E-2</v>
      </c>
      <c r="BI288">
        <v>4.3496702325082043E-2</v>
      </c>
      <c r="BJ288">
        <v>0.57369840599679445</v>
      </c>
    </row>
    <row r="289" spans="1:62" x14ac:dyDescent="0.3">
      <c r="A289" s="2" t="s">
        <v>8</v>
      </c>
      <c r="B289" s="13" t="s">
        <v>694</v>
      </c>
      <c r="C289" s="13"/>
      <c r="F289" s="2">
        <v>3.26</v>
      </c>
      <c r="G289" s="2" t="s">
        <v>231</v>
      </c>
      <c r="H289" s="9" t="s">
        <v>530</v>
      </c>
      <c r="I289" t="s">
        <v>612</v>
      </c>
      <c r="J289"/>
      <c r="L289" s="25">
        <v>30</v>
      </c>
      <c r="M289">
        <v>4</v>
      </c>
      <c r="N289">
        <v>0</v>
      </c>
      <c r="T289" s="25">
        <v>10.59112378</v>
      </c>
      <c r="U289" s="25">
        <v>10.784736629999999</v>
      </c>
      <c r="V289" s="25">
        <v>10.486176179999999</v>
      </c>
      <c r="W289">
        <v>3.73</v>
      </c>
      <c r="X289">
        <v>3.73</v>
      </c>
      <c r="Y289">
        <v>9.3699999999999992</v>
      </c>
      <c r="Z289">
        <v>0</v>
      </c>
      <c r="AD289">
        <v>4</v>
      </c>
      <c r="AE289" s="55">
        <f t="shared" si="16"/>
        <v>0</v>
      </c>
      <c r="AF289" s="57">
        <v>1182.741260108548</v>
      </c>
      <c r="AG289" s="55">
        <v>130.36387300000001</v>
      </c>
      <c r="AH289" s="55">
        <v>0</v>
      </c>
      <c r="AJ289" s="51">
        <v>0.1014592151701775</v>
      </c>
      <c r="AK289" s="52">
        <v>0.1227333894874388</v>
      </c>
      <c r="AM289" s="28">
        <v>2</v>
      </c>
      <c r="AN289" s="28">
        <v>2.666666666666667</v>
      </c>
      <c r="AO289" s="28">
        <v>0.66666666666666663</v>
      </c>
      <c r="AP289" s="28">
        <v>0</v>
      </c>
      <c r="AQ289" s="28">
        <v>0.375</v>
      </c>
      <c r="AR289" s="28">
        <v>0.5</v>
      </c>
      <c r="AS289" s="28">
        <v>0.125</v>
      </c>
      <c r="AT289" s="28">
        <v>0</v>
      </c>
      <c r="AU289" s="25">
        <v>1.54</v>
      </c>
      <c r="AV289" s="25">
        <v>3.44</v>
      </c>
      <c r="AW289" s="25">
        <v>1.9</v>
      </c>
      <c r="AX289" s="25">
        <v>2.8066666666666671</v>
      </c>
      <c r="AY289">
        <v>2.8066666666666662</v>
      </c>
      <c r="AZ289">
        <v>6.1769976</v>
      </c>
      <c r="BA289" s="75">
        <v>0.46900407026869628</v>
      </c>
      <c r="BB289" s="75">
        <v>0.56734579634715776</v>
      </c>
      <c r="BE289">
        <v>5.072960758508873E-2</v>
      </c>
      <c r="BF289">
        <v>6.136669474371937E-2</v>
      </c>
      <c r="BH289">
        <v>0.1120963023288082</v>
      </c>
      <c r="BI289">
        <v>5.604815116440405E-2</v>
      </c>
      <c r="BJ289">
        <v>0.51817493330792708</v>
      </c>
    </row>
    <row r="290" spans="1:62" x14ac:dyDescent="0.3">
      <c r="A290" s="2" t="s">
        <v>153</v>
      </c>
      <c r="B290" s="13" t="s">
        <v>775</v>
      </c>
      <c r="C290" s="13"/>
      <c r="F290" s="2">
        <v>3.1</v>
      </c>
      <c r="G290" s="2" t="s">
        <v>231</v>
      </c>
      <c r="H290" s="9" t="s">
        <v>578</v>
      </c>
      <c r="I290">
        <v>-1</v>
      </c>
      <c r="J290"/>
      <c r="L290" s="25">
        <v>1</v>
      </c>
      <c r="M290">
        <v>0</v>
      </c>
      <c r="N290">
        <v>0</v>
      </c>
      <c r="T290" s="25">
        <v>3.9263319999999999</v>
      </c>
      <c r="U290" s="25">
        <v>3.9263319999999999</v>
      </c>
      <c r="V290" s="25">
        <v>10.74639</v>
      </c>
      <c r="W290">
        <v>0</v>
      </c>
      <c r="Z290">
        <v>0</v>
      </c>
      <c r="AD290">
        <v>14</v>
      </c>
      <c r="AE290" s="55">
        <f t="shared" si="16"/>
        <v>0</v>
      </c>
      <c r="AF290" s="57">
        <v>165.66723991337099</v>
      </c>
      <c r="AG290" s="55">
        <v>0</v>
      </c>
      <c r="AH290" s="55">
        <v>0</v>
      </c>
      <c r="AJ290" s="51">
        <v>8.4506749839743392E-2</v>
      </c>
      <c r="AM290" s="28">
        <v>1.7272727272727271</v>
      </c>
      <c r="AN290" s="28">
        <v>2.545454545454545</v>
      </c>
      <c r="AO290" s="28">
        <v>0.81818181818181823</v>
      </c>
      <c r="AP290" s="28">
        <v>0</v>
      </c>
      <c r="AQ290" s="28">
        <v>0.3392857142857143</v>
      </c>
      <c r="AR290" s="28">
        <v>0.5</v>
      </c>
      <c r="AS290" s="28">
        <v>0.1607142857142857</v>
      </c>
      <c r="AT290" s="28">
        <v>0</v>
      </c>
      <c r="AU290" s="25">
        <v>1.1000000000000001</v>
      </c>
      <c r="AV290" s="25">
        <v>3.44</v>
      </c>
      <c r="AW290" s="25">
        <v>2.34</v>
      </c>
      <c r="AX290" s="25">
        <v>2.78</v>
      </c>
      <c r="AY290">
        <v>2.78</v>
      </c>
      <c r="AZ290">
        <v>6.4270052227137269</v>
      </c>
      <c r="BA290" s="75">
        <v>0.41874886813759421</v>
      </c>
      <c r="BE290">
        <v>4.2253374919871717E-2</v>
      </c>
      <c r="BH290">
        <v>8.4506749839743392E-2</v>
      </c>
      <c r="BI290">
        <v>4.2253374919871717E-2</v>
      </c>
      <c r="BJ290">
        <v>0.41874886813759421</v>
      </c>
    </row>
    <row r="291" spans="1:62" x14ac:dyDescent="0.3">
      <c r="A291" s="2" t="s">
        <v>153</v>
      </c>
      <c r="B291" s="13" t="s">
        <v>775</v>
      </c>
      <c r="C291" s="13"/>
      <c r="D291" s="2" t="s">
        <v>863</v>
      </c>
      <c r="E291" s="2">
        <v>0.8</v>
      </c>
      <c r="F291" s="2">
        <v>3.1</v>
      </c>
      <c r="G291" s="2" t="s">
        <v>231</v>
      </c>
      <c r="H291" s="9" t="s">
        <v>578</v>
      </c>
      <c r="I291">
        <v>-1</v>
      </c>
      <c r="J291"/>
      <c r="L291" s="25">
        <v>1</v>
      </c>
      <c r="M291">
        <v>0</v>
      </c>
      <c r="N291">
        <v>0</v>
      </c>
      <c r="T291" s="25">
        <v>3.9263319999999999</v>
      </c>
      <c r="U291" s="25">
        <v>3.9263319999999999</v>
      </c>
      <c r="V291" s="25">
        <v>10.74639</v>
      </c>
      <c r="W291">
        <v>0</v>
      </c>
      <c r="Z291">
        <v>0</v>
      </c>
      <c r="AD291">
        <v>14</v>
      </c>
      <c r="AE291" s="55">
        <f t="shared" si="16"/>
        <v>0</v>
      </c>
      <c r="AF291" s="57">
        <v>165.66723991337099</v>
      </c>
      <c r="AG291" s="55">
        <v>0</v>
      </c>
      <c r="AH291" s="55">
        <v>0</v>
      </c>
      <c r="AJ291" s="51">
        <v>8.4506749839743392E-2</v>
      </c>
      <c r="AM291" s="28">
        <v>1.7272727272727271</v>
      </c>
      <c r="AN291" s="28">
        <v>2.545454545454545</v>
      </c>
      <c r="AO291" s="28">
        <v>0.81818181818181823</v>
      </c>
      <c r="AP291" s="28">
        <v>0</v>
      </c>
      <c r="AQ291" s="28">
        <v>0.3392857142857143</v>
      </c>
      <c r="AR291" s="28">
        <v>0.5</v>
      </c>
      <c r="AS291" s="28">
        <v>0.1607142857142857</v>
      </c>
      <c r="AT291" s="28">
        <v>0</v>
      </c>
      <c r="AU291" s="25">
        <v>1.1000000000000001</v>
      </c>
      <c r="AV291" s="25">
        <v>3.44</v>
      </c>
      <c r="AW291" s="25">
        <v>2.34</v>
      </c>
      <c r="AX291" s="25">
        <v>2.78</v>
      </c>
      <c r="AY291">
        <v>2.78</v>
      </c>
      <c r="AZ291">
        <v>6.4270052227137269</v>
      </c>
      <c r="BA291" s="75">
        <v>0.41874886813759421</v>
      </c>
      <c r="BE291">
        <v>4.2253374919871717E-2</v>
      </c>
      <c r="BH291">
        <v>8.4506749839743392E-2</v>
      </c>
      <c r="BI291">
        <v>4.2253374919871717E-2</v>
      </c>
      <c r="BJ291">
        <v>0.41874886813759421</v>
      </c>
    </row>
    <row r="292" spans="1:62" x14ac:dyDescent="0.3">
      <c r="A292" s="2" t="s">
        <v>153</v>
      </c>
      <c r="B292" s="13" t="s">
        <v>775</v>
      </c>
      <c r="C292" s="13"/>
      <c r="D292" s="2" t="s">
        <v>8</v>
      </c>
      <c r="E292" s="2">
        <v>4.3</v>
      </c>
      <c r="F292" s="2">
        <v>3.1</v>
      </c>
      <c r="G292" s="2" t="s">
        <v>231</v>
      </c>
      <c r="H292" s="9" t="s">
        <v>578</v>
      </c>
      <c r="I292">
        <v>-1</v>
      </c>
      <c r="J292"/>
      <c r="L292" s="25">
        <v>1</v>
      </c>
      <c r="M292">
        <v>0</v>
      </c>
      <c r="N292">
        <v>0</v>
      </c>
      <c r="T292" s="25">
        <v>3.9263319999999999</v>
      </c>
      <c r="U292" s="25">
        <v>3.9263319999999999</v>
      </c>
      <c r="V292" s="25">
        <v>10.74639</v>
      </c>
      <c r="W292">
        <v>0</v>
      </c>
      <c r="Z292">
        <v>0</v>
      </c>
      <c r="AD292">
        <v>14</v>
      </c>
      <c r="AE292" s="55">
        <f t="shared" si="16"/>
        <v>0</v>
      </c>
      <c r="AF292" s="57">
        <v>165.66723991337099</v>
      </c>
      <c r="AG292" s="55">
        <v>0</v>
      </c>
      <c r="AH292" s="55">
        <v>0</v>
      </c>
      <c r="AJ292" s="51">
        <v>8.4506749839743392E-2</v>
      </c>
      <c r="AM292" s="28">
        <v>1.7272727272727271</v>
      </c>
      <c r="AN292" s="28">
        <v>2.545454545454545</v>
      </c>
      <c r="AO292" s="28">
        <v>0.81818181818181823</v>
      </c>
      <c r="AP292" s="28">
        <v>0</v>
      </c>
      <c r="AQ292" s="28">
        <v>0.3392857142857143</v>
      </c>
      <c r="AR292" s="28">
        <v>0.5</v>
      </c>
      <c r="AS292" s="28">
        <v>0.1607142857142857</v>
      </c>
      <c r="AT292" s="28">
        <v>0</v>
      </c>
      <c r="AU292" s="25">
        <v>1.1000000000000001</v>
      </c>
      <c r="AV292" s="25">
        <v>3.44</v>
      </c>
      <c r="AW292" s="25">
        <v>2.34</v>
      </c>
      <c r="AX292" s="25">
        <v>2.78</v>
      </c>
      <c r="AY292">
        <v>2.78</v>
      </c>
      <c r="AZ292">
        <v>6.4270052227137269</v>
      </c>
      <c r="BA292" s="75">
        <v>0.41874886813759421</v>
      </c>
      <c r="BE292">
        <v>4.2253374919871717E-2</v>
      </c>
      <c r="BH292">
        <v>8.4506749839743392E-2</v>
      </c>
      <c r="BI292">
        <v>4.2253374919871717E-2</v>
      </c>
      <c r="BJ292">
        <v>0.41874886813759421</v>
      </c>
    </row>
    <row r="293" spans="1:62" x14ac:dyDescent="0.3">
      <c r="A293" s="2" t="s">
        <v>63</v>
      </c>
      <c r="B293" s="13" t="s">
        <v>773</v>
      </c>
      <c r="C293" s="13"/>
      <c r="F293" s="2">
        <v>3.66</v>
      </c>
      <c r="G293" s="2" t="s">
        <v>233</v>
      </c>
      <c r="H293" s="9">
        <v>-1</v>
      </c>
      <c r="I293">
        <v>-1</v>
      </c>
      <c r="J293"/>
      <c r="K293" s="2">
        <v>1</v>
      </c>
      <c r="L293" s="25">
        <v>0</v>
      </c>
      <c r="M293">
        <v>0</v>
      </c>
      <c r="N293">
        <v>0</v>
      </c>
      <c r="O293" s="2">
        <v>3.85</v>
      </c>
      <c r="P293" s="2">
        <v>3.85</v>
      </c>
      <c r="Q293" s="2">
        <v>14.379</v>
      </c>
      <c r="T293" s="25">
        <v>0</v>
      </c>
      <c r="U293" s="25"/>
      <c r="V293" s="25"/>
      <c r="W293">
        <v>0</v>
      </c>
      <c r="Z293">
        <v>0</v>
      </c>
      <c r="AD293">
        <v>20</v>
      </c>
      <c r="AE293" s="55">
        <f t="shared" si="16"/>
        <v>213.13272750000002</v>
      </c>
      <c r="AF293" s="57">
        <v>0</v>
      </c>
      <c r="AG293" s="55">
        <v>0</v>
      </c>
      <c r="AH293" s="55">
        <v>0</v>
      </c>
      <c r="AI293" s="52">
        <f t="shared" ref="AI293:AI296" si="18">K293*AD293/AE293</f>
        <v>9.3838239835784945E-2</v>
      </c>
      <c r="AJ293" s="51"/>
      <c r="AM293" s="28">
        <v>1.75</v>
      </c>
      <c r="AN293" s="28">
        <v>2.5</v>
      </c>
      <c r="AO293" s="28">
        <v>0.75</v>
      </c>
      <c r="AP293" s="28">
        <v>0</v>
      </c>
      <c r="AQ293" s="28">
        <v>0.35</v>
      </c>
      <c r="AR293" s="28">
        <v>0.5</v>
      </c>
      <c r="AS293" s="28">
        <v>0.15</v>
      </c>
      <c r="AT293" s="28">
        <v>0</v>
      </c>
      <c r="AU293" s="25">
        <v>1</v>
      </c>
      <c r="AV293" s="25">
        <v>3.44</v>
      </c>
      <c r="AW293" s="25">
        <v>2.44</v>
      </c>
      <c r="AX293" s="25">
        <v>2.7124999999999999</v>
      </c>
      <c r="AY293">
        <v>2.7124999999999999</v>
      </c>
      <c r="AZ293">
        <v>6.264025610615688</v>
      </c>
      <c r="BD293">
        <v>4.6919119917892473E-2</v>
      </c>
      <c r="BH293">
        <v>9.3838239835784945E-2</v>
      </c>
      <c r="BI293">
        <v>4.6919119917892473E-2</v>
      </c>
      <c r="BJ293">
        <v>0</v>
      </c>
    </row>
    <row r="294" spans="1:62" x14ac:dyDescent="0.3">
      <c r="A294" s="2" t="s">
        <v>232</v>
      </c>
      <c r="B294" s="13" t="s">
        <v>809</v>
      </c>
      <c r="C294" s="13"/>
      <c r="F294" s="2">
        <v>3.65</v>
      </c>
      <c r="G294" s="2" t="s">
        <v>233</v>
      </c>
      <c r="H294" s="9">
        <v>-1</v>
      </c>
      <c r="I294">
        <v>-1</v>
      </c>
      <c r="J294"/>
      <c r="K294" s="2">
        <v>1</v>
      </c>
      <c r="L294" s="25">
        <v>0</v>
      </c>
      <c r="M294">
        <v>0</v>
      </c>
      <c r="N294">
        <v>0</v>
      </c>
      <c r="O294" s="1">
        <v>3.85</v>
      </c>
      <c r="P294" s="1">
        <v>3.85</v>
      </c>
      <c r="Q294" s="1">
        <v>14.379</v>
      </c>
      <c r="T294" s="25">
        <v>0</v>
      </c>
      <c r="U294" s="25"/>
      <c r="V294" s="25"/>
      <c r="W294">
        <v>0</v>
      </c>
      <c r="Z294">
        <v>0</v>
      </c>
      <c r="AD294">
        <v>20</v>
      </c>
      <c r="AE294" s="55">
        <f t="shared" si="16"/>
        <v>213.13272750000002</v>
      </c>
      <c r="AF294" s="57">
        <v>0</v>
      </c>
      <c r="AG294" s="55">
        <v>0</v>
      </c>
      <c r="AH294" s="55">
        <v>0</v>
      </c>
      <c r="AI294" s="52">
        <f t="shared" si="18"/>
        <v>9.3838239835784945E-2</v>
      </c>
      <c r="AJ294" s="51"/>
      <c r="AM294" s="28">
        <v>1.8125</v>
      </c>
      <c r="AN294" s="28">
        <v>2.5</v>
      </c>
      <c r="AO294" s="28">
        <v>0.6875</v>
      </c>
      <c r="AP294" s="28">
        <v>0.875</v>
      </c>
      <c r="AQ294" s="28">
        <v>0.30851063829787229</v>
      </c>
      <c r="AR294" s="28">
        <v>0.42553191489361702</v>
      </c>
      <c r="AS294" s="28">
        <v>0.1170212765957447</v>
      </c>
      <c r="AT294" s="28">
        <v>0.14893617021276601</v>
      </c>
      <c r="AU294" s="25">
        <v>1</v>
      </c>
      <c r="AV294" s="25">
        <v>3.44</v>
      </c>
      <c r="AW294" s="25">
        <v>2.44</v>
      </c>
      <c r="AX294" s="25">
        <v>2.7062499999999998</v>
      </c>
      <c r="AY294">
        <v>2.7062499999999998</v>
      </c>
      <c r="AZ294">
        <v>6.2701641731156874</v>
      </c>
      <c r="BD294">
        <v>4.6919119917892473E-2</v>
      </c>
      <c r="BH294">
        <v>9.3838239835784945E-2</v>
      </c>
      <c r="BI294">
        <v>4.6919119917892473E-2</v>
      </c>
      <c r="BJ294">
        <v>0</v>
      </c>
    </row>
    <row r="295" spans="1:62" x14ac:dyDescent="0.3">
      <c r="A295" s="2" t="s">
        <v>63</v>
      </c>
      <c r="B295" s="13" t="s">
        <v>773</v>
      </c>
      <c r="C295" s="13"/>
      <c r="D295" s="2" t="s">
        <v>887</v>
      </c>
      <c r="E295" s="2" t="s">
        <v>1067</v>
      </c>
      <c r="F295" s="2">
        <v>3.54</v>
      </c>
      <c r="G295" s="2" t="s">
        <v>233</v>
      </c>
      <c r="H295" s="9">
        <v>-1</v>
      </c>
      <c r="I295">
        <v>-1</v>
      </c>
      <c r="J295"/>
      <c r="K295" s="2">
        <v>1</v>
      </c>
      <c r="L295" s="25">
        <v>0</v>
      </c>
      <c r="M295">
        <v>0</v>
      </c>
      <c r="N295">
        <v>0</v>
      </c>
      <c r="O295" s="1">
        <v>3.85</v>
      </c>
      <c r="P295" s="1">
        <v>3.85</v>
      </c>
      <c r="Q295" s="1">
        <v>14.379</v>
      </c>
      <c r="T295" s="25">
        <v>0</v>
      </c>
      <c r="U295" s="25"/>
      <c r="V295" s="25"/>
      <c r="W295">
        <v>0</v>
      </c>
      <c r="Z295">
        <v>0</v>
      </c>
      <c r="AD295">
        <v>20</v>
      </c>
      <c r="AE295" s="55">
        <f t="shared" si="16"/>
        <v>213.13272750000002</v>
      </c>
      <c r="AF295" s="57">
        <v>0</v>
      </c>
      <c r="AG295" s="55">
        <v>0</v>
      </c>
      <c r="AH295" s="55">
        <v>0</v>
      </c>
      <c r="AI295" s="52">
        <f t="shared" si="18"/>
        <v>9.3838239835784945E-2</v>
      </c>
      <c r="AJ295" s="51"/>
      <c r="AM295" s="28">
        <v>1.75</v>
      </c>
      <c r="AN295" s="28">
        <v>2.5</v>
      </c>
      <c r="AO295" s="28">
        <v>0.75</v>
      </c>
      <c r="AP295" s="28">
        <v>0</v>
      </c>
      <c r="AQ295" s="28">
        <v>0.35</v>
      </c>
      <c r="AR295" s="28">
        <v>0.5</v>
      </c>
      <c r="AS295" s="28">
        <v>0.15</v>
      </c>
      <c r="AT295" s="28">
        <v>0</v>
      </c>
      <c r="AU295" s="25">
        <v>1</v>
      </c>
      <c r="AV295" s="25">
        <v>3.44</v>
      </c>
      <c r="AW295" s="25">
        <v>2.44</v>
      </c>
      <c r="AX295" s="25">
        <v>2.7124999999999999</v>
      </c>
      <c r="AY295">
        <v>2.7124999999999999</v>
      </c>
      <c r="AZ295">
        <v>6.264025610615688</v>
      </c>
      <c r="BD295">
        <v>4.6919119917892473E-2</v>
      </c>
      <c r="BH295">
        <v>9.3838239835784945E-2</v>
      </c>
      <c r="BI295">
        <v>4.6919119917892473E-2</v>
      </c>
      <c r="BJ295">
        <v>0</v>
      </c>
    </row>
    <row r="296" spans="1:62" x14ac:dyDescent="0.3">
      <c r="A296" s="2" t="s">
        <v>232</v>
      </c>
      <c r="B296" s="13" t="s">
        <v>809</v>
      </c>
      <c r="C296" s="13"/>
      <c r="D296" s="2" t="s">
        <v>887</v>
      </c>
      <c r="E296" s="2" t="s">
        <v>1067</v>
      </c>
      <c r="F296" s="2">
        <v>3.54</v>
      </c>
      <c r="G296" s="2" t="s">
        <v>233</v>
      </c>
      <c r="H296" s="9">
        <v>-1</v>
      </c>
      <c r="I296">
        <v>-1</v>
      </c>
      <c r="J296"/>
      <c r="K296" s="2">
        <v>1</v>
      </c>
      <c r="L296" s="25">
        <v>0</v>
      </c>
      <c r="M296">
        <v>0</v>
      </c>
      <c r="N296">
        <v>0</v>
      </c>
      <c r="O296" s="1">
        <v>3.85</v>
      </c>
      <c r="P296" s="1">
        <v>3.85</v>
      </c>
      <c r="Q296" s="1">
        <v>14.379</v>
      </c>
      <c r="T296" s="25">
        <v>0</v>
      </c>
      <c r="U296" s="25"/>
      <c r="V296" s="25"/>
      <c r="W296">
        <v>0</v>
      </c>
      <c r="Z296">
        <v>0</v>
      </c>
      <c r="AD296">
        <v>20</v>
      </c>
      <c r="AE296" s="55">
        <f t="shared" si="16"/>
        <v>213.13272750000002</v>
      </c>
      <c r="AF296" s="57">
        <v>0</v>
      </c>
      <c r="AG296" s="55">
        <v>0</v>
      </c>
      <c r="AH296" s="55">
        <v>0</v>
      </c>
      <c r="AI296" s="52">
        <f t="shared" si="18"/>
        <v>9.3838239835784945E-2</v>
      </c>
      <c r="AJ296" s="51"/>
      <c r="AM296" s="28">
        <v>1.8125</v>
      </c>
      <c r="AN296" s="28">
        <v>2.5</v>
      </c>
      <c r="AO296" s="28">
        <v>0.6875</v>
      </c>
      <c r="AP296" s="28">
        <v>0.875</v>
      </c>
      <c r="AQ296" s="28">
        <v>0.30851063829787229</v>
      </c>
      <c r="AR296" s="28">
        <v>0.42553191489361702</v>
      </c>
      <c r="AS296" s="28">
        <v>0.1170212765957447</v>
      </c>
      <c r="AT296" s="28">
        <v>0.14893617021276601</v>
      </c>
      <c r="AU296" s="25">
        <v>1</v>
      </c>
      <c r="AV296" s="25">
        <v>3.44</v>
      </c>
      <c r="AW296" s="25">
        <v>2.44</v>
      </c>
      <c r="AX296" s="25">
        <v>2.7062499999999998</v>
      </c>
      <c r="AY296">
        <v>2.7062499999999998</v>
      </c>
      <c r="AZ296">
        <v>6.2701641731156874</v>
      </c>
      <c r="BD296">
        <v>4.6919119917892473E-2</v>
      </c>
      <c r="BH296">
        <v>9.3838239835784945E-2</v>
      </c>
      <c r="BI296">
        <v>4.6919119917892473E-2</v>
      </c>
      <c r="BJ296">
        <v>0</v>
      </c>
    </row>
    <row r="297" spans="1:62" x14ac:dyDescent="0.3">
      <c r="A297" s="2" t="s">
        <v>46</v>
      </c>
      <c r="B297" s="13" t="s">
        <v>722</v>
      </c>
      <c r="C297" s="13"/>
      <c r="F297" s="2">
        <v>3.87</v>
      </c>
      <c r="G297" s="2" t="s">
        <v>234</v>
      </c>
      <c r="H297" s="9" t="s">
        <v>551</v>
      </c>
      <c r="I297" t="s">
        <v>629</v>
      </c>
      <c r="J297"/>
      <c r="L297" s="25">
        <v>2</v>
      </c>
      <c r="M297">
        <v>4</v>
      </c>
      <c r="N297">
        <v>0</v>
      </c>
      <c r="T297" s="25">
        <v>7.41544296</v>
      </c>
      <c r="U297" s="25">
        <v>7.4154429599999991</v>
      </c>
      <c r="V297" s="25">
        <v>7.41544296</v>
      </c>
      <c r="W297">
        <v>7.8</v>
      </c>
      <c r="X297">
        <v>13.010999999999999</v>
      </c>
      <c r="Y297">
        <v>5.5460000000000003</v>
      </c>
      <c r="Z297">
        <v>0</v>
      </c>
      <c r="AD297">
        <v>14</v>
      </c>
      <c r="AE297" s="55">
        <f t="shared" si="16"/>
        <v>0</v>
      </c>
      <c r="AF297" s="57">
        <v>288.33429290182369</v>
      </c>
      <c r="AG297" s="55">
        <v>556.51188553357167</v>
      </c>
      <c r="AH297" s="55">
        <v>0</v>
      </c>
      <c r="AJ297" s="51">
        <v>9.7109503410799117E-2</v>
      </c>
      <c r="AK297" s="52">
        <v>0.10062678166578309</v>
      </c>
      <c r="AM297" s="28">
        <v>2</v>
      </c>
      <c r="AN297" s="28">
        <v>2.545454545454545</v>
      </c>
      <c r="AO297" s="28">
        <v>0.54545454545454541</v>
      </c>
      <c r="AP297" s="28">
        <v>0</v>
      </c>
      <c r="AQ297" s="28">
        <v>0.39285714285714279</v>
      </c>
      <c r="AR297" s="28">
        <v>0.5</v>
      </c>
      <c r="AS297" s="28">
        <v>0.1071428571428571</v>
      </c>
      <c r="AT297" s="28">
        <v>0</v>
      </c>
      <c r="AU297" s="25">
        <v>1.1000000000000001</v>
      </c>
      <c r="AV297" s="25">
        <v>3.44</v>
      </c>
      <c r="AW297" s="25">
        <v>2.34</v>
      </c>
      <c r="AX297" s="25">
        <v>2.669090909090909</v>
      </c>
      <c r="AY297">
        <v>2.669090909090909</v>
      </c>
      <c r="AZ297">
        <v>5.9831974772727277</v>
      </c>
      <c r="BA297" s="75">
        <v>0.52442413903612473</v>
      </c>
      <c r="BB297" s="75">
        <v>0.54341863036636606</v>
      </c>
      <c r="BE297">
        <v>4.8554751705399558E-2</v>
      </c>
      <c r="BF297">
        <v>5.0313390832891547E-2</v>
      </c>
      <c r="BH297">
        <v>9.8868142538291098E-2</v>
      </c>
      <c r="BI297">
        <v>4.9434071269145549E-2</v>
      </c>
      <c r="BJ297">
        <v>0.53392138470124539</v>
      </c>
    </row>
    <row r="298" spans="1:62" x14ac:dyDescent="0.3">
      <c r="A298" s="5" t="s">
        <v>19</v>
      </c>
      <c r="B298" s="38" t="s">
        <v>705</v>
      </c>
      <c r="C298" s="39"/>
      <c r="D298" s="5"/>
      <c r="E298" s="5"/>
      <c r="F298" s="5">
        <v>3.53</v>
      </c>
      <c r="G298" s="5" t="s">
        <v>235</v>
      </c>
      <c r="H298" s="40">
        <v>-2</v>
      </c>
      <c r="I298" s="5" t="s">
        <v>1167</v>
      </c>
      <c r="J298" s="5"/>
      <c r="K298" s="5"/>
      <c r="L298" s="41">
        <v>0</v>
      </c>
      <c r="M298">
        <v>0</v>
      </c>
      <c r="N298">
        <v>4</v>
      </c>
      <c r="O298" s="5"/>
      <c r="P298" s="5"/>
      <c r="Q298" s="5"/>
      <c r="R298" s="5" t="s">
        <v>450</v>
      </c>
      <c r="S298" s="5"/>
      <c r="T298" s="41">
        <v>0</v>
      </c>
      <c r="U298" s="41"/>
      <c r="V298" s="41"/>
      <c r="W298">
        <v>0</v>
      </c>
      <c r="Z298">
        <v>24.8627</v>
      </c>
      <c r="AA298">
        <v>5.4355000000000002</v>
      </c>
      <c r="AB298">
        <v>5.4478</v>
      </c>
      <c r="AC298" s="5"/>
      <c r="AD298" s="5">
        <v>18</v>
      </c>
      <c r="AE298" s="55">
        <f t="shared" si="16"/>
        <v>0</v>
      </c>
      <c r="AF298" s="57">
        <v>0</v>
      </c>
      <c r="AG298" s="55">
        <v>0</v>
      </c>
      <c r="AH298" s="55">
        <f t="shared" ref="AH298:AH303" si="19">Z298*AA298*AB298</f>
        <v>736.22226122963002</v>
      </c>
      <c r="AJ298" s="51"/>
      <c r="AL298" s="67">
        <f t="shared" ref="AL298:AL303" si="20">N298*AD298/AH298</f>
        <v>9.7796553828386576E-2</v>
      </c>
      <c r="AM298" s="5">
        <v>1.8666666666666669</v>
      </c>
      <c r="AN298" s="5">
        <v>2.8</v>
      </c>
      <c r="AO298" s="5">
        <v>1.8666666666666669</v>
      </c>
      <c r="AP298" s="5">
        <v>1.8666666666666669</v>
      </c>
      <c r="AQ298" s="5">
        <v>0.22222222222222221</v>
      </c>
      <c r="AR298" s="5">
        <v>0.33333333333333331</v>
      </c>
      <c r="AS298" s="5">
        <v>0.22222222222222221</v>
      </c>
      <c r="AT298" s="5">
        <v>0.22222222222222221</v>
      </c>
      <c r="AU298" s="41">
        <v>1</v>
      </c>
      <c r="AV298" s="41">
        <v>3.44</v>
      </c>
      <c r="AW298" s="41">
        <v>2.44</v>
      </c>
      <c r="AX298" s="41">
        <v>2.68</v>
      </c>
      <c r="AY298" s="5">
        <v>2.68</v>
      </c>
      <c r="AZ298" s="5">
        <v>5.9932041966666656</v>
      </c>
      <c r="BG298">
        <v>4.8898276914193288E-2</v>
      </c>
      <c r="BH298">
        <v>9.7796553828386576E-2</v>
      </c>
      <c r="BI298">
        <v>4.8898276914193288E-2</v>
      </c>
      <c r="BJ298">
        <v>0</v>
      </c>
    </row>
    <row r="299" spans="1:62" x14ac:dyDescent="0.3">
      <c r="A299" s="5" t="s">
        <v>20</v>
      </c>
      <c r="B299" s="38" t="s">
        <v>706</v>
      </c>
      <c r="C299" s="39"/>
      <c r="D299" s="5"/>
      <c r="E299" s="5"/>
      <c r="F299" s="5">
        <v>3.42</v>
      </c>
      <c r="G299" s="5" t="s">
        <v>235</v>
      </c>
      <c r="H299" s="40">
        <v>-2</v>
      </c>
      <c r="I299" s="5" t="s">
        <v>1168</v>
      </c>
      <c r="J299" s="5"/>
      <c r="K299" s="5"/>
      <c r="L299" s="41">
        <v>0</v>
      </c>
      <c r="M299">
        <v>0</v>
      </c>
      <c r="N299">
        <v>4</v>
      </c>
      <c r="O299" s="5"/>
      <c r="P299" s="5"/>
      <c r="Q299" s="5"/>
      <c r="R299" s="5" t="s">
        <v>450</v>
      </c>
      <c r="S299" s="5"/>
      <c r="T299" s="41">
        <v>0</v>
      </c>
      <c r="U299" s="41"/>
      <c r="V299" s="41"/>
      <c r="W299">
        <v>0</v>
      </c>
      <c r="Z299">
        <v>24.556999999999999</v>
      </c>
      <c r="AA299">
        <v>5.5289999999999999</v>
      </c>
      <c r="AB299">
        <v>5.5289999999999999</v>
      </c>
      <c r="AC299" s="5"/>
      <c r="AD299" s="5">
        <v>18</v>
      </c>
      <c r="AE299" s="55">
        <f t="shared" si="16"/>
        <v>0</v>
      </c>
      <c r="AF299" s="57">
        <v>0</v>
      </c>
      <c r="AG299" s="55">
        <v>0</v>
      </c>
      <c r="AH299" s="55">
        <f t="shared" si="19"/>
        <v>750.7035854369999</v>
      </c>
      <c r="AJ299" s="51"/>
      <c r="AL299" s="67">
        <f t="shared" si="20"/>
        <v>9.5910025470422294E-2</v>
      </c>
      <c r="AM299" s="5">
        <v>1.8666666666666669</v>
      </c>
      <c r="AN299" s="5">
        <v>2.8</v>
      </c>
      <c r="AO299" s="5">
        <v>1.8666666666666669</v>
      </c>
      <c r="AP299" s="5">
        <v>1.8666666666666669</v>
      </c>
      <c r="AQ299" s="5">
        <v>0.22222222222222221</v>
      </c>
      <c r="AR299" s="5">
        <v>0.33333333333333331</v>
      </c>
      <c r="AS299" s="5">
        <v>0.22222222222222221</v>
      </c>
      <c r="AT299" s="5">
        <v>0.22222222222222221</v>
      </c>
      <c r="AU299" s="41">
        <v>0.95</v>
      </c>
      <c r="AV299" s="41">
        <v>3.44</v>
      </c>
      <c r="AW299" s="41">
        <v>2.4900000000000002</v>
      </c>
      <c r="AX299" s="41">
        <v>2.6733333333333329</v>
      </c>
      <c r="AY299" s="5">
        <v>2.6733333333333329</v>
      </c>
      <c r="AZ299" s="5">
        <v>5.9671526619999993</v>
      </c>
      <c r="BG299">
        <v>4.7955012735211147E-2</v>
      </c>
      <c r="BH299">
        <v>9.5910025470422294E-2</v>
      </c>
      <c r="BI299">
        <v>4.7955012735211147E-2</v>
      </c>
      <c r="BJ299">
        <v>0</v>
      </c>
    </row>
    <row r="300" spans="1:62" x14ac:dyDescent="0.3">
      <c r="A300" s="5" t="s">
        <v>21</v>
      </c>
      <c r="B300" s="38" t="s">
        <v>707</v>
      </c>
      <c r="C300" s="39"/>
      <c r="D300" s="5"/>
      <c r="E300" s="5"/>
      <c r="F300" s="5">
        <v>2.82</v>
      </c>
      <c r="G300" s="5" t="s">
        <v>235</v>
      </c>
      <c r="H300" s="40">
        <v>-2</v>
      </c>
      <c r="I300" s="5" t="s">
        <v>1169</v>
      </c>
      <c r="J300" s="5"/>
      <c r="K300" s="5"/>
      <c r="L300" s="41">
        <v>0</v>
      </c>
      <c r="M300">
        <v>0</v>
      </c>
      <c r="N300">
        <v>4</v>
      </c>
      <c r="O300" s="5"/>
      <c r="P300" s="5"/>
      <c r="Q300" s="5"/>
      <c r="R300" s="5" t="s">
        <v>440</v>
      </c>
      <c r="S300" s="5"/>
      <c r="T300" s="41">
        <v>0</v>
      </c>
      <c r="U300" s="41"/>
      <c r="V300" s="41"/>
      <c r="W300">
        <v>0</v>
      </c>
      <c r="Z300">
        <v>25.574999999999999</v>
      </c>
      <c r="AA300">
        <v>5.5629999999999997</v>
      </c>
      <c r="AB300">
        <v>5.5629999999999997</v>
      </c>
      <c r="AC300" s="5"/>
      <c r="AD300" s="5">
        <v>18</v>
      </c>
      <c r="AE300" s="55">
        <f t="shared" si="16"/>
        <v>0</v>
      </c>
      <c r="AF300" s="57">
        <v>0</v>
      </c>
      <c r="AG300" s="55">
        <v>0</v>
      </c>
      <c r="AH300" s="55">
        <f t="shared" si="19"/>
        <v>791.4687321749999</v>
      </c>
      <c r="AJ300" s="51"/>
      <c r="AL300" s="67">
        <f t="shared" si="20"/>
        <v>9.0970112997565952E-2</v>
      </c>
      <c r="AM300" s="5">
        <v>1.8666666666666669</v>
      </c>
      <c r="AN300" s="5">
        <v>2.8</v>
      </c>
      <c r="AO300" s="5">
        <v>1.8666666666666669</v>
      </c>
      <c r="AP300" s="5">
        <v>1.8666666666666669</v>
      </c>
      <c r="AQ300" s="5">
        <v>0.22222222222222221</v>
      </c>
      <c r="AR300" s="5">
        <v>0.33333333333333331</v>
      </c>
      <c r="AS300" s="5">
        <v>0.22222222222222221</v>
      </c>
      <c r="AT300" s="5">
        <v>0.22222222222222221</v>
      </c>
      <c r="AU300" s="41">
        <v>0.89</v>
      </c>
      <c r="AV300" s="41">
        <v>3.44</v>
      </c>
      <c r="AW300" s="41">
        <v>2.5499999999999998</v>
      </c>
      <c r="AX300" s="41">
        <v>2.6653333333333342</v>
      </c>
      <c r="AY300" s="5">
        <v>2.6653333333333329</v>
      </c>
      <c r="AZ300" s="5">
        <v>5.9411098053333333</v>
      </c>
      <c r="BG300">
        <v>4.5485056498782983E-2</v>
      </c>
      <c r="BH300">
        <v>9.0970112997565952E-2</v>
      </c>
      <c r="BI300">
        <v>4.5485056498782983E-2</v>
      </c>
      <c r="BJ300">
        <v>0</v>
      </c>
    </row>
    <row r="301" spans="1:62" x14ac:dyDescent="0.3">
      <c r="A301" s="2" t="s">
        <v>19</v>
      </c>
      <c r="B301" s="37" t="s">
        <v>705</v>
      </c>
      <c r="C301" s="13"/>
      <c r="F301" s="2">
        <v>3.51</v>
      </c>
      <c r="G301" s="2" t="s">
        <v>235</v>
      </c>
      <c r="H301" s="9">
        <v>-1</v>
      </c>
      <c r="I301" t="s">
        <v>1167</v>
      </c>
      <c r="J301"/>
      <c r="L301" s="25">
        <v>0</v>
      </c>
      <c r="M301">
        <v>0</v>
      </c>
      <c r="N301">
        <v>4</v>
      </c>
      <c r="R301" s="2" t="s">
        <v>450</v>
      </c>
      <c r="T301" s="25">
        <v>0</v>
      </c>
      <c r="U301" s="25"/>
      <c r="V301" s="25"/>
      <c r="W301">
        <v>0</v>
      </c>
      <c r="Z301">
        <v>24.8627</v>
      </c>
      <c r="AA301">
        <v>5.4355000000000002</v>
      </c>
      <c r="AB301">
        <v>5.4478</v>
      </c>
      <c r="AD301">
        <v>18</v>
      </c>
      <c r="AE301" s="55">
        <f t="shared" si="16"/>
        <v>0</v>
      </c>
      <c r="AF301" s="57">
        <v>0</v>
      </c>
      <c r="AG301" s="55">
        <v>0</v>
      </c>
      <c r="AH301" s="55">
        <f t="shared" si="19"/>
        <v>736.22226122963002</v>
      </c>
      <c r="AJ301" s="51"/>
      <c r="AL301" s="67">
        <f t="shared" si="20"/>
        <v>9.7796553828386576E-2</v>
      </c>
      <c r="AM301" s="28">
        <v>1.8666666666666669</v>
      </c>
      <c r="AN301" s="28">
        <v>2.8</v>
      </c>
      <c r="AO301" s="28">
        <v>1.8666666666666669</v>
      </c>
      <c r="AP301" s="28">
        <v>1.8666666666666669</v>
      </c>
      <c r="AQ301" s="28">
        <v>0.22222222222222221</v>
      </c>
      <c r="AR301" s="28">
        <v>0.33333333333333331</v>
      </c>
      <c r="AS301" s="28">
        <v>0.22222222222222221</v>
      </c>
      <c r="AT301" s="28">
        <v>0.22222222222222221</v>
      </c>
      <c r="AU301" s="25">
        <v>1</v>
      </c>
      <c r="AV301" s="25">
        <v>3.44</v>
      </c>
      <c r="AW301" s="25">
        <v>2.44</v>
      </c>
      <c r="AX301" s="25">
        <v>2.68</v>
      </c>
      <c r="AY301">
        <v>2.68</v>
      </c>
      <c r="AZ301">
        <v>5.9932041966666656</v>
      </c>
      <c r="BG301">
        <v>4.8898276914193288E-2</v>
      </c>
      <c r="BH301">
        <v>9.7796553828386576E-2</v>
      </c>
      <c r="BI301">
        <v>4.8898276914193288E-2</v>
      </c>
      <c r="BJ301">
        <v>0</v>
      </c>
    </row>
    <row r="302" spans="1:62" x14ac:dyDescent="0.3">
      <c r="A302" s="2" t="s">
        <v>20</v>
      </c>
      <c r="B302" s="37" t="s">
        <v>706</v>
      </c>
      <c r="C302" s="13"/>
      <c r="F302" s="2">
        <v>3.48</v>
      </c>
      <c r="G302" s="2" t="s">
        <v>235</v>
      </c>
      <c r="H302" s="9">
        <v>-1</v>
      </c>
      <c r="I302" t="s">
        <v>1168</v>
      </c>
      <c r="J302"/>
      <c r="L302" s="25">
        <v>0</v>
      </c>
      <c r="M302">
        <v>0</v>
      </c>
      <c r="N302">
        <v>4</v>
      </c>
      <c r="R302" s="2" t="s">
        <v>450</v>
      </c>
      <c r="T302" s="25">
        <v>0</v>
      </c>
      <c r="U302" s="25"/>
      <c r="V302" s="25"/>
      <c r="W302">
        <v>0</v>
      </c>
      <c r="Z302">
        <v>24.556999999999999</v>
      </c>
      <c r="AA302">
        <v>5.5289999999999999</v>
      </c>
      <c r="AB302">
        <v>5.5289999999999999</v>
      </c>
      <c r="AD302">
        <v>18</v>
      </c>
      <c r="AE302" s="55">
        <f t="shared" si="16"/>
        <v>0</v>
      </c>
      <c r="AF302" s="57">
        <v>0</v>
      </c>
      <c r="AG302" s="55">
        <v>0</v>
      </c>
      <c r="AH302" s="55">
        <f t="shared" si="19"/>
        <v>750.7035854369999</v>
      </c>
      <c r="AJ302" s="51"/>
      <c r="AL302" s="67">
        <f t="shared" si="20"/>
        <v>9.5910025470422294E-2</v>
      </c>
      <c r="AM302" s="28">
        <v>1.8666666666666669</v>
      </c>
      <c r="AN302" s="28">
        <v>2.8</v>
      </c>
      <c r="AO302" s="28">
        <v>1.8666666666666669</v>
      </c>
      <c r="AP302" s="28">
        <v>1.8666666666666669</v>
      </c>
      <c r="AQ302" s="28">
        <v>0.22222222222222221</v>
      </c>
      <c r="AR302" s="28">
        <v>0.33333333333333331</v>
      </c>
      <c r="AS302" s="28">
        <v>0.22222222222222221</v>
      </c>
      <c r="AT302" s="28">
        <v>0.22222222222222221</v>
      </c>
      <c r="AU302" s="25">
        <v>0.95</v>
      </c>
      <c r="AV302" s="25">
        <v>3.44</v>
      </c>
      <c r="AW302" s="25">
        <v>2.4900000000000002</v>
      </c>
      <c r="AX302" s="25">
        <v>2.6733333333333329</v>
      </c>
      <c r="AY302">
        <v>2.6733333333333329</v>
      </c>
      <c r="AZ302">
        <v>5.9671526619999993</v>
      </c>
      <c r="BG302">
        <v>4.7955012735211147E-2</v>
      </c>
      <c r="BH302">
        <v>9.5910025470422294E-2</v>
      </c>
      <c r="BI302">
        <v>4.7955012735211147E-2</v>
      </c>
      <c r="BJ302">
        <v>0</v>
      </c>
    </row>
    <row r="303" spans="1:62" x14ac:dyDescent="0.3">
      <c r="A303" s="2" t="s">
        <v>21</v>
      </c>
      <c r="B303" s="37" t="s">
        <v>707</v>
      </c>
      <c r="C303" s="13"/>
      <c r="F303" s="2">
        <v>3.08</v>
      </c>
      <c r="G303" s="2" t="s">
        <v>235</v>
      </c>
      <c r="H303" s="9">
        <v>-1</v>
      </c>
      <c r="I303" t="s">
        <v>1169</v>
      </c>
      <c r="J303"/>
      <c r="L303" s="25">
        <v>0</v>
      </c>
      <c r="M303">
        <v>0</v>
      </c>
      <c r="N303">
        <v>4</v>
      </c>
      <c r="R303" s="2" t="s">
        <v>440</v>
      </c>
      <c r="T303" s="25">
        <v>0</v>
      </c>
      <c r="U303" s="25"/>
      <c r="V303" s="25"/>
      <c r="W303">
        <v>0</v>
      </c>
      <c r="Z303">
        <v>25.574999999999999</v>
      </c>
      <c r="AA303">
        <v>5.5629999999999997</v>
      </c>
      <c r="AB303">
        <v>5.5629999999999997</v>
      </c>
      <c r="AD303">
        <v>18</v>
      </c>
      <c r="AE303" s="55">
        <f t="shared" si="16"/>
        <v>0</v>
      </c>
      <c r="AF303" s="57">
        <v>0</v>
      </c>
      <c r="AG303" s="55">
        <v>0</v>
      </c>
      <c r="AH303" s="55">
        <f t="shared" si="19"/>
        <v>791.4687321749999</v>
      </c>
      <c r="AJ303" s="51"/>
      <c r="AL303" s="67">
        <f t="shared" si="20"/>
        <v>9.0970112997565952E-2</v>
      </c>
      <c r="AM303" s="28">
        <v>1.8666666666666669</v>
      </c>
      <c r="AN303" s="28">
        <v>2.8</v>
      </c>
      <c r="AO303" s="28">
        <v>1.8666666666666669</v>
      </c>
      <c r="AP303" s="28">
        <v>1.8666666666666669</v>
      </c>
      <c r="AQ303" s="28">
        <v>0.22222222222222221</v>
      </c>
      <c r="AR303" s="28">
        <v>0.33333333333333331</v>
      </c>
      <c r="AS303" s="28">
        <v>0.22222222222222221</v>
      </c>
      <c r="AT303" s="28">
        <v>0.22222222222222221</v>
      </c>
      <c r="AU303" s="25">
        <v>0.89</v>
      </c>
      <c r="AV303" s="25">
        <v>3.44</v>
      </c>
      <c r="AW303" s="25">
        <v>2.5499999999999998</v>
      </c>
      <c r="AX303" s="25">
        <v>2.6653333333333342</v>
      </c>
      <c r="AY303">
        <v>2.6653333333333329</v>
      </c>
      <c r="AZ303">
        <v>5.9411098053333333</v>
      </c>
      <c r="BG303">
        <v>4.5485056498782983E-2</v>
      </c>
      <c r="BH303">
        <v>9.0970112997565952E-2</v>
      </c>
      <c r="BI303">
        <v>4.5485056498782983E-2</v>
      </c>
      <c r="BJ303">
        <v>0</v>
      </c>
    </row>
    <row r="304" spans="1:62" x14ac:dyDescent="0.3">
      <c r="A304" s="2" t="s">
        <v>236</v>
      </c>
      <c r="B304" s="13" t="s">
        <v>810</v>
      </c>
      <c r="C304" s="13"/>
      <c r="F304" s="2">
        <v>4.5999999999999996</v>
      </c>
      <c r="G304" s="2" t="s">
        <v>238</v>
      </c>
      <c r="H304" s="9" t="s">
        <v>586</v>
      </c>
      <c r="I304" t="s">
        <v>662</v>
      </c>
      <c r="J304"/>
      <c r="L304" s="25">
        <v>8</v>
      </c>
      <c r="M304">
        <v>1</v>
      </c>
      <c r="N304">
        <v>0</v>
      </c>
      <c r="T304" s="25">
        <v>7.5714817599999993</v>
      </c>
      <c r="U304" s="25">
        <v>7.4441355800000002</v>
      </c>
      <c r="V304" s="25">
        <v>14.785262019999999</v>
      </c>
      <c r="W304">
        <v>10.442</v>
      </c>
      <c r="X304">
        <v>10.442</v>
      </c>
      <c r="Y304">
        <v>10.442</v>
      </c>
      <c r="Z304">
        <v>0</v>
      </c>
      <c r="AD304">
        <v>12</v>
      </c>
      <c r="AE304" s="55">
        <f t="shared" si="16"/>
        <v>0</v>
      </c>
      <c r="AF304" s="57">
        <v>583.54908217201648</v>
      </c>
      <c r="AG304" s="55">
        <v>1138.547270888</v>
      </c>
      <c r="AH304" s="55">
        <v>0</v>
      </c>
      <c r="AJ304" s="51">
        <v>0.1645105834845636</v>
      </c>
      <c r="AK304" s="52">
        <v>1.053974683953237E-2</v>
      </c>
      <c r="AM304" s="28">
        <v>1.8</v>
      </c>
      <c r="AN304" s="28">
        <v>2.4</v>
      </c>
      <c r="AO304" s="28">
        <v>0.6</v>
      </c>
      <c r="AP304" s="28">
        <v>2.8</v>
      </c>
      <c r="AQ304" s="28">
        <v>0.23684210526315791</v>
      </c>
      <c r="AR304" s="28">
        <v>0.31578947368421051</v>
      </c>
      <c r="AS304" s="28">
        <v>7.8947368421052627E-2</v>
      </c>
      <c r="AT304" s="28">
        <v>0.36842105263157893</v>
      </c>
      <c r="AU304" s="25">
        <v>0.93</v>
      </c>
      <c r="AV304" s="25">
        <v>3.44</v>
      </c>
      <c r="AW304" s="25">
        <v>2.5099999999999998</v>
      </c>
      <c r="AX304" s="25">
        <v>2.5499999999999998</v>
      </c>
      <c r="AY304">
        <v>2.5499999999999998</v>
      </c>
      <c r="AZ304">
        <v>5.8797175109999991</v>
      </c>
      <c r="BA304" s="75">
        <v>0.46150059156666667</v>
      </c>
      <c r="BE304">
        <v>8.2255291742281814E-2</v>
      </c>
      <c r="BF304">
        <v>5.2698734197661841E-3</v>
      </c>
      <c r="BH304">
        <v>8.7525165162047988E-2</v>
      </c>
      <c r="BI304">
        <v>4.3762582581024001E-2</v>
      </c>
      <c r="BJ304">
        <v>0.46150059156666667</v>
      </c>
    </row>
    <row r="305" spans="1:62" x14ac:dyDescent="0.3">
      <c r="A305" s="2" t="s">
        <v>237</v>
      </c>
      <c r="B305" s="13" t="s">
        <v>811</v>
      </c>
      <c r="C305" s="13"/>
      <c r="F305" s="2">
        <v>4.5</v>
      </c>
      <c r="G305" s="2" t="s">
        <v>238</v>
      </c>
      <c r="H305" s="9" t="s">
        <v>563</v>
      </c>
      <c r="I305">
        <v>-1</v>
      </c>
      <c r="J305"/>
      <c r="L305" s="25">
        <v>1</v>
      </c>
      <c r="M305">
        <v>0</v>
      </c>
      <c r="N305">
        <v>0</v>
      </c>
      <c r="T305" s="25">
        <v>3.9948813699999999</v>
      </c>
      <c r="U305" s="25">
        <v>3.9948813699999999</v>
      </c>
      <c r="V305" s="25">
        <v>3.9948813699999999</v>
      </c>
      <c r="W305">
        <v>0</v>
      </c>
      <c r="Z305">
        <v>0</v>
      </c>
      <c r="AD305">
        <v>12</v>
      </c>
      <c r="AE305" s="55">
        <f t="shared" si="16"/>
        <v>0</v>
      </c>
      <c r="AF305" s="57">
        <v>63.754620030366901</v>
      </c>
      <c r="AG305" s="55">
        <v>0</v>
      </c>
      <c r="AH305" s="55">
        <v>0</v>
      </c>
      <c r="AJ305" s="51">
        <v>0.18822165349404149</v>
      </c>
      <c r="AM305" s="28">
        <v>1.8</v>
      </c>
      <c r="AN305" s="28">
        <v>2.4</v>
      </c>
      <c r="AO305" s="28">
        <v>0.6</v>
      </c>
      <c r="AP305" s="28">
        <v>2.8</v>
      </c>
      <c r="AQ305" s="28">
        <v>0.23684210526315791</v>
      </c>
      <c r="AR305" s="28">
        <v>0.31578947368421051</v>
      </c>
      <c r="AS305" s="28">
        <v>7.8947368421052627E-2</v>
      </c>
      <c r="AT305" s="28">
        <v>0.36842105263157893</v>
      </c>
      <c r="AU305" s="25">
        <v>0.82</v>
      </c>
      <c r="AV305" s="25">
        <v>3.44</v>
      </c>
      <c r="AW305" s="25">
        <v>2.62</v>
      </c>
      <c r="AX305" s="25">
        <v>2.528</v>
      </c>
      <c r="AY305">
        <v>2.528</v>
      </c>
      <c r="AZ305">
        <v>5.7952294759999994</v>
      </c>
      <c r="BA305" s="75">
        <v>0.65619545508850963</v>
      </c>
      <c r="BE305">
        <v>9.4110826747020773E-2</v>
      </c>
      <c r="BH305">
        <v>0.18822165349404149</v>
      </c>
      <c r="BI305">
        <v>9.4110826747020773E-2</v>
      </c>
      <c r="BJ305">
        <v>0.65619545508850963</v>
      </c>
    </row>
    <row r="306" spans="1:62" x14ac:dyDescent="0.3">
      <c r="A306" s="2" t="s">
        <v>239</v>
      </c>
      <c r="B306" s="13" t="s">
        <v>812</v>
      </c>
      <c r="C306" s="13"/>
      <c r="F306" s="2">
        <v>4.4000000000000004</v>
      </c>
      <c r="G306" s="2" t="s">
        <v>238</v>
      </c>
      <c r="H306" s="9" t="s">
        <v>590</v>
      </c>
      <c r="I306" t="s">
        <v>663</v>
      </c>
      <c r="J306"/>
      <c r="L306" s="25">
        <v>16</v>
      </c>
      <c r="M306">
        <v>8</v>
      </c>
      <c r="N306">
        <v>0</v>
      </c>
      <c r="T306" s="25">
        <v>7.4248940299999999</v>
      </c>
      <c r="U306" s="25">
        <v>7.4248940300000008</v>
      </c>
      <c r="V306" s="25">
        <v>48.809404000000001</v>
      </c>
      <c r="W306">
        <v>10.37</v>
      </c>
      <c r="X306">
        <v>10.37</v>
      </c>
      <c r="Y306">
        <v>10.37</v>
      </c>
      <c r="Z306">
        <v>0</v>
      </c>
      <c r="AD306">
        <v>14</v>
      </c>
      <c r="AE306" s="55">
        <f t="shared" si="16"/>
        <v>0</v>
      </c>
      <c r="AF306" s="57">
        <v>2333.5692942103669</v>
      </c>
      <c r="AG306" s="55">
        <v>1115.157653</v>
      </c>
      <c r="AH306" s="55">
        <v>0</v>
      </c>
      <c r="AJ306" s="51">
        <v>9.5990292876988306E-2</v>
      </c>
      <c r="AK306" s="52">
        <v>0.10043422981378219</v>
      </c>
      <c r="AM306" s="28">
        <v>2</v>
      </c>
      <c r="AN306" s="28">
        <v>2.545454545454545</v>
      </c>
      <c r="AO306" s="28">
        <v>0.54545454545454541</v>
      </c>
      <c r="AP306" s="28">
        <v>2.545454545454545</v>
      </c>
      <c r="AQ306" s="28">
        <v>0.26190476190476192</v>
      </c>
      <c r="AR306" s="28">
        <v>0.33333333333333331</v>
      </c>
      <c r="AS306" s="28">
        <v>7.1428571428571425E-2</v>
      </c>
      <c r="AT306" s="28">
        <v>0.33333333333333331</v>
      </c>
      <c r="AU306" s="25">
        <v>1</v>
      </c>
      <c r="AV306" s="25">
        <v>3.44</v>
      </c>
      <c r="AW306" s="25">
        <v>2.44</v>
      </c>
      <c r="AX306" s="25">
        <v>2.643636363636364</v>
      </c>
      <c r="AY306">
        <v>2.643636363636364</v>
      </c>
      <c r="AZ306">
        <v>6.0715871381818181</v>
      </c>
      <c r="BA306" s="75">
        <v>0.51451783825131059</v>
      </c>
      <c r="BB306" s="75">
        <v>0.53833779709834217</v>
      </c>
      <c r="BE306">
        <v>4.7995146438494153E-2</v>
      </c>
      <c r="BF306">
        <v>5.0217114906891097E-2</v>
      </c>
      <c r="BH306">
        <v>9.8212261345385243E-2</v>
      </c>
      <c r="BI306">
        <v>4.9106130672692622E-2</v>
      </c>
      <c r="BJ306">
        <v>0.52642781767482638</v>
      </c>
    </row>
    <row r="307" spans="1:62" x14ac:dyDescent="0.3">
      <c r="A307" s="2" t="s">
        <v>48</v>
      </c>
      <c r="B307" s="13" t="s">
        <v>724</v>
      </c>
      <c r="C307" s="13"/>
      <c r="F307" s="2">
        <v>4.0999999999999996</v>
      </c>
      <c r="G307" s="2" t="s">
        <v>238</v>
      </c>
      <c r="H307" s="9" t="s">
        <v>552</v>
      </c>
      <c r="I307" t="s">
        <v>630</v>
      </c>
      <c r="J307"/>
      <c r="L307" s="25">
        <v>2</v>
      </c>
      <c r="M307">
        <v>8</v>
      </c>
      <c r="N307">
        <v>0</v>
      </c>
      <c r="T307" s="25">
        <v>7.4836094600000003</v>
      </c>
      <c r="U307" s="25">
        <v>7.4836094600000003</v>
      </c>
      <c r="V307" s="25">
        <v>7.4836094600000003</v>
      </c>
      <c r="W307">
        <v>10.34</v>
      </c>
      <c r="X307">
        <v>10.34</v>
      </c>
      <c r="Y307">
        <v>10.34</v>
      </c>
      <c r="Z307">
        <v>0</v>
      </c>
      <c r="AD307">
        <v>14</v>
      </c>
      <c r="AE307" s="55">
        <f t="shared" si="16"/>
        <v>0</v>
      </c>
      <c r="AF307" s="57">
        <v>296.35915518228359</v>
      </c>
      <c r="AG307" s="55">
        <v>1105.507304</v>
      </c>
      <c r="AH307" s="55">
        <v>0</v>
      </c>
      <c r="AJ307" s="51">
        <v>9.4479956196318104E-2</v>
      </c>
      <c r="AK307" s="52">
        <v>0.1013109543417363</v>
      </c>
      <c r="AM307" s="28">
        <v>1.8181818181818179</v>
      </c>
      <c r="AN307" s="28">
        <v>2.545454545454545</v>
      </c>
      <c r="AO307" s="28">
        <v>0.72727272727272729</v>
      </c>
      <c r="AP307" s="28">
        <v>0</v>
      </c>
      <c r="AQ307" s="28">
        <v>0.35714285714285721</v>
      </c>
      <c r="AR307" s="28">
        <v>0.5</v>
      </c>
      <c r="AS307" s="28">
        <v>0.1428571428571429</v>
      </c>
      <c r="AT307" s="28">
        <v>0</v>
      </c>
      <c r="AU307" s="25">
        <v>1</v>
      </c>
      <c r="AV307" s="25">
        <v>3.44</v>
      </c>
      <c r="AW307" s="25">
        <v>2.44</v>
      </c>
      <c r="AX307" s="25">
        <v>2.6618181818181821</v>
      </c>
      <c r="AY307">
        <v>2.6618181818181821</v>
      </c>
      <c r="AZ307">
        <v>6.0537295018181814</v>
      </c>
      <c r="BA307" s="75">
        <v>0.50642227837041764</v>
      </c>
      <c r="BB307" s="75">
        <v>0.5430371307011983</v>
      </c>
      <c r="BE307">
        <v>4.7239978098159073E-2</v>
      </c>
      <c r="BF307">
        <v>5.0655477170868157E-2</v>
      </c>
      <c r="BH307">
        <v>9.789545526902721E-2</v>
      </c>
      <c r="BI307">
        <v>4.8947727634513619E-2</v>
      </c>
      <c r="BJ307">
        <v>0.52472970453580792</v>
      </c>
    </row>
    <row r="308" spans="1:62" x14ac:dyDescent="0.3">
      <c r="A308" s="2" t="s">
        <v>46</v>
      </c>
      <c r="B308" s="13" t="s">
        <v>722</v>
      </c>
      <c r="C308" s="13"/>
      <c r="F308" s="2">
        <v>3.31</v>
      </c>
      <c r="G308" s="2" t="s">
        <v>240</v>
      </c>
      <c r="H308" s="9" t="s">
        <v>551</v>
      </c>
      <c r="I308" t="s">
        <v>629</v>
      </c>
      <c r="J308"/>
      <c r="L308" s="25">
        <v>2</v>
      </c>
      <c r="M308">
        <v>4</v>
      </c>
      <c r="N308">
        <v>0</v>
      </c>
      <c r="T308" s="25">
        <v>7.41544296</v>
      </c>
      <c r="U308" s="25">
        <v>7.4154429599999991</v>
      </c>
      <c r="V308" s="25">
        <v>7.41544296</v>
      </c>
      <c r="W308">
        <v>7.8</v>
      </c>
      <c r="X308">
        <v>13.010999999999999</v>
      </c>
      <c r="Y308">
        <v>5.5460000000000003</v>
      </c>
      <c r="Z308">
        <v>0</v>
      </c>
      <c r="AD308">
        <v>14</v>
      </c>
      <c r="AE308" s="55">
        <f t="shared" si="16"/>
        <v>0</v>
      </c>
      <c r="AF308" s="57">
        <v>288.33429290182369</v>
      </c>
      <c r="AG308" s="55">
        <v>556.51188553357167</v>
      </c>
      <c r="AH308" s="55">
        <v>0</v>
      </c>
      <c r="AJ308" s="51">
        <v>9.7109503410799117E-2</v>
      </c>
      <c r="AK308" s="52">
        <v>0.10062678166578309</v>
      </c>
      <c r="AM308" s="28">
        <v>2</v>
      </c>
      <c r="AN308" s="28">
        <v>2.545454545454545</v>
      </c>
      <c r="AO308" s="28">
        <v>0.54545454545454541</v>
      </c>
      <c r="AP308" s="28">
        <v>0</v>
      </c>
      <c r="AQ308" s="28">
        <v>0.39285714285714279</v>
      </c>
      <c r="AR308" s="28">
        <v>0.5</v>
      </c>
      <c r="AS308" s="28">
        <v>0.1071428571428571</v>
      </c>
      <c r="AT308" s="28">
        <v>0</v>
      </c>
      <c r="AU308" s="25">
        <v>1.1000000000000001</v>
      </c>
      <c r="AV308" s="25">
        <v>3.44</v>
      </c>
      <c r="AW308" s="25">
        <v>2.34</v>
      </c>
      <c r="AX308" s="25">
        <v>2.669090909090909</v>
      </c>
      <c r="AY308">
        <v>2.669090909090909</v>
      </c>
      <c r="AZ308">
        <v>5.9831974772727277</v>
      </c>
      <c r="BA308" s="75">
        <v>0.52442413903612473</v>
      </c>
      <c r="BB308" s="75">
        <v>0.54341863036636606</v>
      </c>
      <c r="BE308">
        <v>4.8554751705399558E-2</v>
      </c>
      <c r="BF308">
        <v>5.0313390832891547E-2</v>
      </c>
      <c r="BH308">
        <v>9.8868142538291098E-2</v>
      </c>
      <c r="BI308">
        <v>4.9434071269145549E-2</v>
      </c>
      <c r="BJ308">
        <v>0.53392138470124539</v>
      </c>
    </row>
    <row r="309" spans="1:62" x14ac:dyDescent="0.3">
      <c r="A309" s="2" t="s">
        <v>220</v>
      </c>
      <c r="B309" s="13" t="s">
        <v>807</v>
      </c>
      <c r="C309" s="13"/>
      <c r="F309" s="2">
        <v>4.5</v>
      </c>
      <c r="G309" s="2" t="s">
        <v>242</v>
      </c>
      <c r="H309" s="9" t="s">
        <v>588</v>
      </c>
      <c r="I309" t="s">
        <v>661</v>
      </c>
      <c r="J309"/>
      <c r="L309" s="25">
        <v>1</v>
      </c>
      <c r="M309">
        <v>1</v>
      </c>
      <c r="N309">
        <v>0</v>
      </c>
      <c r="T309" s="25">
        <v>5.81978595</v>
      </c>
      <c r="U309" s="25">
        <v>5.81978595</v>
      </c>
      <c r="V309" s="25">
        <v>11.88463337</v>
      </c>
      <c r="W309">
        <v>5.7759999999999998</v>
      </c>
      <c r="X309">
        <v>5.7759999999999998</v>
      </c>
      <c r="Y309">
        <v>11.82</v>
      </c>
      <c r="Z309">
        <v>0</v>
      </c>
      <c r="AD309">
        <v>30</v>
      </c>
      <c r="AE309" s="55">
        <f t="shared" si="16"/>
        <v>0</v>
      </c>
      <c r="AF309" s="57">
        <v>348.60249769877402</v>
      </c>
      <c r="AG309" s="55">
        <v>341.5092547488552</v>
      </c>
      <c r="AH309" s="55">
        <v>0</v>
      </c>
      <c r="AJ309" s="51">
        <v>8.6057903193576313E-2</v>
      </c>
      <c r="AK309" s="52">
        <v>8.7845349965879851E-2</v>
      </c>
      <c r="AM309" s="28">
        <v>2</v>
      </c>
      <c r="AN309" s="28">
        <v>2.5</v>
      </c>
      <c r="AO309" s="28">
        <v>0.5</v>
      </c>
      <c r="AP309" s="28">
        <v>2.333333333333333</v>
      </c>
      <c r="AQ309" s="28">
        <v>0.27272727272727282</v>
      </c>
      <c r="AR309" s="28">
        <v>0.34090909090909088</v>
      </c>
      <c r="AS309" s="28">
        <v>6.8181818181818191E-2</v>
      </c>
      <c r="AT309" s="28">
        <v>0.31818181818181818</v>
      </c>
      <c r="AU309" s="25">
        <v>0.89</v>
      </c>
      <c r="AV309" s="25">
        <v>3.44</v>
      </c>
      <c r="AW309" s="25">
        <v>2.5499999999999998</v>
      </c>
      <c r="AX309" s="25">
        <v>2.5854166666666671</v>
      </c>
      <c r="AY309">
        <v>2.5854166666666671</v>
      </c>
      <c r="AZ309">
        <v>5.9262421145833333</v>
      </c>
      <c r="BA309" s="75">
        <v>0.58209579444379334</v>
      </c>
      <c r="BB309" s="75">
        <v>0.59418608726221844</v>
      </c>
      <c r="BE309">
        <v>4.3028951596788149E-2</v>
      </c>
      <c r="BF309">
        <v>4.3922674982939933E-2</v>
      </c>
      <c r="BH309">
        <v>8.6951626579728075E-2</v>
      </c>
      <c r="BI309">
        <v>4.3475813289864038E-2</v>
      </c>
      <c r="BJ309">
        <v>0.58814094085300583</v>
      </c>
    </row>
    <row r="310" spans="1:62" x14ac:dyDescent="0.3">
      <c r="A310" s="2" t="s">
        <v>241</v>
      </c>
      <c r="B310" s="13" t="s">
        <v>813</v>
      </c>
      <c r="C310" s="13"/>
      <c r="F310" s="2">
        <v>4.2</v>
      </c>
      <c r="G310" s="2" t="s">
        <v>242</v>
      </c>
      <c r="H310" s="9">
        <v>-1</v>
      </c>
      <c r="I310" t="s">
        <v>664</v>
      </c>
      <c r="J310" t="s">
        <v>1170</v>
      </c>
      <c r="L310" s="25">
        <v>0</v>
      </c>
      <c r="M310">
        <v>1</v>
      </c>
      <c r="N310">
        <v>0</v>
      </c>
      <c r="O310" s="2">
        <v>-1</v>
      </c>
      <c r="T310" s="25">
        <v>0</v>
      </c>
      <c r="U310" s="25"/>
      <c r="V310" s="25"/>
      <c r="W310">
        <v>5.7946999999999997</v>
      </c>
      <c r="X310">
        <v>5.7946999999999997</v>
      </c>
      <c r="Y310">
        <v>11.803000000000001</v>
      </c>
      <c r="Z310">
        <v>0</v>
      </c>
      <c r="AD310">
        <v>30</v>
      </c>
      <c r="AE310" s="55">
        <f t="shared" si="16"/>
        <v>0</v>
      </c>
      <c r="AF310" s="57">
        <v>0</v>
      </c>
      <c r="AG310" s="55">
        <v>343.22977251102628</v>
      </c>
      <c r="AH310" s="55">
        <v>0</v>
      </c>
      <c r="AJ310" s="51"/>
      <c r="AK310" s="52">
        <v>8.7405005051058762E-2</v>
      </c>
      <c r="AM310" s="28">
        <v>1.916666666666667</v>
      </c>
      <c r="AN310" s="28">
        <v>2.5</v>
      </c>
      <c r="AO310" s="28">
        <v>0.58333333333333337</v>
      </c>
      <c r="AP310" s="28">
        <v>1.166666666666667</v>
      </c>
      <c r="AQ310" s="28">
        <v>0.3108108108108108</v>
      </c>
      <c r="AR310" s="28">
        <v>0.40540540540540537</v>
      </c>
      <c r="AS310" s="28">
        <v>9.45945945945946E-2</v>
      </c>
      <c r="AT310" s="28">
        <v>0.1891891891891892</v>
      </c>
      <c r="AU310" s="25">
        <v>0.89</v>
      </c>
      <c r="AV310" s="25">
        <v>3.44</v>
      </c>
      <c r="AW310" s="25">
        <v>2.5499999999999998</v>
      </c>
      <c r="AX310" s="25">
        <v>2.59375</v>
      </c>
      <c r="AY310">
        <v>2.59375</v>
      </c>
      <c r="AZ310">
        <v>5.9180573645833334</v>
      </c>
      <c r="BB310" s="75">
        <v>0</v>
      </c>
      <c r="BF310">
        <v>4.3702502525529381E-2</v>
      </c>
      <c r="BH310">
        <v>8.7405005051058762E-2</v>
      </c>
      <c r="BI310">
        <v>4.3702502525529381E-2</v>
      </c>
      <c r="BJ310">
        <v>0</v>
      </c>
    </row>
    <row r="311" spans="1:62" x14ac:dyDescent="0.3">
      <c r="A311" s="2" t="s">
        <v>38</v>
      </c>
      <c r="B311" s="13" t="s">
        <v>714</v>
      </c>
      <c r="C311" s="13"/>
      <c r="F311" s="2">
        <v>3.9</v>
      </c>
      <c r="G311" s="2" t="s">
        <v>242</v>
      </c>
      <c r="H311" s="9" t="s">
        <v>545</v>
      </c>
      <c r="I311" t="s">
        <v>626</v>
      </c>
      <c r="J311"/>
      <c r="L311" s="25">
        <v>1</v>
      </c>
      <c r="M311">
        <v>1</v>
      </c>
      <c r="N311">
        <v>0</v>
      </c>
      <c r="T311" s="25">
        <v>5.8532381300000003</v>
      </c>
      <c r="U311" s="25">
        <v>5.8532371599999999</v>
      </c>
      <c r="V311" s="25">
        <v>11.912811489999999</v>
      </c>
      <c r="W311">
        <v>5.7946</v>
      </c>
      <c r="X311">
        <v>5.7946</v>
      </c>
      <c r="Y311">
        <v>11.787599999999999</v>
      </c>
      <c r="Z311">
        <v>0</v>
      </c>
      <c r="AD311">
        <v>30</v>
      </c>
      <c r="AE311" s="55">
        <f t="shared" si="16"/>
        <v>0</v>
      </c>
      <c r="AF311" s="57">
        <v>353.45760058531442</v>
      </c>
      <c r="AG311" s="55">
        <v>342.77011164986573</v>
      </c>
      <c r="AH311" s="55">
        <v>0</v>
      </c>
      <c r="AJ311" s="51">
        <v>8.487580957467307E-2</v>
      </c>
      <c r="AK311" s="52">
        <v>8.752221672887435E-2</v>
      </c>
      <c r="AM311" s="28">
        <v>1.833333333333333</v>
      </c>
      <c r="AN311" s="28">
        <v>2.5</v>
      </c>
      <c r="AO311" s="28">
        <v>0.66666666666666663</v>
      </c>
      <c r="AP311" s="28">
        <v>0</v>
      </c>
      <c r="AQ311" s="28">
        <v>0.36666666666666659</v>
      </c>
      <c r="AR311" s="28">
        <v>0.5</v>
      </c>
      <c r="AS311" s="28">
        <v>0.1333333333333333</v>
      </c>
      <c r="AT311" s="28">
        <v>0</v>
      </c>
      <c r="AU311" s="25">
        <v>0.89</v>
      </c>
      <c r="AV311" s="25">
        <v>3.44</v>
      </c>
      <c r="AW311" s="25">
        <v>2.5499999999999998</v>
      </c>
      <c r="AX311" s="25">
        <v>2.6020833333333329</v>
      </c>
      <c r="AY311">
        <v>2.6020833333333329</v>
      </c>
      <c r="AZ311">
        <v>5.9098726145833336</v>
      </c>
      <c r="BA311" s="75">
        <v>0.57410011132036598</v>
      </c>
      <c r="BB311" s="75">
        <v>0.59200041353179045</v>
      </c>
      <c r="BE311">
        <v>4.2437904787336528E-2</v>
      </c>
      <c r="BF311">
        <v>4.3761108364437168E-2</v>
      </c>
      <c r="BH311">
        <v>8.619901315177371E-2</v>
      </c>
      <c r="BI311">
        <v>4.3099506575886848E-2</v>
      </c>
      <c r="BJ311">
        <v>0.58305026242607827</v>
      </c>
    </row>
    <row r="312" spans="1:62" x14ac:dyDescent="0.3">
      <c r="A312" s="2" t="s">
        <v>244</v>
      </c>
      <c r="B312" s="13" t="s">
        <v>814</v>
      </c>
      <c r="C312" s="13"/>
      <c r="F312" s="2">
        <v>3.03</v>
      </c>
      <c r="G312" s="2" t="s">
        <v>243</v>
      </c>
      <c r="H312" s="9" t="s">
        <v>591</v>
      </c>
      <c r="I312" t="s">
        <v>665</v>
      </c>
      <c r="J312"/>
      <c r="L312" s="25">
        <v>40</v>
      </c>
      <c r="M312">
        <v>2</v>
      </c>
      <c r="N312">
        <v>0</v>
      </c>
      <c r="T312" s="25">
        <v>10.442762460000001</v>
      </c>
      <c r="U312" s="25">
        <v>9.9768317300000007</v>
      </c>
      <c r="V312" s="25">
        <v>10.791803529999999</v>
      </c>
      <c r="W312">
        <v>3.22</v>
      </c>
      <c r="X312">
        <v>3.22</v>
      </c>
      <c r="Y312">
        <v>5.2</v>
      </c>
      <c r="Z312">
        <v>0</v>
      </c>
      <c r="AD312">
        <v>2</v>
      </c>
      <c r="AE312" s="55">
        <f t="shared" si="16"/>
        <v>0</v>
      </c>
      <c r="AF312" s="57">
        <v>1118.3380703947059</v>
      </c>
      <c r="AG312" s="55">
        <v>46.692348542312601</v>
      </c>
      <c r="AH312" s="55">
        <v>0</v>
      </c>
      <c r="AJ312" s="51">
        <v>7.1534719346328615E-2</v>
      </c>
      <c r="AK312" s="52">
        <v>8.566714086731364E-2</v>
      </c>
      <c r="AM312" s="28">
        <v>2</v>
      </c>
      <c r="AN312" s="28">
        <v>2</v>
      </c>
      <c r="AO312" s="28">
        <v>5</v>
      </c>
      <c r="AP312" s="28">
        <v>0</v>
      </c>
      <c r="AQ312" s="28">
        <v>0.22222222222222221</v>
      </c>
      <c r="AR312" s="28">
        <v>0.22222222222222221</v>
      </c>
      <c r="AS312" s="28">
        <v>0.55555555555555558</v>
      </c>
      <c r="AT312" s="28">
        <v>0</v>
      </c>
      <c r="AU312" s="25">
        <v>1.65</v>
      </c>
      <c r="AV312" s="25">
        <v>3.44</v>
      </c>
      <c r="AW312" s="25">
        <v>1.79</v>
      </c>
      <c r="AX312" s="25">
        <v>2.5449999999999999</v>
      </c>
      <c r="AY312">
        <v>2.5449999999999999</v>
      </c>
      <c r="AZ312">
        <v>5.9633393249999997</v>
      </c>
      <c r="BA312" s="75">
        <v>0.40179973947095132</v>
      </c>
      <c r="BB312" s="75">
        <v>0.48117942163247568</v>
      </c>
      <c r="BE312">
        <v>3.5767359673164308E-2</v>
      </c>
      <c r="BF312">
        <v>4.283357043365682E-2</v>
      </c>
      <c r="BH312">
        <v>7.8600930106821121E-2</v>
      </c>
      <c r="BI312">
        <v>3.930046505341056E-2</v>
      </c>
      <c r="BJ312">
        <v>0.4414895805517135</v>
      </c>
    </row>
    <row r="313" spans="1:62" x14ac:dyDescent="0.3">
      <c r="A313" s="2" t="s">
        <v>244</v>
      </c>
      <c r="B313" s="13" t="s">
        <v>814</v>
      </c>
      <c r="C313" s="13"/>
      <c r="D313" s="2" t="s">
        <v>888</v>
      </c>
      <c r="E313" s="2">
        <v>1</v>
      </c>
      <c r="F313" s="2">
        <v>2.96</v>
      </c>
      <c r="G313" s="2" t="s">
        <v>243</v>
      </c>
      <c r="H313" s="9" t="s">
        <v>591</v>
      </c>
      <c r="I313" t="s">
        <v>665</v>
      </c>
      <c r="J313"/>
      <c r="L313" s="25">
        <v>40</v>
      </c>
      <c r="M313">
        <v>2</v>
      </c>
      <c r="N313">
        <v>0</v>
      </c>
      <c r="T313" s="25">
        <v>10.442762460000001</v>
      </c>
      <c r="U313" s="25">
        <v>9.9768317300000007</v>
      </c>
      <c r="V313" s="25">
        <v>10.791803529999999</v>
      </c>
      <c r="W313">
        <v>3.22</v>
      </c>
      <c r="X313">
        <v>3.22</v>
      </c>
      <c r="Y313">
        <v>5.2</v>
      </c>
      <c r="Z313">
        <v>0</v>
      </c>
      <c r="AD313">
        <v>2</v>
      </c>
      <c r="AE313" s="55">
        <f t="shared" si="16"/>
        <v>0</v>
      </c>
      <c r="AF313" s="57">
        <v>1118.3380703947059</v>
      </c>
      <c r="AG313" s="55">
        <v>46.692348542312601</v>
      </c>
      <c r="AH313" s="55">
        <v>0</v>
      </c>
      <c r="AJ313" s="51">
        <v>7.1534719346328615E-2</v>
      </c>
      <c r="AK313" s="52">
        <v>8.566714086731364E-2</v>
      </c>
      <c r="AM313" s="28">
        <v>2</v>
      </c>
      <c r="AN313" s="28">
        <v>2</v>
      </c>
      <c r="AO313" s="28">
        <v>5</v>
      </c>
      <c r="AP313" s="28">
        <v>0</v>
      </c>
      <c r="AQ313" s="28">
        <v>0.22222222222222221</v>
      </c>
      <c r="AR313" s="28">
        <v>0.22222222222222221</v>
      </c>
      <c r="AS313" s="28">
        <v>0.55555555555555558</v>
      </c>
      <c r="AT313" s="28">
        <v>0</v>
      </c>
      <c r="AU313" s="25">
        <v>1.65</v>
      </c>
      <c r="AV313" s="25">
        <v>3.44</v>
      </c>
      <c r="AW313" s="25">
        <v>1.79</v>
      </c>
      <c r="AX313" s="25">
        <v>2.5449999999999999</v>
      </c>
      <c r="AY313">
        <v>2.5449999999999999</v>
      </c>
      <c r="AZ313">
        <v>5.9633393249999997</v>
      </c>
      <c r="BA313" s="75">
        <v>0.40179973947095132</v>
      </c>
      <c r="BB313" s="75">
        <v>0.48117942163247568</v>
      </c>
      <c r="BE313">
        <v>3.5767359673164308E-2</v>
      </c>
      <c r="BF313">
        <v>4.283357043365682E-2</v>
      </c>
      <c r="BH313">
        <v>7.8600930106821121E-2</v>
      </c>
      <c r="BI313">
        <v>3.930046505341056E-2</v>
      </c>
      <c r="BJ313">
        <v>0.4414895805517135</v>
      </c>
    </row>
    <row r="314" spans="1:62" x14ac:dyDescent="0.3">
      <c r="A314" s="2" t="s">
        <v>244</v>
      </c>
      <c r="B314" s="13" t="s">
        <v>814</v>
      </c>
      <c r="C314" s="13"/>
      <c r="D314" s="2" t="s">
        <v>888</v>
      </c>
      <c r="E314" s="2">
        <v>3</v>
      </c>
      <c r="F314" s="2">
        <v>3.14</v>
      </c>
      <c r="G314" s="2" t="s">
        <v>243</v>
      </c>
      <c r="H314" s="9" t="s">
        <v>591</v>
      </c>
      <c r="I314" t="s">
        <v>665</v>
      </c>
      <c r="J314"/>
      <c r="L314" s="25">
        <v>40</v>
      </c>
      <c r="M314">
        <v>2</v>
      </c>
      <c r="N314">
        <v>0</v>
      </c>
      <c r="T314" s="25">
        <v>10.442762460000001</v>
      </c>
      <c r="U314" s="25">
        <v>9.9768317300000007</v>
      </c>
      <c r="V314" s="25">
        <v>10.791803529999999</v>
      </c>
      <c r="W314">
        <v>3.22</v>
      </c>
      <c r="X314">
        <v>3.22</v>
      </c>
      <c r="Y314">
        <v>5.2</v>
      </c>
      <c r="Z314">
        <v>0</v>
      </c>
      <c r="AD314">
        <v>2</v>
      </c>
      <c r="AE314" s="55">
        <f t="shared" si="16"/>
        <v>0</v>
      </c>
      <c r="AF314" s="57">
        <v>1118.3380703947059</v>
      </c>
      <c r="AG314" s="55">
        <v>46.692348542312601</v>
      </c>
      <c r="AH314" s="55">
        <v>0</v>
      </c>
      <c r="AJ314" s="51">
        <v>7.1534719346328615E-2</v>
      </c>
      <c r="AK314" s="52">
        <v>8.566714086731364E-2</v>
      </c>
      <c r="AM314" s="28">
        <v>2</v>
      </c>
      <c r="AN314" s="28">
        <v>2</v>
      </c>
      <c r="AO314" s="28">
        <v>5</v>
      </c>
      <c r="AP314" s="28">
        <v>0</v>
      </c>
      <c r="AQ314" s="28">
        <v>0.22222222222222221</v>
      </c>
      <c r="AR314" s="28">
        <v>0.22222222222222221</v>
      </c>
      <c r="AS314" s="28">
        <v>0.55555555555555558</v>
      </c>
      <c r="AT314" s="28">
        <v>0</v>
      </c>
      <c r="AU314" s="25">
        <v>1.65</v>
      </c>
      <c r="AV314" s="25">
        <v>3.44</v>
      </c>
      <c r="AW314" s="25">
        <v>1.79</v>
      </c>
      <c r="AX314" s="25">
        <v>2.5449999999999999</v>
      </c>
      <c r="AY314">
        <v>2.5449999999999999</v>
      </c>
      <c r="AZ314">
        <v>5.9633393249999997</v>
      </c>
      <c r="BA314" s="75">
        <v>0.40179973947095132</v>
      </c>
      <c r="BB314" s="75">
        <v>0.48117942163247568</v>
      </c>
      <c r="BE314">
        <v>3.5767359673164308E-2</v>
      </c>
      <c r="BF314">
        <v>4.283357043365682E-2</v>
      </c>
      <c r="BH314">
        <v>7.8600930106821121E-2</v>
      </c>
      <c r="BI314">
        <v>3.930046505341056E-2</v>
      </c>
      <c r="BJ314">
        <v>0.4414895805517135</v>
      </c>
    </row>
    <row r="315" spans="1:62" x14ac:dyDescent="0.3">
      <c r="A315" s="2" t="s">
        <v>246</v>
      </c>
      <c r="B315" s="13" t="s">
        <v>815</v>
      </c>
      <c r="C315" s="13"/>
      <c r="F315" s="2">
        <v>2.3199999999999998</v>
      </c>
      <c r="G315" s="2" t="s">
        <v>245</v>
      </c>
      <c r="H315" s="9" t="s">
        <v>592</v>
      </c>
      <c r="I315" t="s">
        <v>666</v>
      </c>
      <c r="J315" t="s">
        <v>1173</v>
      </c>
      <c r="L315" s="25">
        <v>1</v>
      </c>
      <c r="M315">
        <v>2</v>
      </c>
      <c r="N315">
        <v>2</v>
      </c>
      <c r="T315" s="25">
        <v>4.2561477500000002</v>
      </c>
      <c r="U315" s="25">
        <v>4.2561477500000002</v>
      </c>
      <c r="V315" s="25">
        <v>5.9211799999999997</v>
      </c>
      <c r="W315">
        <v>4.1500000000000004</v>
      </c>
      <c r="X315">
        <v>4.1500000000000004</v>
      </c>
      <c r="Y315">
        <v>6.7370000000000001</v>
      </c>
      <c r="Z315">
        <v>0</v>
      </c>
      <c r="AD315">
        <v>2</v>
      </c>
      <c r="AE315" s="55">
        <f t="shared" si="16"/>
        <v>0</v>
      </c>
      <c r="AF315" s="57">
        <v>92.890714642371009</v>
      </c>
      <c r="AG315" s="55">
        <v>100.4831803948563</v>
      </c>
      <c r="AH315" s="55">
        <v>100.1</v>
      </c>
      <c r="AJ315" s="51">
        <f>L315*AD315/AF315</f>
        <v>2.1530677287821442E-2</v>
      </c>
      <c r="AL315" s="67">
        <f>N315*AD315/AH315</f>
        <v>3.996003996003996E-2</v>
      </c>
      <c r="AM315" s="28">
        <v>2</v>
      </c>
      <c r="AN315" s="28">
        <v>2</v>
      </c>
      <c r="AO315" s="28">
        <v>5</v>
      </c>
      <c r="AP315" s="28">
        <v>0</v>
      </c>
      <c r="AQ315" s="28">
        <v>0.22222222222222221</v>
      </c>
      <c r="AR315" s="28">
        <v>0.22222222222222221</v>
      </c>
      <c r="AS315" s="28">
        <v>0.55555555555555558</v>
      </c>
      <c r="AT315" s="28">
        <v>0</v>
      </c>
      <c r="AU315" s="25">
        <v>1.69</v>
      </c>
      <c r="AV315" s="25">
        <v>2.58</v>
      </c>
      <c r="AW315" s="25">
        <v>0.89000000000000012</v>
      </c>
      <c r="AX315" s="25">
        <v>2.1349999999999998</v>
      </c>
      <c r="AY315">
        <v>2.1349999999999998</v>
      </c>
      <c r="AZ315">
        <v>5.1777336280000004</v>
      </c>
      <c r="BA315" s="75">
        <v>0.2799432770686035</v>
      </c>
      <c r="BB315" s="75">
        <v>0.51758176769574038</v>
      </c>
      <c r="BC315" s="75">
        <v>0.51949166816826697</v>
      </c>
      <c r="BE315">
        <v>0</v>
      </c>
      <c r="BF315">
        <v>0</v>
      </c>
      <c r="BG315">
        <v>0</v>
      </c>
      <c r="BH315">
        <v>3.0745358623930699E-2</v>
      </c>
      <c r="BI315">
        <v>0</v>
      </c>
      <c r="BJ315">
        <v>0.43900557097753701</v>
      </c>
    </row>
    <row r="316" spans="1:62" x14ac:dyDescent="0.3">
      <c r="A316" s="5" t="s">
        <v>247</v>
      </c>
      <c r="B316" s="46" t="s">
        <v>940</v>
      </c>
      <c r="C316" s="39"/>
      <c r="D316" s="5"/>
      <c r="E316" s="5"/>
      <c r="F316" s="5">
        <v>2.41</v>
      </c>
      <c r="G316" s="5" t="s">
        <v>245</v>
      </c>
      <c r="H316" s="40">
        <v>-2</v>
      </c>
      <c r="I316" s="5">
        <v>-1</v>
      </c>
      <c r="J316" s="5"/>
      <c r="K316" s="5"/>
      <c r="L316" s="41">
        <v>0</v>
      </c>
      <c r="M316">
        <v>0</v>
      </c>
      <c r="N316">
        <v>0</v>
      </c>
      <c r="O316" s="5">
        <v>-1</v>
      </c>
      <c r="P316" s="5"/>
      <c r="Q316" s="5"/>
      <c r="R316" s="5"/>
      <c r="S316" s="5"/>
      <c r="T316" s="41">
        <v>0</v>
      </c>
      <c r="U316" s="41"/>
      <c r="V316" s="41"/>
      <c r="W316">
        <v>0</v>
      </c>
      <c r="Z316">
        <v>0</v>
      </c>
      <c r="AC316" s="5"/>
      <c r="AD316" s="5">
        <v>0</v>
      </c>
      <c r="AE316" s="55">
        <f t="shared" si="16"/>
        <v>0</v>
      </c>
      <c r="AF316" s="57">
        <v>0</v>
      </c>
      <c r="AG316" s="55">
        <v>0</v>
      </c>
      <c r="AH316" s="55">
        <v>0</v>
      </c>
      <c r="AJ316" s="51"/>
      <c r="AM316" s="5">
        <v>2</v>
      </c>
      <c r="AN316" s="5">
        <v>0</v>
      </c>
      <c r="AO316" s="5">
        <v>10</v>
      </c>
      <c r="AP316" s="5">
        <v>0</v>
      </c>
      <c r="AQ316" s="5">
        <v>0.16666666666666671</v>
      </c>
      <c r="AR316" s="5">
        <v>0</v>
      </c>
      <c r="AS316" s="5">
        <v>0.83333333333333337</v>
      </c>
      <c r="AT316" s="5">
        <v>0</v>
      </c>
      <c r="AU316" s="41">
        <v>1.65</v>
      </c>
      <c r="AV316" s="41">
        <v>1.69</v>
      </c>
      <c r="AW316" s="41">
        <v>4.0000000000000042E-2</v>
      </c>
      <c r="AX316" s="41">
        <v>1.6859999999999999</v>
      </c>
      <c r="AY316" s="5">
        <v>1.6859999999999999</v>
      </c>
      <c r="AZ316" s="5">
        <v>4.1619288499999998</v>
      </c>
      <c r="BH316">
        <v>0</v>
      </c>
      <c r="BI316">
        <v>0</v>
      </c>
      <c r="BJ316">
        <v>0</v>
      </c>
    </row>
    <row r="317" spans="1:62" x14ac:dyDescent="0.3">
      <c r="A317" s="5" t="s">
        <v>252</v>
      </c>
      <c r="B317" s="46" t="s">
        <v>941</v>
      </c>
      <c r="C317" s="39"/>
      <c r="D317" s="5"/>
      <c r="E317" s="5"/>
      <c r="F317" s="5">
        <v>2.54</v>
      </c>
      <c r="G317" s="5" t="s">
        <v>245</v>
      </c>
      <c r="H317" s="40">
        <v>-2</v>
      </c>
      <c r="I317" s="5">
        <v>-1</v>
      </c>
      <c r="J317" s="5"/>
      <c r="K317" s="5"/>
      <c r="L317" s="41">
        <v>0</v>
      </c>
      <c r="M317">
        <v>0</v>
      </c>
      <c r="N317">
        <v>0</v>
      </c>
      <c r="O317" s="5">
        <v>-1</v>
      </c>
      <c r="P317" s="5"/>
      <c r="Q317" s="5"/>
      <c r="R317" s="5"/>
      <c r="S317" s="5"/>
      <c r="T317" s="41">
        <v>0</v>
      </c>
      <c r="U317" s="41"/>
      <c r="V317" s="41"/>
      <c r="W317">
        <v>0</v>
      </c>
      <c r="Z317">
        <v>0</v>
      </c>
      <c r="AC317" s="5"/>
      <c r="AD317" s="5">
        <v>0</v>
      </c>
      <c r="AE317" s="55">
        <f t="shared" si="16"/>
        <v>0</v>
      </c>
      <c r="AF317" s="57">
        <v>0</v>
      </c>
      <c r="AG317" s="55">
        <v>0</v>
      </c>
      <c r="AH317" s="55">
        <v>0</v>
      </c>
      <c r="AJ317" s="51"/>
      <c r="AM317" s="5">
        <v>2</v>
      </c>
      <c r="AN317" s="5">
        <v>0</v>
      </c>
      <c r="AO317" s="5">
        <v>10</v>
      </c>
      <c r="AP317" s="5">
        <v>0</v>
      </c>
      <c r="AQ317" s="5">
        <v>0.16666666666666671</v>
      </c>
      <c r="AR317" s="5">
        <v>0</v>
      </c>
      <c r="AS317" s="5">
        <v>0.83333333333333348</v>
      </c>
      <c r="AT317" s="5">
        <v>0</v>
      </c>
      <c r="AU317" s="41">
        <v>1.65</v>
      </c>
      <c r="AV317" s="41">
        <v>1.69</v>
      </c>
      <c r="AW317" s="41">
        <v>4.0000000000000042E-2</v>
      </c>
      <c r="AX317" s="41">
        <v>1.6779999999999999</v>
      </c>
      <c r="AY317" s="5">
        <v>1.6779999999999999</v>
      </c>
      <c r="AZ317" s="5">
        <v>4.2119665499999996</v>
      </c>
      <c r="BH317">
        <v>0</v>
      </c>
      <c r="BI317">
        <v>0</v>
      </c>
      <c r="BJ317">
        <v>0</v>
      </c>
    </row>
    <row r="318" spans="1:62" x14ac:dyDescent="0.3">
      <c r="A318" s="5" t="s">
        <v>251</v>
      </c>
      <c r="B318" s="46" t="s">
        <v>942</v>
      </c>
      <c r="C318" s="39"/>
      <c r="D318" s="5"/>
      <c r="E318" s="5"/>
      <c r="F318" s="5">
        <v>2.68</v>
      </c>
      <c r="G318" s="5" t="s">
        <v>245</v>
      </c>
      <c r="H318" s="40">
        <v>-2</v>
      </c>
      <c r="I318" s="5">
        <v>-1</v>
      </c>
      <c r="J318" s="5"/>
      <c r="K318" s="5"/>
      <c r="L318" s="41">
        <v>0</v>
      </c>
      <c r="M318">
        <v>0</v>
      </c>
      <c r="N318">
        <v>0</v>
      </c>
      <c r="O318" s="5">
        <v>-1</v>
      </c>
      <c r="P318" s="5"/>
      <c r="Q318" s="5"/>
      <c r="R318" s="5"/>
      <c r="S318" s="5"/>
      <c r="T318" s="41">
        <v>0</v>
      </c>
      <c r="U318" s="41"/>
      <c r="V318" s="41"/>
      <c r="W318">
        <v>0</v>
      </c>
      <c r="Z318">
        <v>0</v>
      </c>
      <c r="AC318" s="5"/>
      <c r="AD318" s="5">
        <v>0</v>
      </c>
      <c r="AE318" s="55">
        <f t="shared" si="16"/>
        <v>0</v>
      </c>
      <c r="AF318" s="57">
        <v>0</v>
      </c>
      <c r="AG318" s="55">
        <v>0</v>
      </c>
      <c r="AH318" s="55">
        <v>0</v>
      </c>
      <c r="AJ318" s="51"/>
      <c r="AM318" s="5">
        <v>2</v>
      </c>
      <c r="AN318" s="5">
        <v>0</v>
      </c>
      <c r="AO318" s="5">
        <v>10</v>
      </c>
      <c r="AP318" s="5">
        <v>0</v>
      </c>
      <c r="AQ318" s="5">
        <v>0.16666666666666671</v>
      </c>
      <c r="AR318" s="5">
        <v>0</v>
      </c>
      <c r="AS318" s="5">
        <v>0.83333333333333337</v>
      </c>
      <c r="AT318" s="5">
        <v>0</v>
      </c>
      <c r="AU318" s="41">
        <v>1.65</v>
      </c>
      <c r="AV318" s="41">
        <v>1.69</v>
      </c>
      <c r="AW318" s="41">
        <v>4.0000000000000042E-2</v>
      </c>
      <c r="AX318" s="41">
        <v>1.67</v>
      </c>
      <c r="AY318" s="5">
        <v>1.67</v>
      </c>
      <c r="AZ318" s="5">
        <v>4.2620042500000004</v>
      </c>
      <c r="BH318">
        <v>0</v>
      </c>
      <c r="BI318">
        <v>0</v>
      </c>
      <c r="BJ318">
        <v>0</v>
      </c>
    </row>
    <row r="319" spans="1:62" x14ac:dyDescent="0.3">
      <c r="A319" s="5" t="s">
        <v>250</v>
      </c>
      <c r="B319" s="46" t="s">
        <v>943</v>
      </c>
      <c r="C319" s="39"/>
      <c r="D319" s="5"/>
      <c r="E319" s="5"/>
      <c r="F319" s="5">
        <v>2.91</v>
      </c>
      <c r="G319" s="5" t="s">
        <v>245</v>
      </c>
      <c r="H319" s="40">
        <v>-2</v>
      </c>
      <c r="I319" s="5">
        <v>-1</v>
      </c>
      <c r="J319" s="5"/>
      <c r="K319" s="5"/>
      <c r="L319" s="41">
        <v>0</v>
      </c>
      <c r="M319">
        <v>0</v>
      </c>
      <c r="N319">
        <v>0</v>
      </c>
      <c r="O319" s="5">
        <v>-1</v>
      </c>
      <c r="P319" s="5"/>
      <c r="Q319" s="5"/>
      <c r="R319" s="5"/>
      <c r="S319" s="5"/>
      <c r="T319" s="41">
        <v>0</v>
      </c>
      <c r="U319" s="41"/>
      <c r="V319" s="41"/>
      <c r="W319">
        <v>0</v>
      </c>
      <c r="Z319">
        <v>0</v>
      </c>
      <c r="AC319" s="5"/>
      <c r="AD319" s="5">
        <v>0</v>
      </c>
      <c r="AE319" s="55">
        <f t="shared" si="16"/>
        <v>0</v>
      </c>
      <c r="AF319" s="57">
        <v>0</v>
      </c>
      <c r="AG319" s="55">
        <v>0</v>
      </c>
      <c r="AH319" s="55">
        <v>0</v>
      </c>
      <c r="AJ319" s="51"/>
      <c r="AM319" s="5">
        <v>2</v>
      </c>
      <c r="AN319" s="5">
        <v>0</v>
      </c>
      <c r="AO319" s="5">
        <v>10</v>
      </c>
      <c r="AP319" s="5">
        <v>0</v>
      </c>
      <c r="AQ319" s="5">
        <v>0.16666666666666671</v>
      </c>
      <c r="AR319" s="5">
        <v>0</v>
      </c>
      <c r="AS319" s="5">
        <v>0.83333333333333348</v>
      </c>
      <c r="AT319" s="5">
        <v>0</v>
      </c>
      <c r="AU319" s="41">
        <v>1.65</v>
      </c>
      <c r="AV319" s="41">
        <v>1.69</v>
      </c>
      <c r="AW319" s="41">
        <v>4.0000000000000042E-2</v>
      </c>
      <c r="AX319" s="41">
        <v>1.6619999999999999</v>
      </c>
      <c r="AY319" s="5">
        <v>1.6619999999999999</v>
      </c>
      <c r="AZ319" s="5">
        <v>4.3120419500000002</v>
      </c>
      <c r="BH319">
        <v>0</v>
      </c>
      <c r="BI319">
        <v>0</v>
      </c>
      <c r="BJ319">
        <v>0</v>
      </c>
    </row>
    <row r="320" spans="1:62" x14ac:dyDescent="0.3">
      <c r="A320" s="5" t="s">
        <v>249</v>
      </c>
      <c r="B320" s="46" t="s">
        <v>944</v>
      </c>
      <c r="C320" s="39"/>
      <c r="D320" s="5"/>
      <c r="E320" s="5"/>
      <c r="F320" s="5">
        <v>3.36</v>
      </c>
      <c r="G320" s="5" t="s">
        <v>245</v>
      </c>
      <c r="H320" s="40">
        <v>-2</v>
      </c>
      <c r="I320" s="5">
        <v>-1</v>
      </c>
      <c r="J320" s="5"/>
      <c r="K320" s="5"/>
      <c r="L320" s="41">
        <v>0</v>
      </c>
      <c r="M320">
        <v>0</v>
      </c>
      <c r="N320">
        <v>0</v>
      </c>
      <c r="O320" s="5">
        <v>-1</v>
      </c>
      <c r="P320" s="5"/>
      <c r="Q320" s="5"/>
      <c r="R320" s="5"/>
      <c r="S320" s="5"/>
      <c r="T320" s="41">
        <v>0</v>
      </c>
      <c r="U320" s="41"/>
      <c r="V320" s="41"/>
      <c r="W320">
        <v>0</v>
      </c>
      <c r="Z320">
        <v>0</v>
      </c>
      <c r="AC320" s="5"/>
      <c r="AD320" s="5">
        <v>0</v>
      </c>
      <c r="AE320" s="55">
        <f t="shared" si="16"/>
        <v>0</v>
      </c>
      <c r="AF320" s="57">
        <v>0</v>
      </c>
      <c r="AG320" s="55">
        <v>0</v>
      </c>
      <c r="AH320" s="55">
        <v>0</v>
      </c>
      <c r="AJ320" s="51"/>
      <c r="AM320" s="5">
        <v>2</v>
      </c>
      <c r="AN320" s="5">
        <v>0</v>
      </c>
      <c r="AO320" s="5">
        <v>10</v>
      </c>
      <c r="AP320" s="5">
        <v>0</v>
      </c>
      <c r="AQ320" s="5">
        <v>0.16666666666666671</v>
      </c>
      <c r="AR320" s="5">
        <v>0</v>
      </c>
      <c r="AS320" s="5">
        <v>0.83333333333333337</v>
      </c>
      <c r="AT320" s="5">
        <v>0</v>
      </c>
      <c r="AU320" s="41">
        <v>1.65</v>
      </c>
      <c r="AV320" s="41">
        <v>1.69</v>
      </c>
      <c r="AW320" s="41">
        <v>4.0000000000000042E-2</v>
      </c>
      <c r="AX320" s="41">
        <v>1.6539999999999999</v>
      </c>
      <c r="AY320" s="5">
        <v>1.6539999999999999</v>
      </c>
      <c r="AZ320" s="5">
        <v>4.3620796500000001</v>
      </c>
      <c r="BH320">
        <v>0</v>
      </c>
      <c r="BI320">
        <v>0</v>
      </c>
      <c r="BJ320">
        <v>0</v>
      </c>
    </row>
    <row r="321" spans="1:62" x14ac:dyDescent="0.3">
      <c r="A321" s="2" t="s">
        <v>248</v>
      </c>
      <c r="B321" s="13" t="s">
        <v>816</v>
      </c>
      <c r="C321" s="13"/>
      <c r="F321" s="2">
        <v>3.6</v>
      </c>
      <c r="G321" s="2" t="s">
        <v>245</v>
      </c>
      <c r="H321" s="9" t="s">
        <v>593</v>
      </c>
      <c r="I321" t="s">
        <v>667</v>
      </c>
      <c r="J321" t="s">
        <v>1172</v>
      </c>
      <c r="L321" s="25">
        <v>50</v>
      </c>
      <c r="M321">
        <v>2</v>
      </c>
      <c r="N321">
        <v>0</v>
      </c>
      <c r="T321" s="25">
        <v>12.345150759999999</v>
      </c>
      <c r="U321" s="25">
        <v>15.34169717</v>
      </c>
      <c r="V321" s="25">
        <v>13.410947439999999</v>
      </c>
      <c r="W321">
        <v>3.8</v>
      </c>
      <c r="X321">
        <v>3.8</v>
      </c>
      <c r="Y321">
        <v>6.23</v>
      </c>
      <c r="Z321">
        <v>0</v>
      </c>
      <c r="AD321">
        <v>0</v>
      </c>
      <c r="AE321" s="55">
        <f t="shared" si="16"/>
        <v>0</v>
      </c>
      <c r="AF321" s="57">
        <v>2502.9167389596269</v>
      </c>
      <c r="AG321" s="55">
        <v>77.908684554932648</v>
      </c>
      <c r="AH321" s="55">
        <v>0</v>
      </c>
      <c r="AJ321" s="51">
        <v>0</v>
      </c>
      <c r="AK321" s="52">
        <v>0</v>
      </c>
      <c r="AM321" s="28">
        <v>2</v>
      </c>
      <c r="AN321" s="28">
        <v>2</v>
      </c>
      <c r="AO321" s="28">
        <v>5</v>
      </c>
      <c r="AP321" s="28">
        <v>0</v>
      </c>
      <c r="AQ321" s="28">
        <v>0.22222222222222221</v>
      </c>
      <c r="AR321" s="28">
        <v>0.22222222222222221</v>
      </c>
      <c r="AS321" s="28">
        <v>0.55555555555555558</v>
      </c>
      <c r="AT321" s="28">
        <v>0</v>
      </c>
      <c r="AU321" s="25">
        <v>1.65</v>
      </c>
      <c r="AV321" s="25">
        <v>2.58</v>
      </c>
      <c r="AW321" s="25">
        <v>0.93000000000000016</v>
      </c>
      <c r="AX321" s="25">
        <v>2.1150000000000002</v>
      </c>
      <c r="AY321">
        <v>2.1150000000000002</v>
      </c>
      <c r="AZ321">
        <v>5.3028278780000004</v>
      </c>
      <c r="BA321" s="75">
        <v>0.46813521899838401</v>
      </c>
      <c r="BB321" s="75">
        <v>0.6015778510039812</v>
      </c>
      <c r="BE321">
        <v>0</v>
      </c>
      <c r="BF321">
        <v>0</v>
      </c>
      <c r="BH321">
        <v>0</v>
      </c>
      <c r="BI321">
        <v>0</v>
      </c>
      <c r="BJ321">
        <v>0.53485653500118258</v>
      </c>
    </row>
    <row r="322" spans="1:62" x14ac:dyDescent="0.3">
      <c r="A322" s="2" t="s">
        <v>15</v>
      </c>
      <c r="B322" s="13" t="s">
        <v>700</v>
      </c>
      <c r="C322" s="13"/>
      <c r="F322" s="2">
        <v>4.49</v>
      </c>
      <c r="G322" s="2" t="s">
        <v>253</v>
      </c>
      <c r="H322" s="9" t="s">
        <v>533</v>
      </c>
      <c r="I322" t="s">
        <v>614</v>
      </c>
      <c r="J322"/>
      <c r="L322" s="25">
        <v>4</v>
      </c>
      <c r="M322">
        <v>4</v>
      </c>
      <c r="N322">
        <v>0</v>
      </c>
      <c r="T322" s="25">
        <v>5.63450966</v>
      </c>
      <c r="U322" s="25">
        <v>7.6422105</v>
      </c>
      <c r="V322" s="25">
        <v>11.066420430000001</v>
      </c>
      <c r="W322">
        <v>11.013</v>
      </c>
      <c r="X322">
        <v>7.6319999999999997</v>
      </c>
      <c r="Y322">
        <v>5.6210000000000004</v>
      </c>
      <c r="Z322">
        <v>0</v>
      </c>
      <c r="AD322">
        <v>12</v>
      </c>
      <c r="AE322" s="55">
        <f t="shared" si="16"/>
        <v>0</v>
      </c>
      <c r="AF322" s="57">
        <v>476.5212686940929</v>
      </c>
      <c r="AG322" s="55">
        <v>472.45188513599999</v>
      </c>
      <c r="AH322" s="55">
        <v>0</v>
      </c>
      <c r="AJ322" s="51">
        <v>0.1007300264509579</v>
      </c>
      <c r="AK322" s="52">
        <v>0.1015976473163669</v>
      </c>
      <c r="AM322" s="28">
        <v>2</v>
      </c>
      <c r="AN322" s="28">
        <v>2.666666666666667</v>
      </c>
      <c r="AO322" s="28">
        <v>0.66666666666666663</v>
      </c>
      <c r="AP322" s="28">
        <v>3.1111111111111112</v>
      </c>
      <c r="AQ322" s="28">
        <v>0.23684210526315791</v>
      </c>
      <c r="AR322" s="28">
        <v>0.31578947368421051</v>
      </c>
      <c r="AS322" s="28">
        <v>7.8947368421052627E-2</v>
      </c>
      <c r="AT322" s="28">
        <v>0.36842105263157893</v>
      </c>
      <c r="AU322" s="25">
        <v>0.95</v>
      </c>
      <c r="AV322" s="25">
        <v>3.44</v>
      </c>
      <c r="AW322" s="25">
        <v>2.4900000000000002</v>
      </c>
      <c r="AX322" s="25">
        <v>2.7322222222222221</v>
      </c>
      <c r="AY322">
        <v>2.7322222222222221</v>
      </c>
      <c r="AZ322">
        <v>6.2204042916666662</v>
      </c>
      <c r="BA322" s="75">
        <v>0.5362582325986015</v>
      </c>
      <c r="BB322" s="75">
        <v>0.54087720122437066</v>
      </c>
      <c r="BE322">
        <v>5.0365013225478962E-2</v>
      </c>
      <c r="BF322">
        <v>5.0798823658183438E-2</v>
      </c>
      <c r="BH322">
        <v>0.1011638368836624</v>
      </c>
      <c r="BI322">
        <v>5.05819184418312E-2</v>
      </c>
      <c r="BJ322">
        <v>0.53856771691148608</v>
      </c>
    </row>
    <row r="323" spans="1:62" x14ac:dyDescent="0.3">
      <c r="A323" s="2" t="s">
        <v>254</v>
      </c>
      <c r="B323" s="13" t="s">
        <v>817</v>
      </c>
      <c r="C323" s="13"/>
      <c r="F323" s="2">
        <v>4.8099999999999996</v>
      </c>
      <c r="G323" s="2" t="s">
        <v>253</v>
      </c>
      <c r="H323" s="9" t="s">
        <v>594</v>
      </c>
      <c r="I323">
        <v>-1</v>
      </c>
      <c r="J323"/>
      <c r="L323" s="25">
        <v>4</v>
      </c>
      <c r="M323">
        <v>0</v>
      </c>
      <c r="N323">
        <v>0</v>
      </c>
      <c r="T323" s="25">
        <v>5.8119930000000002</v>
      </c>
      <c r="U323" s="25">
        <v>10.228956</v>
      </c>
      <c r="V323" s="25">
        <v>17.904929589999998</v>
      </c>
      <c r="W323">
        <v>0</v>
      </c>
      <c r="Z323">
        <v>0</v>
      </c>
      <c r="AD323">
        <v>18</v>
      </c>
      <c r="AE323" s="55">
        <f t="shared" ref="AE323:AE385" si="21">O323*P323*Q323</f>
        <v>0</v>
      </c>
      <c r="AF323" s="57">
        <v>882.26177591634428</v>
      </c>
      <c r="AG323" s="55">
        <v>0</v>
      </c>
      <c r="AH323" s="55">
        <v>0</v>
      </c>
      <c r="AJ323" s="51">
        <v>8.1608431834438916E-2</v>
      </c>
      <c r="AM323" s="28">
        <v>2</v>
      </c>
      <c r="AN323" s="28">
        <v>2.4</v>
      </c>
      <c r="AO323" s="28">
        <v>0.4</v>
      </c>
      <c r="AP323" s="28">
        <v>1.8666666666666669</v>
      </c>
      <c r="AQ323" s="28">
        <v>0.3</v>
      </c>
      <c r="AR323" s="28">
        <v>0.36</v>
      </c>
      <c r="AS323" s="28">
        <v>0.06</v>
      </c>
      <c r="AT323" s="28">
        <v>0.28000000000000003</v>
      </c>
      <c r="AU323" s="25">
        <v>0.95</v>
      </c>
      <c r="AV323" s="25">
        <v>3.44</v>
      </c>
      <c r="AW323" s="25">
        <v>2.4900000000000002</v>
      </c>
      <c r="AX323" s="25">
        <v>2.5173333333333332</v>
      </c>
      <c r="AY323">
        <v>2.5173333333333341</v>
      </c>
      <c r="AZ323">
        <v>5.8148519500000004</v>
      </c>
      <c r="BA323" s="75">
        <v>0.53464553504946077</v>
      </c>
      <c r="BE323">
        <v>4.0804215917219458E-2</v>
      </c>
      <c r="BH323">
        <v>8.1608431834438916E-2</v>
      </c>
      <c r="BI323">
        <v>4.0804215917219458E-2</v>
      </c>
      <c r="BJ323">
        <v>0.53464553504946077</v>
      </c>
    </row>
    <row r="324" spans="1:62" x14ac:dyDescent="0.3">
      <c r="A324" s="2" t="s">
        <v>221</v>
      </c>
      <c r="B324" s="13" t="s">
        <v>808</v>
      </c>
      <c r="C324" s="13"/>
      <c r="F324" s="2">
        <v>4.75</v>
      </c>
      <c r="G324" s="2" t="s">
        <v>253</v>
      </c>
      <c r="H324" s="9" t="s">
        <v>589</v>
      </c>
      <c r="I324">
        <v>-1</v>
      </c>
      <c r="J324"/>
      <c r="L324" s="25">
        <v>1</v>
      </c>
      <c r="M324">
        <v>0</v>
      </c>
      <c r="N324">
        <v>0</v>
      </c>
      <c r="T324" s="25">
        <v>5.6694849300000003</v>
      </c>
      <c r="U324" s="25">
        <v>5.6694842000000003</v>
      </c>
      <c r="V324" s="25">
        <v>11.54266629</v>
      </c>
      <c r="W324">
        <v>0</v>
      </c>
      <c r="Z324">
        <v>0</v>
      </c>
      <c r="AD324">
        <v>30</v>
      </c>
      <c r="AE324" s="55">
        <f t="shared" si="21"/>
        <v>0</v>
      </c>
      <c r="AF324" s="57">
        <v>321.30962315738361</v>
      </c>
      <c r="AG324" s="55">
        <v>0</v>
      </c>
      <c r="AH324" s="55">
        <v>0</v>
      </c>
      <c r="AJ324" s="51">
        <v>9.3367885173191417E-2</v>
      </c>
      <c r="AM324" s="28">
        <v>2</v>
      </c>
      <c r="AN324" s="28">
        <v>2.5</v>
      </c>
      <c r="AO324" s="28">
        <v>0.5</v>
      </c>
      <c r="AP324" s="28">
        <v>2.333333333333333</v>
      </c>
      <c r="AQ324" s="28">
        <v>0.27272727272727282</v>
      </c>
      <c r="AR324" s="28">
        <v>0.34090909090909088</v>
      </c>
      <c r="AS324" s="28">
        <v>6.8181818181818191E-2</v>
      </c>
      <c r="AT324" s="28">
        <v>0.31818181818181818</v>
      </c>
      <c r="AU324" s="25">
        <v>0.95</v>
      </c>
      <c r="AV324" s="25">
        <v>3.44</v>
      </c>
      <c r="AW324" s="25">
        <v>2.4900000000000002</v>
      </c>
      <c r="AX324" s="25">
        <v>2.5979166666666669</v>
      </c>
      <c r="AY324">
        <v>2.597916666666666</v>
      </c>
      <c r="AZ324">
        <v>5.966934078125</v>
      </c>
      <c r="BA324" s="75">
        <v>0.56583721757051464</v>
      </c>
      <c r="BE324">
        <v>4.6683942586595709E-2</v>
      </c>
      <c r="BH324">
        <v>9.3367885173191417E-2</v>
      </c>
      <c r="BI324">
        <v>4.6683942586595709E-2</v>
      </c>
      <c r="BJ324">
        <v>0.56583721757051464</v>
      </c>
    </row>
    <row r="325" spans="1:62" x14ac:dyDescent="0.3">
      <c r="A325" s="2" t="s">
        <v>255</v>
      </c>
      <c r="B325" s="13" t="s">
        <v>818</v>
      </c>
      <c r="C325" s="13"/>
      <c r="F325" s="2">
        <v>1.55</v>
      </c>
      <c r="G325" s="2" t="s">
        <v>256</v>
      </c>
      <c r="H325" s="9" t="s">
        <v>595</v>
      </c>
      <c r="I325" t="s">
        <v>668</v>
      </c>
      <c r="J325"/>
      <c r="L325" s="25">
        <v>2</v>
      </c>
      <c r="M325">
        <v>4</v>
      </c>
      <c r="N325">
        <v>0</v>
      </c>
      <c r="T325" s="25">
        <v>6.8866614799999999</v>
      </c>
      <c r="U325" s="25">
        <v>6.8866614799999999</v>
      </c>
      <c r="V325" s="25">
        <v>6.8866614799999999</v>
      </c>
      <c r="W325">
        <v>8.51</v>
      </c>
      <c r="X325">
        <v>8.51</v>
      </c>
      <c r="Y325">
        <v>5.8140000000000001</v>
      </c>
      <c r="Z325">
        <v>0</v>
      </c>
      <c r="AD325">
        <v>8</v>
      </c>
      <c r="AE325" s="55">
        <f t="shared" si="21"/>
        <v>0</v>
      </c>
      <c r="AF325" s="57">
        <v>222.33131811857061</v>
      </c>
      <c r="AG325" s="55">
        <v>421.05046140000002</v>
      </c>
      <c r="AH325" s="55">
        <v>0</v>
      </c>
      <c r="AJ325" s="51">
        <v>7.1964670274059672E-2</v>
      </c>
      <c r="AK325" s="52">
        <v>7.6000391719318994E-2</v>
      </c>
      <c r="AM325" s="28">
        <v>1.857142857142857</v>
      </c>
      <c r="AN325" s="28">
        <v>3.1428571428571428</v>
      </c>
      <c r="AO325" s="28">
        <v>4.2857142857142856</v>
      </c>
      <c r="AP325" s="28">
        <v>4</v>
      </c>
      <c r="AQ325" s="28">
        <v>0.1397849462365591</v>
      </c>
      <c r="AR325" s="28">
        <v>0.23655913978494619</v>
      </c>
      <c r="AS325" s="28">
        <v>0.32258064516129031</v>
      </c>
      <c r="AT325" s="28">
        <v>0.30107526881720431</v>
      </c>
      <c r="AU325" s="25">
        <v>1.9</v>
      </c>
      <c r="AV325" s="25">
        <v>3.44</v>
      </c>
      <c r="AW325" s="25">
        <v>1.54</v>
      </c>
      <c r="AX325" s="25">
        <v>2.8142857142857141</v>
      </c>
      <c r="AY325">
        <v>2.8142857142857141</v>
      </c>
      <c r="AZ325">
        <v>6.1238972471428568</v>
      </c>
      <c r="BA325" s="75">
        <v>0.44701389447074941</v>
      </c>
      <c r="BB325" s="75">
        <v>0.47208207797488139</v>
      </c>
      <c r="BE325">
        <v>3.5982335137029829E-2</v>
      </c>
      <c r="BF325">
        <v>3.800019585965949E-2</v>
      </c>
      <c r="BH325">
        <v>7.3982530996689333E-2</v>
      </c>
      <c r="BI325">
        <v>3.699126549834466E-2</v>
      </c>
      <c r="BJ325">
        <v>0.4595479862228154</v>
      </c>
    </row>
    <row r="326" spans="1:62" x14ac:dyDescent="0.3">
      <c r="A326" s="2" t="s">
        <v>0</v>
      </c>
      <c r="B326" s="13" t="s">
        <v>685</v>
      </c>
      <c r="C326" s="13"/>
      <c r="F326" s="2">
        <v>3.3</v>
      </c>
      <c r="G326" s="2" t="s">
        <v>257</v>
      </c>
      <c r="H326" s="9" t="s">
        <v>523</v>
      </c>
      <c r="I326" t="s">
        <v>606</v>
      </c>
      <c r="J326"/>
      <c r="L326" s="25">
        <v>4</v>
      </c>
      <c r="M326">
        <v>4</v>
      </c>
      <c r="N326">
        <v>0</v>
      </c>
      <c r="T326" s="25">
        <v>6.6040679999999998</v>
      </c>
      <c r="U326" s="25">
        <v>7.9389519999999996</v>
      </c>
      <c r="V326" s="25">
        <v>33.703336</v>
      </c>
      <c r="W326">
        <v>7.83</v>
      </c>
      <c r="X326">
        <v>33.209989999999998</v>
      </c>
      <c r="Y326">
        <v>6.46</v>
      </c>
      <c r="Z326">
        <v>0</v>
      </c>
      <c r="AD326">
        <v>34</v>
      </c>
      <c r="AE326" s="55">
        <f t="shared" si="21"/>
        <v>0</v>
      </c>
      <c r="AF326" s="57">
        <v>1767.0449718798691</v>
      </c>
      <c r="AG326" s="55">
        <v>1679.8210721820001</v>
      </c>
      <c r="AH326" s="55">
        <v>0</v>
      </c>
      <c r="AJ326" s="51">
        <v>7.6964651247849417E-2</v>
      </c>
      <c r="AK326" s="52">
        <v>8.0961003676030277E-2</v>
      </c>
      <c r="AM326" s="28">
        <v>1.62962962962963</v>
      </c>
      <c r="AN326" s="28">
        <v>2.518518518518519</v>
      </c>
      <c r="AO326" s="28">
        <v>0.88888888888888884</v>
      </c>
      <c r="AP326" s="28">
        <v>0</v>
      </c>
      <c r="AQ326" s="28">
        <v>0.32352941176470579</v>
      </c>
      <c r="AR326" s="28">
        <v>0.5</v>
      </c>
      <c r="AS326" s="28">
        <v>0.1764705882352941</v>
      </c>
      <c r="AT326" s="28">
        <v>0</v>
      </c>
      <c r="AU326" s="25">
        <v>0.82</v>
      </c>
      <c r="AV326" s="25">
        <v>3.44</v>
      </c>
      <c r="AW326" s="25">
        <v>2.62</v>
      </c>
      <c r="AX326" s="25">
        <v>2.642962962962963</v>
      </c>
      <c r="AY326">
        <v>2.642962962962963</v>
      </c>
      <c r="AZ326">
        <v>5.9587362692592576</v>
      </c>
      <c r="BA326" s="75">
        <v>0.48264383878002159</v>
      </c>
      <c r="BB326" s="75">
        <v>0.50770488753139842</v>
      </c>
      <c r="BE326">
        <v>3.8482325623924708E-2</v>
      </c>
      <c r="BF326">
        <v>4.0480501838015132E-2</v>
      </c>
      <c r="BH326">
        <v>7.8962827461939847E-2</v>
      </c>
      <c r="BI326">
        <v>3.9481413730969923E-2</v>
      </c>
      <c r="BJ326">
        <v>0.49517436315571001</v>
      </c>
    </row>
    <row r="327" spans="1:62" x14ac:dyDescent="0.3">
      <c r="A327" s="2" t="s">
        <v>215</v>
      </c>
      <c r="B327" s="13" t="s">
        <v>734</v>
      </c>
      <c r="C327" s="13"/>
      <c r="F327" s="2">
        <v>4.13</v>
      </c>
      <c r="G327" s="2" t="s">
        <v>258</v>
      </c>
      <c r="H327" s="9" t="s">
        <v>587</v>
      </c>
      <c r="I327" t="s">
        <v>636</v>
      </c>
      <c r="J327"/>
      <c r="L327" s="25">
        <v>1</v>
      </c>
      <c r="M327">
        <v>1</v>
      </c>
      <c r="N327">
        <v>0</v>
      </c>
      <c r="T327" s="25">
        <v>3.950634</v>
      </c>
      <c r="U327" s="25">
        <v>3.950634</v>
      </c>
      <c r="V327" s="25">
        <v>15.513552000000001</v>
      </c>
      <c r="W327">
        <v>3.8658999999999999</v>
      </c>
      <c r="X327">
        <v>3.8658999999999999</v>
      </c>
      <c r="Y327">
        <v>15.2538</v>
      </c>
      <c r="Z327">
        <v>0</v>
      </c>
      <c r="AD327">
        <v>20</v>
      </c>
      <c r="AE327" s="55">
        <f t="shared" si="21"/>
        <v>0</v>
      </c>
      <c r="AF327" s="57">
        <v>242.1279024923125</v>
      </c>
      <c r="AG327" s="55">
        <v>227.970829547178</v>
      </c>
      <c r="AH327" s="55">
        <v>0</v>
      </c>
      <c r="AJ327" s="51">
        <v>8.2600971611006269E-2</v>
      </c>
      <c r="AK327" s="52">
        <v>8.7730522539775438E-2</v>
      </c>
      <c r="AM327" s="28">
        <v>1.9375</v>
      </c>
      <c r="AN327" s="28">
        <v>2.5</v>
      </c>
      <c r="AO327" s="28">
        <v>0.5625</v>
      </c>
      <c r="AP327" s="28">
        <v>2.625</v>
      </c>
      <c r="AQ327" s="28">
        <v>0.25409836065573771</v>
      </c>
      <c r="AR327" s="28">
        <v>0.32786885245901642</v>
      </c>
      <c r="AS327" s="28">
        <v>7.3770491803278687E-2</v>
      </c>
      <c r="AT327" s="28">
        <v>0.34426229508196721</v>
      </c>
      <c r="AU327" s="25">
        <v>0.79</v>
      </c>
      <c r="AV327" s="25">
        <v>3.44</v>
      </c>
      <c r="AW327" s="25">
        <v>2.65</v>
      </c>
      <c r="AX327" s="25">
        <v>2.6056249999999999</v>
      </c>
      <c r="AY327">
        <v>2.6056249999999999</v>
      </c>
      <c r="AZ327">
        <v>5.9703320286696879</v>
      </c>
      <c r="BA327" s="75">
        <v>0.52453741991489755</v>
      </c>
      <c r="BB327" s="75">
        <v>0.55711138795694093</v>
      </c>
      <c r="BE327">
        <v>4.1300485805503127E-2</v>
      </c>
      <c r="BF327">
        <v>4.3865261269887712E-2</v>
      </c>
      <c r="BH327">
        <v>8.5165747075390846E-2</v>
      </c>
      <c r="BI327">
        <v>4.2582873537695423E-2</v>
      </c>
      <c r="BJ327">
        <v>0.54082440393591924</v>
      </c>
    </row>
    <row r="328" spans="1:62" x14ac:dyDescent="0.3">
      <c r="A328" s="2" t="s">
        <v>259</v>
      </c>
      <c r="B328" s="17" t="s">
        <v>734</v>
      </c>
      <c r="C328" s="13"/>
      <c r="D328" s="2" t="s">
        <v>676</v>
      </c>
      <c r="E328" s="2">
        <v>0.3</v>
      </c>
      <c r="F328" s="2">
        <v>2.17</v>
      </c>
      <c r="G328" s="2" t="s">
        <v>258</v>
      </c>
      <c r="H328" s="9" t="s">
        <v>587</v>
      </c>
      <c r="I328" t="s">
        <v>636</v>
      </c>
      <c r="J328"/>
      <c r="L328" s="25">
        <v>1</v>
      </c>
      <c r="M328">
        <v>1</v>
      </c>
      <c r="N328">
        <v>0</v>
      </c>
      <c r="T328" s="25">
        <v>3.950634</v>
      </c>
      <c r="U328" s="25">
        <v>3.950634</v>
      </c>
      <c r="V328" s="25">
        <v>15.513552000000001</v>
      </c>
      <c r="W328">
        <v>3.8658999999999999</v>
      </c>
      <c r="X328">
        <v>3.8658999999999999</v>
      </c>
      <c r="Y328">
        <v>15.2538</v>
      </c>
      <c r="Z328">
        <v>0</v>
      </c>
      <c r="AD328">
        <v>20</v>
      </c>
      <c r="AE328" s="55">
        <f t="shared" si="21"/>
        <v>0</v>
      </c>
      <c r="AF328" s="57">
        <v>242.1279024923125</v>
      </c>
      <c r="AG328" s="55">
        <v>227.970829547178</v>
      </c>
      <c r="AH328" s="55">
        <v>0</v>
      </c>
      <c r="AJ328" s="51">
        <v>8.2600971611006269E-2</v>
      </c>
      <c r="AK328" s="52">
        <v>8.7730522539775438E-2</v>
      </c>
      <c r="AM328" s="28">
        <v>1.9375</v>
      </c>
      <c r="AN328" s="28">
        <v>2.5</v>
      </c>
      <c r="AO328" s="28">
        <v>0.5625</v>
      </c>
      <c r="AP328" s="28">
        <v>2.625</v>
      </c>
      <c r="AQ328" s="28">
        <v>0.25409836065573771</v>
      </c>
      <c r="AR328" s="28">
        <v>0.32786885245901642</v>
      </c>
      <c r="AS328" s="28">
        <v>7.3770491803278687E-2</v>
      </c>
      <c r="AT328" s="28">
        <v>0.34426229508196721</v>
      </c>
      <c r="AU328" s="25">
        <v>0.79</v>
      </c>
      <c r="AV328" s="25">
        <v>3.44</v>
      </c>
      <c r="AW328" s="25">
        <v>2.65</v>
      </c>
      <c r="AX328" s="25">
        <v>2.6056249999999999</v>
      </c>
      <c r="AY328">
        <v>2.6056249999999999</v>
      </c>
      <c r="AZ328">
        <v>5.9703320286696879</v>
      </c>
      <c r="BA328" s="75">
        <v>0.52453741991489755</v>
      </c>
      <c r="BB328" s="75">
        <v>0.55711138795694093</v>
      </c>
      <c r="BE328">
        <v>4.1300485805503127E-2</v>
      </c>
      <c r="BF328">
        <v>4.3865261269887712E-2</v>
      </c>
      <c r="BH328">
        <v>8.5165747075390846E-2</v>
      </c>
      <c r="BI328">
        <v>4.2582873537695423E-2</v>
      </c>
      <c r="BJ328">
        <v>0.54082440393591924</v>
      </c>
    </row>
    <row r="329" spans="1:62" x14ac:dyDescent="0.3">
      <c r="A329" s="2" t="s">
        <v>4</v>
      </c>
      <c r="B329" s="13" t="s">
        <v>689</v>
      </c>
      <c r="C329" s="13"/>
      <c r="F329" s="2">
        <v>3.35</v>
      </c>
      <c r="G329" s="2" t="s">
        <v>260</v>
      </c>
      <c r="H329" s="9" t="s">
        <v>527</v>
      </c>
      <c r="I329" t="s">
        <v>609</v>
      </c>
      <c r="J329"/>
      <c r="L329" s="25">
        <v>4</v>
      </c>
      <c r="M329">
        <v>4</v>
      </c>
      <c r="N329">
        <v>0</v>
      </c>
      <c r="T329" s="25">
        <v>7.8084429999999996</v>
      </c>
      <c r="U329" s="25">
        <v>7.8548809999999998</v>
      </c>
      <c r="V329" s="25">
        <v>15.19056011</v>
      </c>
      <c r="W329">
        <v>3.8801999999999999</v>
      </c>
      <c r="X329">
        <v>29.507999999999999</v>
      </c>
      <c r="Y329">
        <v>7.7140000000000004</v>
      </c>
      <c r="Z329">
        <v>0</v>
      </c>
      <c r="AD329">
        <v>20</v>
      </c>
      <c r="AE329" s="55">
        <f t="shared" si="21"/>
        <v>0</v>
      </c>
      <c r="AF329" s="57">
        <v>924.74694800021894</v>
      </c>
      <c r="AG329" s="55">
        <v>883.22940750240002</v>
      </c>
      <c r="AH329" s="55">
        <v>0</v>
      </c>
      <c r="AJ329" s="51">
        <v>8.6510153045653584E-2</v>
      </c>
      <c r="AK329" s="52">
        <v>9.0576694254581439E-2</v>
      </c>
      <c r="AM329" s="28">
        <v>1.75</v>
      </c>
      <c r="AN329" s="28">
        <v>2.5</v>
      </c>
      <c r="AO329" s="28">
        <v>0.75</v>
      </c>
      <c r="AP329" s="28">
        <v>0</v>
      </c>
      <c r="AQ329" s="28">
        <v>0.35</v>
      </c>
      <c r="AR329" s="28">
        <v>0.5</v>
      </c>
      <c r="AS329" s="28">
        <v>0.15</v>
      </c>
      <c r="AT329" s="28">
        <v>0</v>
      </c>
      <c r="AU329" s="25">
        <v>0.82</v>
      </c>
      <c r="AV329" s="25">
        <v>3.44</v>
      </c>
      <c r="AW329" s="25">
        <v>2.62</v>
      </c>
      <c r="AX329" s="25">
        <v>2.6262500000000002</v>
      </c>
      <c r="AY329">
        <v>2.6262500000000002</v>
      </c>
      <c r="AZ329">
        <v>5.96680968125</v>
      </c>
      <c r="BA329" s="75">
        <v>0.50555206026575039</v>
      </c>
      <c r="BB329" s="75">
        <v>0</v>
      </c>
      <c r="BE329">
        <v>4.3255076522826792E-2</v>
      </c>
      <c r="BF329">
        <v>4.5288347127290719E-2</v>
      </c>
      <c r="BH329">
        <v>8.8543423650117511E-2</v>
      </c>
      <c r="BI329">
        <v>4.4271711825058763E-2</v>
      </c>
      <c r="BJ329">
        <v>0.2527760301328752</v>
      </c>
    </row>
    <row r="330" spans="1:62" x14ac:dyDescent="0.3">
      <c r="A330" s="2" t="s">
        <v>38</v>
      </c>
      <c r="B330" s="13" t="s">
        <v>714</v>
      </c>
      <c r="C330" s="13"/>
      <c r="F330" s="2">
        <v>3.92</v>
      </c>
      <c r="G330" s="2" t="s">
        <v>261</v>
      </c>
      <c r="H330" s="9" t="s">
        <v>545</v>
      </c>
      <c r="I330" t="s">
        <v>626</v>
      </c>
      <c r="J330"/>
      <c r="L330" s="25">
        <v>1</v>
      </c>
      <c r="M330">
        <v>1</v>
      </c>
      <c r="N330">
        <v>0</v>
      </c>
      <c r="T330" s="25">
        <v>5.8532381300000003</v>
      </c>
      <c r="U330" s="25">
        <v>5.8532371599999999</v>
      </c>
      <c r="V330" s="25">
        <v>11.912811489999999</v>
      </c>
      <c r="W330">
        <v>5.7946</v>
      </c>
      <c r="X330">
        <v>5.7946</v>
      </c>
      <c r="Y330">
        <v>11.787599999999999</v>
      </c>
      <c r="Z330">
        <v>0</v>
      </c>
      <c r="AD330">
        <v>30</v>
      </c>
      <c r="AE330" s="55">
        <f t="shared" si="21"/>
        <v>0</v>
      </c>
      <c r="AF330" s="57">
        <v>353.45760058531442</v>
      </c>
      <c r="AG330" s="55">
        <v>342.77011164986573</v>
      </c>
      <c r="AH330" s="55">
        <v>0</v>
      </c>
      <c r="AJ330" s="51">
        <v>8.487580957467307E-2</v>
      </c>
      <c r="AK330" s="52">
        <v>8.752221672887435E-2</v>
      </c>
      <c r="AM330" s="28">
        <v>1.833333333333333</v>
      </c>
      <c r="AN330" s="28">
        <v>2.5</v>
      </c>
      <c r="AO330" s="28">
        <v>0.66666666666666663</v>
      </c>
      <c r="AP330" s="28">
        <v>0</v>
      </c>
      <c r="AQ330" s="28">
        <v>0.36666666666666659</v>
      </c>
      <c r="AR330" s="28">
        <v>0.5</v>
      </c>
      <c r="AS330" s="28">
        <v>0.1333333333333333</v>
      </c>
      <c r="AT330" s="28">
        <v>0</v>
      </c>
      <c r="AU330" s="25">
        <v>0.89</v>
      </c>
      <c r="AV330" s="25">
        <v>3.44</v>
      </c>
      <c r="AW330" s="25">
        <v>2.5499999999999998</v>
      </c>
      <c r="AX330" s="25">
        <v>2.6020833333333329</v>
      </c>
      <c r="AY330">
        <v>2.6020833333333329</v>
      </c>
      <c r="AZ330">
        <v>5.9098726145833336</v>
      </c>
      <c r="BA330" s="75">
        <v>0.57410011132036598</v>
      </c>
      <c r="BB330" s="75">
        <v>0.59200041353179045</v>
      </c>
      <c r="BE330">
        <v>4.2437904787336528E-2</v>
      </c>
      <c r="BF330">
        <v>4.3761108364437168E-2</v>
      </c>
      <c r="BH330">
        <v>8.619901315177371E-2</v>
      </c>
      <c r="BI330">
        <v>4.3099506575886848E-2</v>
      </c>
      <c r="BJ330">
        <v>0.58305026242607827</v>
      </c>
    </row>
    <row r="331" spans="1:62" x14ac:dyDescent="0.3">
      <c r="A331" s="2" t="s">
        <v>4</v>
      </c>
      <c r="B331" s="20" t="s">
        <v>689</v>
      </c>
      <c r="C331" s="13"/>
      <c r="F331" s="2">
        <v>3.55</v>
      </c>
      <c r="G331" s="2" t="s">
        <v>263</v>
      </c>
      <c r="H331" s="9">
        <v>-1</v>
      </c>
      <c r="I331">
        <v>-1</v>
      </c>
      <c r="J331"/>
      <c r="K331" s="2">
        <v>4</v>
      </c>
      <c r="L331" s="25">
        <v>0</v>
      </c>
      <c r="M331">
        <v>0</v>
      </c>
      <c r="N331">
        <v>0</v>
      </c>
      <c r="O331" s="2">
        <v>3.8450000000000002</v>
      </c>
      <c r="P331" s="2">
        <v>29.35</v>
      </c>
      <c r="Q331" s="2">
        <v>7.6580000000000004</v>
      </c>
      <c r="R331" s="2" t="s">
        <v>472</v>
      </c>
      <c r="T331" s="25">
        <v>0</v>
      </c>
      <c r="U331" s="25"/>
      <c r="V331" s="25"/>
      <c r="W331">
        <v>0</v>
      </c>
      <c r="Z331">
        <v>0</v>
      </c>
      <c r="AD331">
        <v>20</v>
      </c>
      <c r="AE331" s="55">
        <f t="shared" si="21"/>
        <v>864.21104350000007</v>
      </c>
      <c r="AF331" s="57">
        <v>0</v>
      </c>
      <c r="AG331" s="55">
        <v>0</v>
      </c>
      <c r="AH331" s="55">
        <v>0</v>
      </c>
      <c r="AI331" s="52">
        <f t="shared" ref="AI331:AI332" si="22">K331*AD331/AE331</f>
        <v>9.256998114257492E-2</v>
      </c>
      <c r="AJ331" s="51"/>
      <c r="AM331" s="28">
        <v>1.75</v>
      </c>
      <c r="AN331" s="28">
        <v>2.5</v>
      </c>
      <c r="AO331" s="28">
        <v>0.75</v>
      </c>
      <c r="AP331" s="28">
        <v>0</v>
      </c>
      <c r="AQ331" s="28">
        <v>0.35</v>
      </c>
      <c r="AR331" s="28">
        <v>0.5</v>
      </c>
      <c r="AS331" s="28">
        <v>0.15</v>
      </c>
      <c r="AT331" s="28">
        <v>0</v>
      </c>
      <c r="AU331" s="25">
        <v>0.82</v>
      </c>
      <c r="AV331" s="25">
        <v>3.44</v>
      </c>
      <c r="AW331" s="25">
        <v>2.62</v>
      </c>
      <c r="AX331" s="25">
        <v>2.6262500000000002</v>
      </c>
      <c r="AY331">
        <v>2.7466666666666661</v>
      </c>
      <c r="AZ331">
        <v>6.2031928980000002</v>
      </c>
      <c r="BD331">
        <v>4.628499057128746E-2</v>
      </c>
      <c r="BH331">
        <v>9.256998114257492E-2</v>
      </c>
      <c r="BI331">
        <v>4.628499057128746E-2</v>
      </c>
      <c r="BJ331">
        <v>0</v>
      </c>
    </row>
    <row r="332" spans="1:62" x14ac:dyDescent="0.3">
      <c r="A332" s="2" t="s">
        <v>4</v>
      </c>
      <c r="B332" s="20" t="s">
        <v>689</v>
      </c>
      <c r="C332" s="13"/>
      <c r="D332" s="2" t="s">
        <v>676</v>
      </c>
      <c r="E332" s="2">
        <v>1.37</v>
      </c>
      <c r="F332" s="2">
        <v>3.03</v>
      </c>
      <c r="G332" s="2" t="s">
        <v>263</v>
      </c>
      <c r="H332" s="9">
        <v>-1</v>
      </c>
      <c r="I332">
        <v>-1</v>
      </c>
      <c r="J332"/>
      <c r="K332" s="2">
        <v>4</v>
      </c>
      <c r="L332" s="25">
        <v>0</v>
      </c>
      <c r="M332">
        <v>0</v>
      </c>
      <c r="N332">
        <v>0</v>
      </c>
      <c r="O332" s="2">
        <v>3.8490000000000002</v>
      </c>
      <c r="P332" s="2">
        <v>29.42</v>
      </c>
      <c r="Q332" s="2">
        <v>7.6680000000000001</v>
      </c>
      <c r="R332" s="2" t="s">
        <v>472</v>
      </c>
      <c r="T332" s="25">
        <v>0</v>
      </c>
      <c r="U332" s="25"/>
      <c r="V332" s="25"/>
      <c r="W332">
        <v>0</v>
      </c>
      <c r="Z332">
        <v>0</v>
      </c>
      <c r="AD332">
        <v>20</v>
      </c>
      <c r="AE332" s="55">
        <f t="shared" si="21"/>
        <v>868.30576344000008</v>
      </c>
      <c r="AF332" s="57">
        <v>0</v>
      </c>
      <c r="AG332" s="55">
        <v>0</v>
      </c>
      <c r="AH332" s="55">
        <v>0</v>
      </c>
      <c r="AI332" s="52">
        <f t="shared" si="22"/>
        <v>9.2133443503888482E-2</v>
      </c>
      <c r="AJ332" s="51"/>
      <c r="AM332" s="28">
        <v>1.75</v>
      </c>
      <c r="AN332" s="28">
        <v>2.5</v>
      </c>
      <c r="AO332" s="28">
        <v>0.75</v>
      </c>
      <c r="AP332" s="28">
        <v>0</v>
      </c>
      <c r="AQ332" s="28">
        <v>0.35</v>
      </c>
      <c r="AR332" s="28">
        <v>0.5</v>
      </c>
      <c r="AS332" s="28">
        <v>0.15</v>
      </c>
      <c r="AT332" s="28">
        <v>0</v>
      </c>
      <c r="AU332" s="25">
        <v>0.82</v>
      </c>
      <c r="AV332" s="25">
        <v>3.44</v>
      </c>
      <c r="AW332" s="25">
        <v>2.62</v>
      </c>
      <c r="AX332" s="25">
        <v>2.6262500000000002</v>
      </c>
      <c r="AY332">
        <v>2.7466666666666661</v>
      </c>
      <c r="AZ332">
        <v>6.2031928980000002</v>
      </c>
      <c r="BD332">
        <v>4.6066721751944241E-2</v>
      </c>
      <c r="BH332">
        <v>9.2133443503888482E-2</v>
      </c>
      <c r="BI332">
        <v>4.6066721751944241E-2</v>
      </c>
      <c r="BJ332">
        <v>0</v>
      </c>
    </row>
    <row r="333" spans="1:62" x14ac:dyDescent="0.3">
      <c r="A333" s="2" t="s">
        <v>889</v>
      </c>
      <c r="B333" s="17" t="s">
        <v>945</v>
      </c>
      <c r="C333" s="13"/>
      <c r="D333" s="2" t="s">
        <v>676</v>
      </c>
      <c r="E333" s="2">
        <v>0.41</v>
      </c>
      <c r="F333" s="2">
        <v>2.1800000000000002</v>
      </c>
      <c r="G333" s="2" t="s">
        <v>264</v>
      </c>
      <c r="H333" s="9">
        <v>-1</v>
      </c>
      <c r="I333">
        <v>-1</v>
      </c>
      <c r="J333" t="s">
        <v>1174</v>
      </c>
      <c r="K333" s="2">
        <v>1</v>
      </c>
      <c r="L333" s="25">
        <v>0</v>
      </c>
      <c r="M333">
        <v>0</v>
      </c>
      <c r="N333">
        <v>1</v>
      </c>
      <c r="O333" s="2">
        <v>3.899</v>
      </c>
      <c r="P333" s="2">
        <v>3.899</v>
      </c>
      <c r="Q333" s="2">
        <v>15.5359</v>
      </c>
      <c r="T333" s="25">
        <v>0</v>
      </c>
      <c r="U333" s="25"/>
      <c r="V333" s="25"/>
      <c r="W333">
        <v>0</v>
      </c>
      <c r="Z333">
        <v>0</v>
      </c>
      <c r="AD333">
        <v>20</v>
      </c>
      <c r="AE333" s="55">
        <f t="shared" si="21"/>
        <v>236.1798745159</v>
      </c>
      <c r="AF333" s="57">
        <v>0</v>
      </c>
      <c r="AG333" s="55">
        <v>0</v>
      </c>
      <c r="AH333" s="55">
        <v>236.2</v>
      </c>
      <c r="AJ333" s="51"/>
      <c r="AL333" s="67">
        <f>N333*AD333/AH333</f>
        <v>8.4674005080440304E-2</v>
      </c>
      <c r="AM333" s="28">
        <v>1.9375</v>
      </c>
      <c r="AN333" s="28">
        <v>2.5</v>
      </c>
      <c r="AO333" s="28">
        <v>0.5625</v>
      </c>
      <c r="AP333" s="28">
        <v>2.625</v>
      </c>
      <c r="AQ333" s="28">
        <v>0.25409836065573771</v>
      </c>
      <c r="AR333" s="28">
        <v>0.32786885245901642</v>
      </c>
      <c r="AS333" s="28">
        <v>7.3770491803278687E-2</v>
      </c>
      <c r="AT333" s="28">
        <v>0.34426229508196721</v>
      </c>
      <c r="AU333" s="25">
        <v>0.79</v>
      </c>
      <c r="AV333" s="25">
        <v>3.44</v>
      </c>
      <c r="AW333" s="25">
        <v>2.65</v>
      </c>
      <c r="AX333" s="25">
        <v>2.5975000000000001</v>
      </c>
      <c r="AY333">
        <v>2.5975000000000001</v>
      </c>
      <c r="AZ333">
        <v>5.9398049203884389</v>
      </c>
      <c r="BC333" s="75">
        <v>0.56677800513792698</v>
      </c>
      <c r="BD333">
        <v>4.2340610183221959E-2</v>
      </c>
      <c r="BG333">
        <v>4.2337002540220152E-2</v>
      </c>
      <c r="BH333">
        <v>8.4674005080440304E-2</v>
      </c>
      <c r="BI333">
        <v>4.2338806361721062E-2</v>
      </c>
      <c r="BJ333">
        <v>0.56677800513792698</v>
      </c>
    </row>
    <row r="334" spans="1:62" x14ac:dyDescent="0.3">
      <c r="A334" s="2" t="s">
        <v>4</v>
      </c>
      <c r="B334" s="13" t="s">
        <v>689</v>
      </c>
      <c r="C334" s="13"/>
      <c r="D334" s="2" t="s">
        <v>890</v>
      </c>
      <c r="E334" s="2">
        <v>0.55000000000000004</v>
      </c>
      <c r="F334" s="2">
        <v>2.92</v>
      </c>
      <c r="G334" s="2" t="s">
        <v>265</v>
      </c>
      <c r="H334" s="9" t="s">
        <v>527</v>
      </c>
      <c r="I334" t="s">
        <v>609</v>
      </c>
      <c r="J334"/>
      <c r="L334" s="25">
        <v>4</v>
      </c>
      <c r="M334">
        <v>4</v>
      </c>
      <c r="N334">
        <v>0</v>
      </c>
      <c r="T334" s="25">
        <v>7.8084429999999996</v>
      </c>
      <c r="U334" s="25">
        <v>7.8548809999999998</v>
      </c>
      <c r="V334" s="25">
        <v>15.19056011</v>
      </c>
      <c r="W334">
        <v>3.8801999999999999</v>
      </c>
      <c r="X334">
        <v>29.507999999999999</v>
      </c>
      <c r="Y334">
        <v>7.7140000000000004</v>
      </c>
      <c r="Z334">
        <v>0</v>
      </c>
      <c r="AD334">
        <v>20</v>
      </c>
      <c r="AE334" s="55">
        <f t="shared" si="21"/>
        <v>0</v>
      </c>
      <c r="AF334" s="57">
        <v>924.74694800021894</v>
      </c>
      <c r="AG334" s="55">
        <v>883.22940750240002</v>
      </c>
      <c r="AH334" s="55">
        <v>0</v>
      </c>
      <c r="AJ334" s="51">
        <v>8.6510153045653584E-2</v>
      </c>
      <c r="AK334" s="52">
        <v>9.0576694254581439E-2</v>
      </c>
      <c r="AM334" s="28">
        <v>1.75</v>
      </c>
      <c r="AN334" s="28">
        <v>2.5</v>
      </c>
      <c r="AO334" s="28">
        <v>0.75</v>
      </c>
      <c r="AP334" s="28">
        <v>0</v>
      </c>
      <c r="AQ334" s="28">
        <v>0.35</v>
      </c>
      <c r="AR334" s="28">
        <v>0.5</v>
      </c>
      <c r="AS334" s="28">
        <v>0.15</v>
      </c>
      <c r="AT334" s="28">
        <v>0</v>
      </c>
      <c r="AU334" s="25">
        <v>0.82</v>
      </c>
      <c r="AV334" s="25">
        <v>3.44</v>
      </c>
      <c r="AW334" s="25">
        <v>2.62</v>
      </c>
      <c r="AX334" s="25">
        <v>2.6262500000000002</v>
      </c>
      <c r="AY334">
        <v>2.6262500000000002</v>
      </c>
      <c r="AZ334">
        <v>5.96680968125</v>
      </c>
      <c r="BA334" s="75">
        <v>0.50555206026575039</v>
      </c>
      <c r="BB334" s="75">
        <v>0</v>
      </c>
      <c r="BE334">
        <v>4.3255076522826792E-2</v>
      </c>
      <c r="BF334">
        <v>4.5288347127290719E-2</v>
      </c>
      <c r="BH334">
        <v>8.8543423650117511E-2</v>
      </c>
      <c r="BI334">
        <v>4.4271711825058763E-2</v>
      </c>
      <c r="BJ334">
        <v>0.2527760301328752</v>
      </c>
    </row>
    <row r="335" spans="1:62" x14ac:dyDescent="0.3">
      <c r="A335" s="2" t="s">
        <v>4</v>
      </c>
      <c r="B335" s="13" t="s">
        <v>689</v>
      </c>
      <c r="C335" s="13"/>
      <c r="F335" s="2">
        <v>3.55</v>
      </c>
      <c r="G335" s="2" t="s">
        <v>265</v>
      </c>
      <c r="H335" s="9" t="s">
        <v>527</v>
      </c>
      <c r="I335" t="s">
        <v>609</v>
      </c>
      <c r="J335"/>
      <c r="L335" s="25">
        <v>4</v>
      </c>
      <c r="M335">
        <v>4</v>
      </c>
      <c r="N335">
        <v>0</v>
      </c>
      <c r="T335" s="25">
        <v>7.8084429999999996</v>
      </c>
      <c r="U335" s="25">
        <v>7.8548809999999998</v>
      </c>
      <c r="V335" s="25">
        <v>15.19056011</v>
      </c>
      <c r="W335">
        <v>3.8801999999999999</v>
      </c>
      <c r="X335">
        <v>29.507999999999999</v>
      </c>
      <c r="Y335">
        <v>7.7140000000000004</v>
      </c>
      <c r="Z335">
        <v>0</v>
      </c>
      <c r="AD335">
        <v>20</v>
      </c>
      <c r="AE335" s="55">
        <f t="shared" si="21"/>
        <v>0</v>
      </c>
      <c r="AF335" s="57">
        <v>924.74694800021894</v>
      </c>
      <c r="AG335" s="55">
        <v>883.22940750240002</v>
      </c>
      <c r="AH335" s="55">
        <v>0</v>
      </c>
      <c r="AJ335" s="51">
        <v>8.6510153045653584E-2</v>
      </c>
      <c r="AK335" s="52">
        <v>9.0576694254581439E-2</v>
      </c>
      <c r="AM335" s="28">
        <v>1.75</v>
      </c>
      <c r="AN335" s="28">
        <v>2.5</v>
      </c>
      <c r="AO335" s="28">
        <v>0.75</v>
      </c>
      <c r="AP335" s="28">
        <v>0</v>
      </c>
      <c r="AQ335" s="28">
        <v>0.35</v>
      </c>
      <c r="AR335" s="28">
        <v>0.5</v>
      </c>
      <c r="AS335" s="28">
        <v>0.15</v>
      </c>
      <c r="AT335" s="28">
        <v>0</v>
      </c>
      <c r="AU335" s="25">
        <v>0.82</v>
      </c>
      <c r="AV335" s="25">
        <v>3.44</v>
      </c>
      <c r="AW335" s="25">
        <v>2.62</v>
      </c>
      <c r="AX335" s="25">
        <v>2.6262500000000002</v>
      </c>
      <c r="AY335">
        <v>2.6262500000000002</v>
      </c>
      <c r="AZ335">
        <v>5.96680968125</v>
      </c>
      <c r="BA335" s="75">
        <v>0.50555206026575039</v>
      </c>
      <c r="BB335" s="75">
        <v>0</v>
      </c>
      <c r="BE335">
        <v>4.3255076522826792E-2</v>
      </c>
      <c r="BF335">
        <v>4.5288347127290719E-2</v>
      </c>
      <c r="BH335">
        <v>8.8543423650117511E-2</v>
      </c>
      <c r="BI335">
        <v>4.4271711825058763E-2</v>
      </c>
      <c r="BJ335">
        <v>0.2527760301328752</v>
      </c>
    </row>
    <row r="336" spans="1:62" x14ac:dyDescent="0.3">
      <c r="A336" s="2" t="s">
        <v>266</v>
      </c>
      <c r="B336" s="13" t="s">
        <v>819</v>
      </c>
      <c r="C336" s="13"/>
      <c r="F336" s="2">
        <v>2.8</v>
      </c>
      <c r="G336" s="2" t="s">
        <v>267</v>
      </c>
      <c r="H336" s="9" t="s">
        <v>596</v>
      </c>
      <c r="I336" t="s">
        <v>669</v>
      </c>
      <c r="J336"/>
      <c r="L336" s="25">
        <v>1</v>
      </c>
      <c r="M336">
        <v>1</v>
      </c>
      <c r="N336">
        <v>0</v>
      </c>
      <c r="O336" s="2">
        <v>3.97</v>
      </c>
      <c r="P336" s="2">
        <v>3.97</v>
      </c>
      <c r="Q336" s="2">
        <v>15.56</v>
      </c>
      <c r="R336" s="2" t="s">
        <v>519</v>
      </c>
      <c r="T336" s="25">
        <v>4.0290549999999996</v>
      </c>
      <c r="U336" s="25">
        <v>4.0290549999999996</v>
      </c>
      <c r="V336" s="25">
        <v>16.069894999999999</v>
      </c>
      <c r="W336">
        <v>3.9765999999999999</v>
      </c>
      <c r="X336">
        <v>3.9765999999999999</v>
      </c>
      <c r="Y336">
        <v>15.5792</v>
      </c>
      <c r="Z336">
        <v>0</v>
      </c>
      <c r="AD336">
        <v>20</v>
      </c>
      <c r="AE336" s="55">
        <f t="shared" si="21"/>
        <v>245.23960400000001</v>
      </c>
      <c r="AF336" s="57">
        <v>260.8671724870714</v>
      </c>
      <c r="AG336" s="55">
        <v>246.35930430675199</v>
      </c>
      <c r="AH336" s="55">
        <v>0</v>
      </c>
      <c r="AJ336" s="51">
        <v>7.6667369869971663E-2</v>
      </c>
      <c r="AK336" s="52">
        <v>8.1182239316186677E-2</v>
      </c>
      <c r="AM336" s="28">
        <v>1.75</v>
      </c>
      <c r="AN336" s="28">
        <v>2.5</v>
      </c>
      <c r="AO336" s="28">
        <v>0.75</v>
      </c>
      <c r="AP336" s="28">
        <v>0</v>
      </c>
      <c r="AQ336" s="28">
        <v>0.35</v>
      </c>
      <c r="AR336" s="28">
        <v>0.5</v>
      </c>
      <c r="AS336" s="28">
        <v>0.15</v>
      </c>
      <c r="AT336" s="28">
        <v>0</v>
      </c>
      <c r="AU336" s="25">
        <v>0.79</v>
      </c>
      <c r="AV336" s="25">
        <v>3.44</v>
      </c>
      <c r="AW336" s="25">
        <v>2.65</v>
      </c>
      <c r="AX336" s="25">
        <v>2.6106250000000002</v>
      </c>
      <c r="AY336">
        <v>2.6106250000000002</v>
      </c>
      <c r="AZ336">
        <v>5.9030778492946876</v>
      </c>
      <c r="BA336" s="75">
        <v>0.54551133687670861</v>
      </c>
      <c r="BB336" s="75">
        <v>0.57763598744977085</v>
      </c>
      <c r="BE336">
        <v>3.8333684934985832E-2</v>
      </c>
      <c r="BF336">
        <v>4.0591119658093339E-2</v>
      </c>
      <c r="BH336">
        <v>7.892480459307917E-2</v>
      </c>
      <c r="BI336">
        <v>3.9462402296539592E-2</v>
      </c>
      <c r="BJ336">
        <v>0.56157366216323967</v>
      </c>
    </row>
    <row r="337" spans="1:62" x14ac:dyDescent="0.3">
      <c r="A337" s="2" t="s">
        <v>268</v>
      </c>
      <c r="B337" s="13" t="s">
        <v>820</v>
      </c>
      <c r="C337" s="13"/>
      <c r="F337" s="2">
        <v>2.8</v>
      </c>
      <c r="G337" s="2" t="s">
        <v>267</v>
      </c>
      <c r="H337" s="9">
        <v>-1</v>
      </c>
      <c r="I337">
        <v>-1</v>
      </c>
      <c r="J337"/>
      <c r="K337" s="2">
        <v>1</v>
      </c>
      <c r="L337" s="25">
        <v>0</v>
      </c>
      <c r="M337">
        <v>0</v>
      </c>
      <c r="N337">
        <v>0</v>
      </c>
      <c r="O337" s="2">
        <v>3.97</v>
      </c>
      <c r="P337" s="2">
        <v>3.97</v>
      </c>
      <c r="Q337" s="2">
        <v>15.56</v>
      </c>
      <c r="R337" s="2" t="s">
        <v>519</v>
      </c>
      <c r="T337" s="25">
        <v>0</v>
      </c>
      <c r="U337" s="25"/>
      <c r="V337" s="25"/>
      <c r="W337">
        <v>0</v>
      </c>
      <c r="Z337">
        <v>0</v>
      </c>
      <c r="AD337">
        <v>20</v>
      </c>
      <c r="AE337" s="55">
        <f t="shared" si="21"/>
        <v>245.23960400000001</v>
      </c>
      <c r="AF337" s="57">
        <v>0</v>
      </c>
      <c r="AG337" s="55">
        <v>0</v>
      </c>
      <c r="AH337" s="55">
        <v>0</v>
      </c>
      <c r="AI337" s="52">
        <f t="shared" ref="AI337:AI350" si="23">K337*AD337/AE337</f>
        <v>8.1552896325831611E-2</v>
      </c>
      <c r="AJ337" s="51"/>
      <c r="AM337" s="28">
        <v>1.75</v>
      </c>
      <c r="AN337" s="28">
        <v>2.5</v>
      </c>
      <c r="AO337" s="28">
        <v>0.75</v>
      </c>
      <c r="AP337" s="28">
        <v>0</v>
      </c>
      <c r="AQ337" s="28">
        <v>0.35</v>
      </c>
      <c r="AR337" s="28">
        <v>0.5</v>
      </c>
      <c r="AS337" s="28">
        <v>0.15</v>
      </c>
      <c r="AT337" s="28">
        <v>0</v>
      </c>
      <c r="AU337" s="25">
        <v>0.89</v>
      </c>
      <c r="AV337" s="25">
        <v>3.44</v>
      </c>
      <c r="AW337" s="25">
        <v>2.5499999999999998</v>
      </c>
      <c r="AX337" s="25">
        <v>2.69875</v>
      </c>
      <c r="AY337">
        <v>2.69875</v>
      </c>
      <c r="AZ337">
        <v>6.2151871187406877</v>
      </c>
      <c r="BD337">
        <v>4.0776448162915813E-2</v>
      </c>
      <c r="BH337">
        <v>8.1552896325831611E-2</v>
      </c>
      <c r="BI337">
        <v>4.0776448162915813E-2</v>
      </c>
      <c r="BJ337">
        <v>0</v>
      </c>
    </row>
    <row r="338" spans="1:62" x14ac:dyDescent="0.3">
      <c r="A338" s="2" t="s">
        <v>270</v>
      </c>
      <c r="B338" s="18" t="s">
        <v>977</v>
      </c>
      <c r="C338" s="13"/>
      <c r="F338" s="2">
        <v>3.29</v>
      </c>
      <c r="G338" s="2" t="s">
        <v>269</v>
      </c>
      <c r="H338" s="9">
        <v>-1</v>
      </c>
      <c r="I338">
        <v>-1</v>
      </c>
      <c r="J338"/>
      <c r="K338" s="2">
        <v>1</v>
      </c>
      <c r="L338" s="25">
        <v>0</v>
      </c>
      <c r="M338">
        <v>0</v>
      </c>
      <c r="N338">
        <v>0</v>
      </c>
      <c r="O338" s="2">
        <v>3.89</v>
      </c>
      <c r="P338" s="2">
        <v>3.89</v>
      </c>
      <c r="Q338" s="2">
        <v>16.43</v>
      </c>
      <c r="R338" s="2" t="s">
        <v>519</v>
      </c>
      <c r="T338" s="25">
        <v>0</v>
      </c>
      <c r="U338" s="25"/>
      <c r="V338" s="25"/>
      <c r="W338">
        <v>0</v>
      </c>
      <c r="Z338">
        <v>0</v>
      </c>
      <c r="AD338">
        <v>38</v>
      </c>
      <c r="AE338" s="55">
        <f t="shared" si="21"/>
        <v>248.62040300000001</v>
      </c>
      <c r="AF338" s="57">
        <v>0</v>
      </c>
      <c r="AG338" s="55">
        <v>0</v>
      </c>
      <c r="AH338" s="55">
        <v>0</v>
      </c>
      <c r="AI338" s="52">
        <f t="shared" si="23"/>
        <v>0.15284344945736411</v>
      </c>
      <c r="AJ338" s="51"/>
      <c r="AM338" s="28">
        <v>1.84</v>
      </c>
      <c r="AN338" s="28">
        <v>3.04</v>
      </c>
      <c r="AO338" s="28">
        <v>0.48</v>
      </c>
      <c r="AP338" s="28">
        <v>0</v>
      </c>
      <c r="AQ338" s="28">
        <v>0.34328358208955218</v>
      </c>
      <c r="AR338" s="28">
        <v>0.56716417910447758</v>
      </c>
      <c r="AS338" s="28">
        <v>8.9552238805970144E-2</v>
      </c>
      <c r="AT338" s="28">
        <v>0</v>
      </c>
      <c r="AU338" s="25">
        <v>0.95</v>
      </c>
      <c r="AV338" s="25">
        <v>3.44</v>
      </c>
      <c r="AW338" s="25">
        <v>2.4900000000000002</v>
      </c>
      <c r="AX338" s="25">
        <v>2.9704000000000002</v>
      </c>
      <c r="AY338">
        <v>2.9704000000000002</v>
      </c>
      <c r="AZ338">
        <v>6.7075943239940399</v>
      </c>
      <c r="BD338">
        <v>7.6421724728682056E-2</v>
      </c>
      <c r="BH338">
        <v>0.15284344945736411</v>
      </c>
      <c r="BI338">
        <v>7.6421724728682056E-2</v>
      </c>
      <c r="BJ338">
        <v>0</v>
      </c>
    </row>
    <row r="339" spans="1:62" x14ac:dyDescent="0.3">
      <c r="A339" s="2" t="s">
        <v>271</v>
      </c>
      <c r="B339" s="18" t="s">
        <v>978</v>
      </c>
      <c r="C339" s="13"/>
      <c r="F339" s="2">
        <v>3.29</v>
      </c>
      <c r="G339" s="2" t="s">
        <v>269</v>
      </c>
      <c r="H339" s="9">
        <v>-1</v>
      </c>
      <c r="I339">
        <v>-1</v>
      </c>
      <c r="J339"/>
      <c r="K339" s="2">
        <v>1</v>
      </c>
      <c r="L339" s="25">
        <v>0</v>
      </c>
      <c r="M339">
        <v>0</v>
      </c>
      <c r="N339">
        <v>0</v>
      </c>
      <c r="O339" s="2">
        <v>3.9</v>
      </c>
      <c r="P339" s="2">
        <v>3.9</v>
      </c>
      <c r="Q339" s="2">
        <v>16.54</v>
      </c>
      <c r="R339" s="2" t="s">
        <v>519</v>
      </c>
      <c r="T339" s="25">
        <v>0</v>
      </c>
      <c r="U339" s="25"/>
      <c r="V339" s="25"/>
      <c r="W339">
        <v>0</v>
      </c>
      <c r="Z339">
        <v>0</v>
      </c>
      <c r="AD339">
        <v>38</v>
      </c>
      <c r="AE339" s="55">
        <f t="shared" si="21"/>
        <v>251.57339999999996</v>
      </c>
      <c r="AF339" s="57">
        <v>0</v>
      </c>
      <c r="AG339" s="55">
        <v>0</v>
      </c>
      <c r="AH339" s="55">
        <v>0</v>
      </c>
      <c r="AI339" s="52">
        <f t="shared" si="23"/>
        <v>0.15104935577449766</v>
      </c>
      <c r="AJ339" s="51"/>
      <c r="AM339" s="28">
        <v>1.71875</v>
      </c>
      <c r="AN339" s="28">
        <v>2.53125</v>
      </c>
      <c r="AO339" s="28">
        <v>0.375</v>
      </c>
      <c r="AP339" s="28">
        <v>0</v>
      </c>
      <c r="AQ339" s="28">
        <v>0.3716216216216216</v>
      </c>
      <c r="AR339" s="28">
        <v>0.54729729729729726</v>
      </c>
      <c r="AS339" s="28">
        <v>8.1081081081081086E-2</v>
      </c>
      <c r="AT339" s="28">
        <v>0</v>
      </c>
      <c r="AU339" s="25">
        <v>0.95</v>
      </c>
      <c r="AV339" s="25">
        <v>3.44</v>
      </c>
      <c r="AW339" s="25">
        <v>2.4900000000000002</v>
      </c>
      <c r="AX339" s="25">
        <v>2.8390624999999998</v>
      </c>
      <c r="AY339">
        <v>2.8390624999999998</v>
      </c>
      <c r="AZ339">
        <v>6.7833032939095634</v>
      </c>
      <c r="BD339">
        <v>7.5524677887248828E-2</v>
      </c>
      <c r="BH339">
        <v>0.15104935577449771</v>
      </c>
      <c r="BI339">
        <v>7.5524677887248828E-2</v>
      </c>
      <c r="BJ339">
        <v>0</v>
      </c>
    </row>
    <row r="340" spans="1:62" x14ac:dyDescent="0.3">
      <c r="A340" s="2" t="s">
        <v>272</v>
      </c>
      <c r="B340" s="18" t="s">
        <v>983</v>
      </c>
      <c r="C340" s="13"/>
      <c r="F340" s="2">
        <v>3.3</v>
      </c>
      <c r="G340" s="2" t="s">
        <v>269</v>
      </c>
      <c r="H340" s="9">
        <v>-1</v>
      </c>
      <c r="I340">
        <v>-1</v>
      </c>
      <c r="J340"/>
      <c r="K340" s="2">
        <v>1</v>
      </c>
      <c r="L340" s="25">
        <v>0</v>
      </c>
      <c r="M340">
        <v>0</v>
      </c>
      <c r="N340">
        <v>0</v>
      </c>
      <c r="O340" s="2">
        <v>3.9</v>
      </c>
      <c r="P340" s="2">
        <v>3.9</v>
      </c>
      <c r="Q340" s="2">
        <v>20.78</v>
      </c>
      <c r="R340" s="2" t="s">
        <v>519</v>
      </c>
      <c r="T340" s="25">
        <v>0</v>
      </c>
      <c r="U340" s="25"/>
      <c r="V340" s="25"/>
      <c r="W340">
        <v>0</v>
      </c>
      <c r="Z340">
        <v>0</v>
      </c>
      <c r="AD340">
        <v>38</v>
      </c>
      <c r="AE340" s="55">
        <f t="shared" si="21"/>
        <v>316.06380000000001</v>
      </c>
      <c r="AF340" s="57">
        <v>0</v>
      </c>
      <c r="AG340" s="55">
        <v>0</v>
      </c>
      <c r="AH340" s="55">
        <v>0</v>
      </c>
      <c r="AI340" s="52">
        <f t="shared" si="23"/>
        <v>0.12022889049615931</v>
      </c>
      <c r="AJ340" s="51"/>
      <c r="AM340" s="28">
        <v>1.6857142857142859</v>
      </c>
      <c r="AN340" s="28">
        <v>2.371428571428571</v>
      </c>
      <c r="AO340" s="28">
        <v>0.34285714285714292</v>
      </c>
      <c r="AP340" s="28">
        <v>0</v>
      </c>
      <c r="AQ340" s="28">
        <v>0.38311688311688308</v>
      </c>
      <c r="AR340" s="28">
        <v>0.53896103896103897</v>
      </c>
      <c r="AS340" s="28">
        <v>7.792207792207792E-2</v>
      </c>
      <c r="AT340" s="28">
        <v>0</v>
      </c>
      <c r="AU340" s="25">
        <v>0.95</v>
      </c>
      <c r="AV340" s="25">
        <v>3.44</v>
      </c>
      <c r="AW340" s="25">
        <v>2.4900000000000002</v>
      </c>
      <c r="AX340" s="25">
        <v>2.794285714285714</v>
      </c>
      <c r="AY340">
        <v>2.794285714285714</v>
      </c>
      <c r="AZ340">
        <v>6.7908553945945132</v>
      </c>
      <c r="BD340">
        <v>6.0114445248079663E-2</v>
      </c>
      <c r="BH340">
        <v>0.1202288904961593</v>
      </c>
      <c r="BI340">
        <v>6.0114445248079663E-2</v>
      </c>
      <c r="BJ340">
        <v>0</v>
      </c>
    </row>
    <row r="341" spans="1:62" x14ac:dyDescent="0.3">
      <c r="A341" s="2" t="s">
        <v>273</v>
      </c>
      <c r="B341" s="18" t="s">
        <v>982</v>
      </c>
      <c r="C341" s="13"/>
      <c r="F341" s="2">
        <v>3.31</v>
      </c>
      <c r="G341" s="2" t="s">
        <v>269</v>
      </c>
      <c r="H341" s="9">
        <v>-1</v>
      </c>
      <c r="I341">
        <v>-1</v>
      </c>
      <c r="J341"/>
      <c r="K341" s="2">
        <v>1</v>
      </c>
      <c r="L341" s="25">
        <v>0</v>
      </c>
      <c r="M341">
        <v>0</v>
      </c>
      <c r="N341">
        <v>0</v>
      </c>
      <c r="O341" s="2">
        <v>3.89</v>
      </c>
      <c r="P341" s="2">
        <v>3.89</v>
      </c>
      <c r="Q341" s="2">
        <v>22.41</v>
      </c>
      <c r="R341" s="2" t="s">
        <v>519</v>
      </c>
      <c r="T341" s="25">
        <v>0</v>
      </c>
      <c r="U341" s="25"/>
      <c r="V341" s="25"/>
      <c r="W341">
        <v>0</v>
      </c>
      <c r="Z341">
        <v>0</v>
      </c>
      <c r="AD341">
        <v>38</v>
      </c>
      <c r="AE341" s="55">
        <f t="shared" si="21"/>
        <v>339.11036100000001</v>
      </c>
      <c r="AF341" s="57">
        <v>0</v>
      </c>
      <c r="AG341" s="55">
        <v>0</v>
      </c>
      <c r="AH341" s="55">
        <v>0</v>
      </c>
      <c r="AI341" s="52">
        <f t="shared" si="23"/>
        <v>0.11205791497476539</v>
      </c>
      <c r="AJ341" s="51"/>
      <c r="AM341" s="28">
        <v>1.6578947368421051</v>
      </c>
      <c r="AN341" s="28">
        <v>2.236842105263158</v>
      </c>
      <c r="AO341" s="28">
        <v>0.31578947368421051</v>
      </c>
      <c r="AP341" s="28">
        <v>0</v>
      </c>
      <c r="AQ341" s="28">
        <v>0.39374999999999999</v>
      </c>
      <c r="AR341" s="28">
        <v>0.53125</v>
      </c>
      <c r="AS341" s="28">
        <v>7.4999999999999997E-2</v>
      </c>
      <c r="AT341" s="28">
        <v>0</v>
      </c>
      <c r="AU341" s="25">
        <v>0.95</v>
      </c>
      <c r="AV341" s="25">
        <v>3.44</v>
      </c>
      <c r="AW341" s="25">
        <v>2.4900000000000002</v>
      </c>
      <c r="AX341" s="25">
        <v>2.7565789473684208</v>
      </c>
      <c r="AY341">
        <v>2.7565789473684208</v>
      </c>
      <c r="AZ341">
        <v>6.7972150583292086</v>
      </c>
      <c r="BD341">
        <v>5.6028957487382687E-2</v>
      </c>
      <c r="BH341">
        <v>0.1120579149747654</v>
      </c>
      <c r="BI341">
        <v>5.6028957487382687E-2</v>
      </c>
      <c r="BJ341">
        <v>0</v>
      </c>
    </row>
    <row r="342" spans="1:62" x14ac:dyDescent="0.3">
      <c r="A342" s="2" t="s">
        <v>274</v>
      </c>
      <c r="B342" s="18" t="s">
        <v>981</v>
      </c>
      <c r="C342" s="13"/>
      <c r="F342" s="2">
        <v>3.32</v>
      </c>
      <c r="G342" s="2" t="s">
        <v>269</v>
      </c>
      <c r="H342" s="9">
        <v>-1</v>
      </c>
      <c r="I342">
        <v>-1</v>
      </c>
      <c r="J342"/>
      <c r="K342" s="2">
        <v>1</v>
      </c>
      <c r="L342" s="25">
        <v>0</v>
      </c>
      <c r="M342">
        <v>0</v>
      </c>
      <c r="N342">
        <v>0</v>
      </c>
      <c r="O342" s="2">
        <v>3.9</v>
      </c>
      <c r="P342" s="2">
        <v>3.9</v>
      </c>
      <c r="Q342" s="2">
        <v>25.55</v>
      </c>
      <c r="R342" s="2" t="s">
        <v>519</v>
      </c>
      <c r="T342" s="25">
        <v>0</v>
      </c>
      <c r="U342" s="25"/>
      <c r="V342" s="25"/>
      <c r="W342">
        <v>0</v>
      </c>
      <c r="Z342">
        <v>0</v>
      </c>
      <c r="AD342">
        <v>38</v>
      </c>
      <c r="AE342" s="55">
        <f t="shared" si="21"/>
        <v>388.6155</v>
      </c>
      <c r="AF342" s="57">
        <v>0</v>
      </c>
      <c r="AG342" s="55">
        <v>0</v>
      </c>
      <c r="AH342" s="55">
        <v>0</v>
      </c>
      <c r="AI342" s="52">
        <f t="shared" si="23"/>
        <v>9.7783027182394941E-2</v>
      </c>
      <c r="AJ342" s="51"/>
      <c r="AM342" s="28">
        <v>1.634146341463415</v>
      </c>
      <c r="AN342" s="28">
        <v>2.1219512195121948</v>
      </c>
      <c r="AO342" s="28">
        <v>0.29268292682926828</v>
      </c>
      <c r="AP342" s="28">
        <v>0</v>
      </c>
      <c r="AQ342" s="28">
        <v>0.40361445783132532</v>
      </c>
      <c r="AR342" s="28">
        <v>0.52409638554216864</v>
      </c>
      <c r="AS342" s="28">
        <v>7.2289156626506021E-2</v>
      </c>
      <c r="AT342" s="28">
        <v>0</v>
      </c>
      <c r="AU342" s="25">
        <v>0.95</v>
      </c>
      <c r="AV342" s="25">
        <v>3.44</v>
      </c>
      <c r="AW342" s="25">
        <v>2.4900000000000002</v>
      </c>
      <c r="AX342" s="25">
        <v>2.7243902439024388</v>
      </c>
      <c r="AY342">
        <v>2.7243902439024388</v>
      </c>
      <c r="AZ342">
        <v>6.8026440395661458</v>
      </c>
      <c r="BD342">
        <v>4.889151359119747E-2</v>
      </c>
      <c r="BH342">
        <v>9.7783027182394941E-2</v>
      </c>
      <c r="BI342">
        <v>4.889151359119747E-2</v>
      </c>
      <c r="BJ342">
        <v>0</v>
      </c>
    </row>
    <row r="343" spans="1:62" x14ac:dyDescent="0.3">
      <c r="A343" s="2" t="s">
        <v>275</v>
      </c>
      <c r="B343" s="18" t="s">
        <v>980</v>
      </c>
      <c r="C343" s="13"/>
      <c r="F343" s="2">
        <v>3.32</v>
      </c>
      <c r="G343" s="2" t="s">
        <v>269</v>
      </c>
      <c r="H343" s="9">
        <v>-1</v>
      </c>
      <c r="I343">
        <v>-1</v>
      </c>
      <c r="J343"/>
      <c r="K343" s="2">
        <v>1</v>
      </c>
      <c r="L343" s="25">
        <v>0</v>
      </c>
      <c r="M343">
        <v>0</v>
      </c>
      <c r="N343">
        <v>0</v>
      </c>
      <c r="O343" s="2">
        <v>3.93</v>
      </c>
      <c r="P343" s="2">
        <v>3.93</v>
      </c>
      <c r="Q343" s="2">
        <v>29.52</v>
      </c>
      <c r="R343" s="2" t="s">
        <v>519</v>
      </c>
      <c r="T343" s="25">
        <v>0</v>
      </c>
      <c r="U343" s="25"/>
      <c r="V343" s="25"/>
      <c r="W343">
        <v>0</v>
      </c>
      <c r="Z343">
        <v>0</v>
      </c>
      <c r="AD343">
        <v>38</v>
      </c>
      <c r="AE343" s="55">
        <f t="shared" si="21"/>
        <v>455.933448</v>
      </c>
      <c r="AF343" s="57">
        <v>0</v>
      </c>
      <c r="AG343" s="55">
        <v>0</v>
      </c>
      <c r="AH343" s="55">
        <v>0</v>
      </c>
      <c r="AI343" s="52">
        <f t="shared" si="23"/>
        <v>8.3345497389347059E-2</v>
      </c>
      <c r="AJ343" s="51"/>
      <c r="AM343" s="28">
        <v>1.595744680851064</v>
      </c>
      <c r="AN343" s="28">
        <v>1.936170212765957</v>
      </c>
      <c r="AO343" s="28">
        <v>0.25531914893617019</v>
      </c>
      <c r="AP343" s="28">
        <v>0</v>
      </c>
      <c r="AQ343" s="28">
        <v>0.42134831460674149</v>
      </c>
      <c r="AR343" s="28">
        <v>0.5112359550561798</v>
      </c>
      <c r="AS343" s="28">
        <v>6.741573033707865E-2</v>
      </c>
      <c r="AT343" s="28">
        <v>0</v>
      </c>
      <c r="AU343" s="25">
        <v>0.95</v>
      </c>
      <c r="AV343" s="25">
        <v>3.44</v>
      </c>
      <c r="AW343" s="25">
        <v>2.4900000000000002</v>
      </c>
      <c r="AX343" s="25">
        <v>2.6723404255319152</v>
      </c>
      <c r="AY343">
        <v>2.6723404255319152</v>
      </c>
      <c r="AZ343">
        <v>6.8114228177365099</v>
      </c>
      <c r="BD343">
        <v>4.167274869467353E-2</v>
      </c>
      <c r="BH343">
        <v>8.3345497389347059E-2</v>
      </c>
      <c r="BI343">
        <v>4.167274869467353E-2</v>
      </c>
      <c r="BJ343">
        <v>0</v>
      </c>
    </row>
    <row r="344" spans="1:62" x14ac:dyDescent="0.3">
      <c r="A344" s="2" t="s">
        <v>276</v>
      </c>
      <c r="B344" s="18" t="s">
        <v>979</v>
      </c>
      <c r="C344" s="13"/>
      <c r="F344" s="2">
        <v>3.32</v>
      </c>
      <c r="G344" s="2" t="s">
        <v>269</v>
      </c>
      <c r="H344" s="9">
        <v>-1</v>
      </c>
      <c r="I344">
        <v>-1</v>
      </c>
      <c r="J344"/>
      <c r="K344" s="2">
        <v>1</v>
      </c>
      <c r="L344" s="25">
        <v>0</v>
      </c>
      <c r="M344">
        <v>0</v>
      </c>
      <c r="N344">
        <v>0</v>
      </c>
      <c r="O344" s="2">
        <v>3.9</v>
      </c>
      <c r="P344" s="2">
        <v>3.9</v>
      </c>
      <c r="Q344" s="2">
        <v>33.729999999999997</v>
      </c>
      <c r="R344" s="2" t="s">
        <v>519</v>
      </c>
      <c r="T344" s="25">
        <v>0</v>
      </c>
      <c r="U344" s="25"/>
      <c r="V344" s="25"/>
      <c r="W344">
        <v>0</v>
      </c>
      <c r="Z344">
        <v>0</v>
      </c>
      <c r="AD344">
        <v>38</v>
      </c>
      <c r="AE344" s="55">
        <f t="shared" si="21"/>
        <v>513.03329999999994</v>
      </c>
      <c r="AF344" s="57">
        <v>0</v>
      </c>
      <c r="AG344" s="55">
        <v>0</v>
      </c>
      <c r="AH344" s="55">
        <v>0</v>
      </c>
      <c r="AI344" s="52">
        <f t="shared" si="23"/>
        <v>7.4069266069083636E-2</v>
      </c>
      <c r="AJ344" s="51"/>
      <c r="AM344" s="28">
        <v>1.5660377358490569</v>
      </c>
      <c r="AN344" s="28">
        <v>1.7924528301886791</v>
      </c>
      <c r="AO344" s="28">
        <v>0.22641509433962259</v>
      </c>
      <c r="AP344" s="28">
        <v>0</v>
      </c>
      <c r="AQ344" s="28">
        <v>0.43684210526315792</v>
      </c>
      <c r="AR344" s="28">
        <v>0.5</v>
      </c>
      <c r="AS344" s="28">
        <v>6.3157894736842107E-2</v>
      </c>
      <c r="AT344" s="28">
        <v>0</v>
      </c>
      <c r="AU344" s="25">
        <v>0.95</v>
      </c>
      <c r="AV344" s="25">
        <v>3.44</v>
      </c>
      <c r="AW344" s="25">
        <v>2.4900000000000002</v>
      </c>
      <c r="AX344" s="25">
        <v>2.6320754716981138</v>
      </c>
      <c r="AY344">
        <v>2.632075471698113</v>
      </c>
      <c r="AZ344">
        <v>6.8182139480192454</v>
      </c>
      <c r="BD344">
        <v>3.7034633034541818E-2</v>
      </c>
      <c r="BH344">
        <v>7.4069266069083636E-2</v>
      </c>
      <c r="BI344">
        <v>3.7034633034541818E-2</v>
      </c>
      <c r="BJ344">
        <v>0</v>
      </c>
    </row>
    <row r="345" spans="1:62" x14ac:dyDescent="0.3">
      <c r="A345" s="2" t="s">
        <v>277</v>
      </c>
      <c r="B345" s="18" t="s">
        <v>976</v>
      </c>
      <c r="C345" s="13"/>
      <c r="F345" s="2">
        <v>3.22</v>
      </c>
      <c r="G345" s="2" t="s">
        <v>269</v>
      </c>
      <c r="H345" s="9">
        <v>-1</v>
      </c>
      <c r="I345">
        <v>-1</v>
      </c>
      <c r="J345"/>
      <c r="K345" s="2">
        <v>2</v>
      </c>
      <c r="L345" s="25">
        <v>0</v>
      </c>
      <c r="M345">
        <v>0</v>
      </c>
      <c r="N345">
        <v>0</v>
      </c>
      <c r="O345" s="2">
        <v>3.9</v>
      </c>
      <c r="P345" s="2">
        <v>3.9</v>
      </c>
      <c r="Q345" s="2">
        <v>31.44</v>
      </c>
      <c r="R345" s="2" t="s">
        <v>519</v>
      </c>
      <c r="T345" s="25">
        <v>0</v>
      </c>
      <c r="U345" s="25"/>
      <c r="V345" s="25"/>
      <c r="W345">
        <v>0</v>
      </c>
      <c r="Z345">
        <v>0</v>
      </c>
      <c r="AD345">
        <v>40</v>
      </c>
      <c r="AE345" s="55">
        <f t="shared" si="21"/>
        <v>478.20240000000001</v>
      </c>
      <c r="AF345" s="57">
        <v>0</v>
      </c>
      <c r="AG345" s="55">
        <v>0</v>
      </c>
      <c r="AH345" s="55">
        <v>0</v>
      </c>
      <c r="AI345" s="52">
        <f t="shared" si="23"/>
        <v>0.16729317962435988</v>
      </c>
      <c r="AJ345" s="51"/>
      <c r="AM345" s="28">
        <v>1.75</v>
      </c>
      <c r="AN345" s="28">
        <v>2.65625</v>
      </c>
      <c r="AO345" s="28">
        <v>0.375</v>
      </c>
      <c r="AP345" s="28">
        <v>0</v>
      </c>
      <c r="AQ345" s="28">
        <v>0.36601307189542481</v>
      </c>
      <c r="AR345" s="28">
        <v>0.55555555555555558</v>
      </c>
      <c r="AS345" s="28">
        <v>7.8431372549019607E-2</v>
      </c>
      <c r="AT345" s="28">
        <v>0</v>
      </c>
      <c r="AU345" s="25">
        <v>0.95</v>
      </c>
      <c r="AV345" s="25">
        <v>3.44</v>
      </c>
      <c r="AW345" s="25">
        <v>2.4900000000000002</v>
      </c>
      <c r="AX345" s="25">
        <v>2.8778125000000001</v>
      </c>
      <c r="AY345">
        <v>2.8778125000000001</v>
      </c>
      <c r="AZ345">
        <v>6.7946490392267176</v>
      </c>
      <c r="BD345">
        <v>8.3646589812179942E-2</v>
      </c>
      <c r="BH345">
        <v>0.16729317962435991</v>
      </c>
      <c r="BI345">
        <v>8.3646589812179942E-2</v>
      </c>
      <c r="BJ345">
        <v>0</v>
      </c>
    </row>
    <row r="346" spans="1:62" x14ac:dyDescent="0.3">
      <c r="A346" s="2" t="s">
        <v>278</v>
      </c>
      <c r="B346" s="18" t="s">
        <v>984</v>
      </c>
      <c r="C346" s="13"/>
      <c r="F346" s="2">
        <v>3.25</v>
      </c>
      <c r="G346" s="2" t="s">
        <v>269</v>
      </c>
      <c r="H346" s="9">
        <v>-1</v>
      </c>
      <c r="I346">
        <v>-1</v>
      </c>
      <c r="J346"/>
      <c r="K346" s="2">
        <v>1</v>
      </c>
      <c r="L346" s="25">
        <v>0</v>
      </c>
      <c r="M346">
        <v>0</v>
      </c>
      <c r="N346">
        <v>0</v>
      </c>
      <c r="O346" s="2">
        <v>3.91</v>
      </c>
      <c r="P346" s="2">
        <v>3.91</v>
      </c>
      <c r="Q346" s="2">
        <v>18.2</v>
      </c>
      <c r="R346" s="2" t="s">
        <v>519</v>
      </c>
      <c r="T346" s="25">
        <v>0</v>
      </c>
      <c r="U346" s="25"/>
      <c r="V346" s="25"/>
      <c r="W346">
        <v>0</v>
      </c>
      <c r="Z346">
        <v>0</v>
      </c>
      <c r="AD346">
        <v>40</v>
      </c>
      <c r="AE346" s="55">
        <f t="shared" si="21"/>
        <v>278.24342000000001</v>
      </c>
      <c r="AF346" s="57">
        <v>0</v>
      </c>
      <c r="AG346" s="55">
        <v>0</v>
      </c>
      <c r="AH346" s="55">
        <v>0</v>
      </c>
      <c r="AI346" s="52">
        <f t="shared" si="23"/>
        <v>0.14375901503798363</v>
      </c>
      <c r="AJ346" s="51"/>
      <c r="AM346" s="28">
        <v>1.714285714285714</v>
      </c>
      <c r="AN346" s="28">
        <v>2.4857142857142862</v>
      </c>
      <c r="AO346" s="28">
        <v>0.34285714285714292</v>
      </c>
      <c r="AP346" s="28">
        <v>0</v>
      </c>
      <c r="AQ346" s="28">
        <v>0.37735849056603771</v>
      </c>
      <c r="AR346" s="28">
        <v>0.54716981132075471</v>
      </c>
      <c r="AS346" s="28">
        <v>7.5471698113207544E-2</v>
      </c>
      <c r="AT346" s="28">
        <v>0</v>
      </c>
      <c r="AU346" s="25">
        <v>0.95</v>
      </c>
      <c r="AV346" s="25">
        <v>3.44</v>
      </c>
      <c r="AW346" s="25">
        <v>2.4900000000000002</v>
      </c>
      <c r="AX346" s="25">
        <v>2.8297142857142861</v>
      </c>
      <c r="AY346">
        <v>2.8297142857142861</v>
      </c>
      <c r="AZ346">
        <v>6.8012286474559138</v>
      </c>
      <c r="BD346">
        <v>7.1879507518991817E-2</v>
      </c>
      <c r="BH346">
        <v>0.14375901503798361</v>
      </c>
      <c r="BI346">
        <v>7.1879507518991817E-2</v>
      </c>
      <c r="BJ346">
        <v>0</v>
      </c>
    </row>
    <row r="347" spans="1:62" x14ac:dyDescent="0.3">
      <c r="A347" s="2" t="s">
        <v>279</v>
      </c>
      <c r="B347" s="18" t="s">
        <v>985</v>
      </c>
      <c r="C347" s="13"/>
      <c r="F347" s="2">
        <v>3.27</v>
      </c>
      <c r="G347" s="2" t="s">
        <v>269</v>
      </c>
      <c r="H347" s="9">
        <v>-1</v>
      </c>
      <c r="I347">
        <v>-1</v>
      </c>
      <c r="J347"/>
      <c r="K347" s="2">
        <v>1</v>
      </c>
      <c r="L347" s="25">
        <v>0</v>
      </c>
      <c r="M347">
        <v>0</v>
      </c>
      <c r="N347">
        <v>0</v>
      </c>
      <c r="O347" s="2">
        <v>3.9</v>
      </c>
      <c r="P347" s="2">
        <v>3.9</v>
      </c>
      <c r="Q347" s="2">
        <v>20.25</v>
      </c>
      <c r="R347" s="2" t="s">
        <v>519</v>
      </c>
      <c r="T347" s="25">
        <v>0</v>
      </c>
      <c r="U347" s="25"/>
      <c r="V347" s="25"/>
      <c r="W347">
        <v>0</v>
      </c>
      <c r="Z347">
        <v>0</v>
      </c>
      <c r="AD347">
        <v>40</v>
      </c>
      <c r="AE347" s="55">
        <f t="shared" si="21"/>
        <v>308.0025</v>
      </c>
      <c r="AF347" s="57">
        <v>0</v>
      </c>
      <c r="AG347" s="55">
        <v>0</v>
      </c>
      <c r="AH347" s="55">
        <v>0</v>
      </c>
      <c r="AI347" s="52">
        <f t="shared" si="23"/>
        <v>0.12986907573802162</v>
      </c>
      <c r="AJ347" s="51"/>
      <c r="AM347" s="28">
        <v>1.6842105263157889</v>
      </c>
      <c r="AN347" s="28">
        <v>2.3421052631578951</v>
      </c>
      <c r="AO347" s="28">
        <v>0.31578947368421051</v>
      </c>
      <c r="AP347" s="28">
        <v>0</v>
      </c>
      <c r="AQ347" s="28">
        <v>0.38787878787878788</v>
      </c>
      <c r="AR347" s="28">
        <v>0.53939393939393943</v>
      </c>
      <c r="AS347" s="28">
        <v>7.2727272727272724E-2</v>
      </c>
      <c r="AT347" s="28">
        <v>0</v>
      </c>
      <c r="AU347" s="25">
        <v>0.95</v>
      </c>
      <c r="AV347" s="25">
        <v>3.44</v>
      </c>
      <c r="AW347" s="25">
        <v>2.4900000000000002</v>
      </c>
      <c r="AX347" s="25">
        <v>2.7892105263157898</v>
      </c>
      <c r="AY347">
        <v>2.7892105263157889</v>
      </c>
      <c r="AZ347">
        <v>6.8067693701752354</v>
      </c>
      <c r="BD347">
        <v>6.4934537869010808E-2</v>
      </c>
      <c r="BH347">
        <v>0.12986907573802159</v>
      </c>
      <c r="BI347">
        <v>6.4934537869010808E-2</v>
      </c>
      <c r="BJ347">
        <v>0</v>
      </c>
    </row>
    <row r="348" spans="1:62" x14ac:dyDescent="0.3">
      <c r="A348" s="2" t="s">
        <v>280</v>
      </c>
      <c r="B348" s="18" t="s">
        <v>986</v>
      </c>
      <c r="C348" s="13"/>
      <c r="F348" s="2">
        <v>3.3</v>
      </c>
      <c r="G348" s="2" t="s">
        <v>269</v>
      </c>
      <c r="H348" s="9">
        <v>-1</v>
      </c>
      <c r="I348">
        <v>-1</v>
      </c>
      <c r="J348"/>
      <c r="K348" s="2">
        <v>1</v>
      </c>
      <c r="L348" s="25">
        <v>0</v>
      </c>
      <c r="M348">
        <v>0</v>
      </c>
      <c r="N348">
        <v>0</v>
      </c>
      <c r="O348" s="2">
        <v>3.9</v>
      </c>
      <c r="P348" s="2">
        <v>3.9</v>
      </c>
      <c r="Q348" s="2">
        <v>22.01</v>
      </c>
      <c r="R348" s="2" t="s">
        <v>519</v>
      </c>
      <c r="T348" s="25">
        <v>0</v>
      </c>
      <c r="U348" s="25"/>
      <c r="V348" s="25"/>
      <c r="W348">
        <v>0</v>
      </c>
      <c r="Z348">
        <v>0</v>
      </c>
      <c r="AD348">
        <v>40</v>
      </c>
      <c r="AE348" s="55">
        <f t="shared" si="21"/>
        <v>334.77210000000002</v>
      </c>
      <c r="AF348" s="57">
        <v>0</v>
      </c>
      <c r="AG348" s="55">
        <v>0</v>
      </c>
      <c r="AH348" s="55">
        <v>0</v>
      </c>
      <c r="AI348" s="52">
        <f t="shared" si="23"/>
        <v>0.11948427004520387</v>
      </c>
      <c r="AJ348" s="51"/>
      <c r="AM348" s="28">
        <v>1.658536585365854</v>
      </c>
      <c r="AN348" s="28">
        <v>2.219512195121951</v>
      </c>
      <c r="AO348" s="28">
        <v>0.29268292682926828</v>
      </c>
      <c r="AP348" s="28">
        <v>0</v>
      </c>
      <c r="AQ348" s="28">
        <v>0.39766081871345033</v>
      </c>
      <c r="AR348" s="28">
        <v>0.53216374269005851</v>
      </c>
      <c r="AS348" s="28">
        <v>7.0175438596491224E-2</v>
      </c>
      <c r="AT348" s="28">
        <v>0</v>
      </c>
      <c r="AU348" s="25">
        <v>0.95</v>
      </c>
      <c r="AV348" s="25">
        <v>3.44</v>
      </c>
      <c r="AW348" s="25">
        <v>2.4900000000000002</v>
      </c>
      <c r="AX348" s="25">
        <v>2.7546341463414641</v>
      </c>
      <c r="AY348">
        <v>2.7546341463414632</v>
      </c>
      <c r="AZ348">
        <v>6.8114992554234393</v>
      </c>
      <c r="BD348">
        <v>5.9742135022601943E-2</v>
      </c>
      <c r="BH348">
        <v>0.1194842700452039</v>
      </c>
      <c r="BI348">
        <v>5.9742135022601943E-2</v>
      </c>
      <c r="BJ348">
        <v>0</v>
      </c>
    </row>
    <row r="349" spans="1:62" x14ac:dyDescent="0.3">
      <c r="A349" s="2" t="s">
        <v>281</v>
      </c>
      <c r="B349" s="18" t="s">
        <v>987</v>
      </c>
      <c r="C349" s="13"/>
      <c r="F349" s="2">
        <v>3.3</v>
      </c>
      <c r="G349" s="2" t="s">
        <v>269</v>
      </c>
      <c r="H349" s="9">
        <v>-1</v>
      </c>
      <c r="I349">
        <v>-1</v>
      </c>
      <c r="J349"/>
      <c r="K349" s="2">
        <v>1</v>
      </c>
      <c r="L349" s="25">
        <v>0</v>
      </c>
      <c r="M349">
        <v>0</v>
      </c>
      <c r="N349">
        <v>0</v>
      </c>
      <c r="O349" s="2">
        <v>3.9</v>
      </c>
      <c r="P349" s="2">
        <v>3.9</v>
      </c>
      <c r="Q349" s="2">
        <v>25.65</v>
      </c>
      <c r="R349" s="2" t="s">
        <v>519</v>
      </c>
      <c r="T349" s="25">
        <v>0</v>
      </c>
      <c r="U349" s="25"/>
      <c r="V349" s="25"/>
      <c r="W349">
        <v>0</v>
      </c>
      <c r="Z349">
        <v>0</v>
      </c>
      <c r="AD349">
        <v>40</v>
      </c>
      <c r="AE349" s="55">
        <f t="shared" si="21"/>
        <v>390.13649999999996</v>
      </c>
      <c r="AF349" s="57">
        <v>0</v>
      </c>
      <c r="AG349" s="55">
        <v>0</v>
      </c>
      <c r="AH349" s="55">
        <v>0</v>
      </c>
      <c r="AI349" s="52">
        <f t="shared" si="23"/>
        <v>0.1025282176879118</v>
      </c>
      <c r="AJ349" s="51"/>
      <c r="AM349" s="28">
        <v>1.617021276595745</v>
      </c>
      <c r="AN349" s="28">
        <v>2.021276595744681</v>
      </c>
      <c r="AO349" s="28">
        <v>0.25531914893617019</v>
      </c>
      <c r="AP349" s="28">
        <v>0</v>
      </c>
      <c r="AQ349" s="28">
        <v>0.41530054644808739</v>
      </c>
      <c r="AR349" s="28">
        <v>0.51912568306010931</v>
      </c>
      <c r="AS349" s="28">
        <v>6.5573770491803268E-2</v>
      </c>
      <c r="AT349" s="28">
        <v>0</v>
      </c>
      <c r="AU349" s="25">
        <v>0.95</v>
      </c>
      <c r="AV349" s="25">
        <v>3.44</v>
      </c>
      <c r="AW349" s="25">
        <v>2.4900000000000002</v>
      </c>
      <c r="AX349" s="25">
        <v>2.6987234042553192</v>
      </c>
      <c r="AY349">
        <v>2.6987234042553192</v>
      </c>
      <c r="AZ349">
        <v>6.8191475805056392</v>
      </c>
      <c r="BD349">
        <v>5.1264108843955901E-2</v>
      </c>
      <c r="BH349">
        <v>0.1025282176879118</v>
      </c>
      <c r="BI349">
        <v>5.1264108843955901E-2</v>
      </c>
      <c r="BJ349">
        <v>0</v>
      </c>
    </row>
    <row r="350" spans="1:62" x14ac:dyDescent="0.3">
      <c r="A350" s="2" t="s">
        <v>276</v>
      </c>
      <c r="B350" s="18" t="s">
        <v>988</v>
      </c>
      <c r="C350" s="13"/>
      <c r="F350" s="2">
        <v>3.34</v>
      </c>
      <c r="G350" s="2" t="s">
        <v>269</v>
      </c>
      <c r="H350" s="9">
        <v>-1</v>
      </c>
      <c r="I350">
        <v>-1</v>
      </c>
      <c r="J350"/>
      <c r="K350" s="2">
        <v>1</v>
      </c>
      <c r="L350" s="25">
        <v>0</v>
      </c>
      <c r="M350">
        <v>0</v>
      </c>
      <c r="N350">
        <v>0</v>
      </c>
      <c r="O350" s="2">
        <v>3.89</v>
      </c>
      <c r="P350" s="2">
        <v>3.89</v>
      </c>
      <c r="Q350" s="2">
        <v>33.799999999999997</v>
      </c>
      <c r="R350" s="2" t="s">
        <v>519</v>
      </c>
      <c r="T350" s="25">
        <v>0</v>
      </c>
      <c r="U350" s="25"/>
      <c r="V350" s="25"/>
      <c r="W350">
        <v>0</v>
      </c>
      <c r="Z350">
        <v>0</v>
      </c>
      <c r="AD350">
        <v>40</v>
      </c>
      <c r="AE350" s="55">
        <f t="shared" si="21"/>
        <v>511.46498000000003</v>
      </c>
      <c r="AF350" s="57">
        <v>0</v>
      </c>
      <c r="AG350" s="55">
        <v>0</v>
      </c>
      <c r="AH350" s="55">
        <v>0</v>
      </c>
      <c r="AI350" s="52">
        <f t="shared" si="23"/>
        <v>7.8206722970554116E-2</v>
      </c>
      <c r="AJ350" s="51"/>
      <c r="AM350" s="28">
        <v>1.584905660377359</v>
      </c>
      <c r="AN350" s="28">
        <v>1.867924528301887</v>
      </c>
      <c r="AO350" s="28">
        <v>0.22641509433962259</v>
      </c>
      <c r="AP350" s="28">
        <v>0</v>
      </c>
      <c r="AQ350" s="28">
        <v>0.43076923076923079</v>
      </c>
      <c r="AR350" s="28">
        <v>0.50769230769230778</v>
      </c>
      <c r="AS350" s="28">
        <v>6.1538461538461542E-2</v>
      </c>
      <c r="AT350" s="28">
        <v>0</v>
      </c>
      <c r="AU350" s="25">
        <v>0.95</v>
      </c>
      <c r="AV350" s="25">
        <v>3.44</v>
      </c>
      <c r="AW350" s="25">
        <v>2.4900000000000002</v>
      </c>
      <c r="AX350" s="25">
        <v>2.655471698113208</v>
      </c>
      <c r="AY350">
        <v>2.655471698113208</v>
      </c>
      <c r="AZ350">
        <v>6.8250642093428109</v>
      </c>
      <c r="BD350">
        <v>3.9103361485277058E-2</v>
      </c>
      <c r="BH350">
        <v>7.8206722970554116E-2</v>
      </c>
      <c r="BI350">
        <v>3.9103361485277058E-2</v>
      </c>
      <c r="BJ350">
        <v>0</v>
      </c>
    </row>
    <row r="351" spans="1:62" x14ac:dyDescent="0.3">
      <c r="A351" s="2" t="s">
        <v>282</v>
      </c>
      <c r="B351" s="13" t="s">
        <v>821</v>
      </c>
      <c r="C351" s="13"/>
      <c r="F351" s="2">
        <v>3.5</v>
      </c>
      <c r="G351" s="2" t="s">
        <v>283</v>
      </c>
      <c r="H351" s="9" t="s">
        <v>597</v>
      </c>
      <c r="I351">
        <v>-1</v>
      </c>
      <c r="J351"/>
      <c r="L351" s="25">
        <v>1</v>
      </c>
      <c r="M351">
        <v>0</v>
      </c>
      <c r="N351">
        <v>0</v>
      </c>
      <c r="T351" s="25">
        <v>13.656835900000001</v>
      </c>
      <c r="U351" s="25">
        <v>13.656835900000001</v>
      </c>
      <c r="V351" s="25">
        <v>13.656835900000001</v>
      </c>
      <c r="W351">
        <v>0</v>
      </c>
      <c r="Z351">
        <v>0</v>
      </c>
      <c r="AD351">
        <v>20</v>
      </c>
      <c r="AE351" s="55">
        <f t="shared" si="21"/>
        <v>0</v>
      </c>
      <c r="AF351" s="57">
        <v>201.0880346354428</v>
      </c>
      <c r="AG351" s="55">
        <v>0</v>
      </c>
      <c r="AH351" s="55">
        <v>0</v>
      </c>
      <c r="AJ351" s="51">
        <v>9.9458926217357829E-2</v>
      </c>
      <c r="AM351" s="28">
        <v>1.882352941176471</v>
      </c>
      <c r="AN351" s="28">
        <v>2.3529411764705879</v>
      </c>
      <c r="AO351" s="28">
        <v>0.47058823529411759</v>
      </c>
      <c r="AP351" s="28">
        <v>0</v>
      </c>
      <c r="AQ351" s="28">
        <v>0.4</v>
      </c>
      <c r="AR351" s="28">
        <v>0.5</v>
      </c>
      <c r="AS351" s="28">
        <v>9.9999999999999992E-2</v>
      </c>
      <c r="AT351" s="28">
        <v>0</v>
      </c>
      <c r="AU351" s="25">
        <v>0.98</v>
      </c>
      <c r="AV351" s="25">
        <v>3.44</v>
      </c>
      <c r="AW351" s="25">
        <v>2.46</v>
      </c>
      <c r="AX351" s="25">
        <v>2.54</v>
      </c>
      <c r="AY351">
        <v>2.54</v>
      </c>
      <c r="AZ351">
        <v>5.758559377411764</v>
      </c>
      <c r="BA351" s="75">
        <v>0.53996993008785332</v>
      </c>
      <c r="BE351">
        <v>4.9729463108678908E-2</v>
      </c>
      <c r="BH351">
        <v>9.9458926217357829E-2</v>
      </c>
      <c r="BI351">
        <v>4.9729463108678908E-2</v>
      </c>
      <c r="BJ351">
        <v>0.53996993008785332</v>
      </c>
    </row>
    <row r="352" spans="1:62" x14ac:dyDescent="0.3">
      <c r="A352" s="2" t="s">
        <v>284</v>
      </c>
      <c r="B352" s="13" t="s">
        <v>822</v>
      </c>
      <c r="C352" s="13"/>
      <c r="F352" s="2">
        <v>3.3</v>
      </c>
      <c r="G352" s="2" t="s">
        <v>283</v>
      </c>
      <c r="H352" s="9" t="s">
        <v>598</v>
      </c>
      <c r="I352" t="s">
        <v>670</v>
      </c>
      <c r="J352"/>
      <c r="L352" s="25">
        <v>1</v>
      </c>
      <c r="M352">
        <v>2</v>
      </c>
      <c r="N352">
        <v>0</v>
      </c>
      <c r="T352" s="25">
        <v>14.696413339999999</v>
      </c>
      <c r="U352" s="25">
        <v>14.696413339999999</v>
      </c>
      <c r="V352" s="25">
        <v>14.696413339999999</v>
      </c>
      <c r="W352">
        <v>3.83528</v>
      </c>
      <c r="X352">
        <v>3.83528</v>
      </c>
      <c r="Y352">
        <v>28.573699999999999</v>
      </c>
      <c r="Z352">
        <v>0</v>
      </c>
      <c r="AD352">
        <v>20</v>
      </c>
      <c r="AE352" s="55">
        <f t="shared" si="21"/>
        <v>0</v>
      </c>
      <c r="AF352" s="57">
        <v>216.40687730768099</v>
      </c>
      <c r="AG352" s="55">
        <v>420.30120210079798</v>
      </c>
      <c r="AH352" s="55">
        <v>0</v>
      </c>
      <c r="AJ352" s="51">
        <v>9.2418504665009241E-2</v>
      </c>
      <c r="AK352" s="52">
        <v>9.516984438794697E-2</v>
      </c>
      <c r="AM352" s="28">
        <v>1.882352941176471</v>
      </c>
      <c r="AN352" s="28">
        <v>2.3529411764705879</v>
      </c>
      <c r="AO352" s="28">
        <v>0.47058823529411759</v>
      </c>
      <c r="AP352" s="28">
        <v>0</v>
      </c>
      <c r="AQ352" s="28">
        <v>0.4</v>
      </c>
      <c r="AR352" s="28">
        <v>0.5</v>
      </c>
      <c r="AS352" s="28">
        <v>9.9999999999999992E-2</v>
      </c>
      <c r="AT352" s="28">
        <v>0</v>
      </c>
      <c r="AU352" s="25">
        <v>0.93</v>
      </c>
      <c r="AV352" s="25">
        <v>3.44</v>
      </c>
      <c r="AW352" s="25">
        <v>2.5099999999999998</v>
      </c>
      <c r="AX352" s="25">
        <v>2.534117647058824</v>
      </c>
      <c r="AY352">
        <v>2.534117647058824</v>
      </c>
      <c r="AZ352">
        <v>5.7395734358823516</v>
      </c>
      <c r="BA352" s="75">
        <v>0.5339514578906801</v>
      </c>
      <c r="BB352" s="75">
        <v>0.54984742874132453</v>
      </c>
      <c r="BE352">
        <v>4.6209252332504627E-2</v>
      </c>
      <c r="BF352">
        <v>4.7584922193973492E-2</v>
      </c>
      <c r="BH352">
        <v>9.3794174526478105E-2</v>
      </c>
      <c r="BI352">
        <v>4.689708726323906E-2</v>
      </c>
      <c r="BJ352">
        <v>0.54189944331600226</v>
      </c>
    </row>
    <row r="353" spans="1:62" x14ac:dyDescent="0.3">
      <c r="A353" s="2" t="s">
        <v>44</v>
      </c>
      <c r="B353" s="13" t="s">
        <v>720</v>
      </c>
      <c r="C353" s="13"/>
      <c r="F353" s="2">
        <v>3.2</v>
      </c>
      <c r="G353" s="2" t="s">
        <v>283</v>
      </c>
      <c r="H353" s="9" t="s">
        <v>549</v>
      </c>
      <c r="I353">
        <v>-1</v>
      </c>
      <c r="J353"/>
      <c r="L353" s="25">
        <v>1</v>
      </c>
      <c r="M353">
        <v>0</v>
      </c>
      <c r="N353">
        <v>0</v>
      </c>
      <c r="T353" s="25">
        <v>15.28115725</v>
      </c>
      <c r="U353" s="25">
        <v>15.28115725</v>
      </c>
      <c r="V353" s="25">
        <v>15.28115725</v>
      </c>
      <c r="W353">
        <v>0</v>
      </c>
      <c r="Z353">
        <v>0</v>
      </c>
      <c r="AD353">
        <v>20</v>
      </c>
      <c r="AE353" s="55">
        <f t="shared" si="21"/>
        <v>0</v>
      </c>
      <c r="AF353" s="57">
        <v>229.90248606119221</v>
      </c>
      <c r="AG353" s="55">
        <v>0</v>
      </c>
      <c r="AH353" s="55">
        <v>0</v>
      </c>
      <c r="AJ353" s="51">
        <v>8.6993404650164072E-2</v>
      </c>
      <c r="AM353" s="28">
        <v>1.882352941176471</v>
      </c>
      <c r="AN353" s="28">
        <v>2.3529411764705879</v>
      </c>
      <c r="AO353" s="28">
        <v>0.47058823529411759</v>
      </c>
      <c r="AP353" s="28">
        <v>0</v>
      </c>
      <c r="AQ353" s="28">
        <v>0.4</v>
      </c>
      <c r="AR353" s="28">
        <v>0.5</v>
      </c>
      <c r="AS353" s="28">
        <v>9.9999999999999992E-2</v>
      </c>
      <c r="AT353" s="28">
        <v>0</v>
      </c>
      <c r="AU353" s="25">
        <v>0.82</v>
      </c>
      <c r="AV353" s="25">
        <v>3.44</v>
      </c>
      <c r="AW353" s="25">
        <v>2.62</v>
      </c>
      <c r="AX353" s="25">
        <v>2.5211764705882351</v>
      </c>
      <c r="AY353">
        <v>2.521176470588236</v>
      </c>
      <c r="AZ353">
        <v>5.6898745917647062</v>
      </c>
      <c r="BA353" s="75">
        <v>0.57369840599679445</v>
      </c>
      <c r="BE353">
        <v>4.3496702325082043E-2</v>
      </c>
      <c r="BH353">
        <v>8.6993404650164072E-2</v>
      </c>
      <c r="BI353">
        <v>4.3496702325082043E-2</v>
      </c>
      <c r="BJ353">
        <v>0.57369840599679445</v>
      </c>
    </row>
    <row r="354" spans="1:62" x14ac:dyDescent="0.3">
      <c r="A354" s="5" t="s">
        <v>285</v>
      </c>
      <c r="B354" s="39" t="s">
        <v>823</v>
      </c>
      <c r="C354" s="39"/>
      <c r="D354" s="5"/>
      <c r="E354" s="5"/>
      <c r="F354" s="5">
        <v>3.6</v>
      </c>
      <c r="G354" s="5" t="s">
        <v>283</v>
      </c>
      <c r="H354" s="40">
        <v>-2</v>
      </c>
      <c r="I354" s="5">
        <v>-1</v>
      </c>
      <c r="J354" s="5"/>
      <c r="K354" s="5"/>
      <c r="L354" s="41">
        <v>0</v>
      </c>
      <c r="M354">
        <v>0</v>
      </c>
      <c r="N354">
        <v>0</v>
      </c>
      <c r="O354" s="5">
        <v>-1</v>
      </c>
      <c r="P354" s="5"/>
      <c r="Q354" s="5"/>
      <c r="R354" s="5"/>
      <c r="S354" s="5"/>
      <c r="T354" s="41">
        <v>0</v>
      </c>
      <c r="U354" s="41"/>
      <c r="V354" s="41"/>
      <c r="W354">
        <v>0</v>
      </c>
      <c r="Z354">
        <v>0</v>
      </c>
      <c r="AC354" s="5"/>
      <c r="AD354" s="5">
        <v>20</v>
      </c>
      <c r="AE354" s="55">
        <f t="shared" si="21"/>
        <v>0</v>
      </c>
      <c r="AF354" s="57">
        <v>0</v>
      </c>
      <c r="AG354" s="55">
        <v>0</v>
      </c>
      <c r="AH354" s="55">
        <v>0</v>
      </c>
      <c r="AJ354" s="51"/>
      <c r="AM354" s="5">
        <v>1.882352941176471</v>
      </c>
      <c r="AN354" s="5">
        <v>2.3529411764705879</v>
      </c>
      <c r="AO354" s="5">
        <v>0.35294117647058831</v>
      </c>
      <c r="AP354" s="5">
        <v>0.47058823529411759</v>
      </c>
      <c r="AQ354" s="5">
        <v>0.37209302325581389</v>
      </c>
      <c r="AR354" s="5">
        <v>0.46511627906976749</v>
      </c>
      <c r="AS354" s="5">
        <v>6.9767441860465129E-2</v>
      </c>
      <c r="AT354" s="5">
        <v>9.3023255813953487E-2</v>
      </c>
      <c r="AU354" s="41">
        <v>0.98</v>
      </c>
      <c r="AV354" s="41">
        <v>3.44</v>
      </c>
      <c r="AW354" s="41">
        <v>2.46</v>
      </c>
      <c r="AX354" s="41">
        <v>2.5447058823529409</v>
      </c>
      <c r="AY354" s="5">
        <v>2.5447058823529409</v>
      </c>
      <c r="AZ354" s="5">
        <v>5.7284445009411762</v>
      </c>
      <c r="BH354">
        <v>0</v>
      </c>
      <c r="BI354">
        <v>0</v>
      </c>
      <c r="BJ354">
        <v>0</v>
      </c>
    </row>
    <row r="355" spans="1:62" x14ac:dyDescent="0.3">
      <c r="A355" s="2" t="s">
        <v>286</v>
      </c>
      <c r="B355" s="13" t="s">
        <v>824</v>
      </c>
      <c r="C355" s="13"/>
      <c r="F355" s="2">
        <v>3.4</v>
      </c>
      <c r="G355" s="2" t="s">
        <v>283</v>
      </c>
      <c r="H355" s="9" t="s">
        <v>599</v>
      </c>
      <c r="I355">
        <v>-1</v>
      </c>
      <c r="J355"/>
      <c r="L355" s="25">
        <v>1</v>
      </c>
      <c r="M355">
        <v>0</v>
      </c>
      <c r="N355">
        <v>0</v>
      </c>
      <c r="T355" s="25">
        <v>14.64115209</v>
      </c>
      <c r="U355" s="25">
        <v>14.64115209</v>
      </c>
      <c r="V355" s="25">
        <v>14.64115209</v>
      </c>
      <c r="W355">
        <v>0</v>
      </c>
      <c r="Z355">
        <v>0</v>
      </c>
      <c r="AD355">
        <v>20</v>
      </c>
      <c r="AE355" s="55">
        <f t="shared" si="21"/>
        <v>0</v>
      </c>
      <c r="AF355" s="57">
        <v>213.3423200442661</v>
      </c>
      <c r="AG355" s="55">
        <v>0</v>
      </c>
      <c r="AH355" s="55">
        <v>0</v>
      </c>
      <c r="AJ355" s="51">
        <v>9.374605092815258E-2</v>
      </c>
      <c r="AM355" s="28">
        <v>1.882352941176471</v>
      </c>
      <c r="AN355" s="28">
        <v>2.3529411764705879</v>
      </c>
      <c r="AO355" s="28">
        <v>0.35294117647058831</v>
      </c>
      <c r="AP355" s="28">
        <v>0.47058823529411759</v>
      </c>
      <c r="AQ355" s="28">
        <v>0.37209302325581389</v>
      </c>
      <c r="AR355" s="28">
        <v>0.46511627906976749</v>
      </c>
      <c r="AS355" s="28">
        <v>6.9767441860465129E-2</v>
      </c>
      <c r="AT355" s="28">
        <v>9.3023255813953487E-2</v>
      </c>
      <c r="AU355" s="25">
        <v>0.93</v>
      </c>
      <c r="AV355" s="25">
        <v>3.44</v>
      </c>
      <c r="AW355" s="25">
        <v>2.5099999999999998</v>
      </c>
      <c r="AX355" s="25">
        <v>2.538823529411764</v>
      </c>
      <c r="AY355">
        <v>2.5388235294117649</v>
      </c>
      <c r="AZ355">
        <v>5.7094585594117646</v>
      </c>
      <c r="BA355" s="75">
        <v>0.53401936473899148</v>
      </c>
      <c r="BE355">
        <v>4.6873025464076297E-2</v>
      </c>
      <c r="BH355">
        <v>9.374605092815258E-2</v>
      </c>
      <c r="BI355">
        <v>4.6873025464076297E-2</v>
      </c>
      <c r="BJ355">
        <v>0.53401936473899148</v>
      </c>
    </row>
    <row r="356" spans="1:62" x14ac:dyDescent="0.3">
      <c r="A356" s="2" t="s">
        <v>287</v>
      </c>
      <c r="B356" s="13" t="s">
        <v>825</v>
      </c>
      <c r="C356" s="13"/>
      <c r="F356" s="2">
        <v>3.3</v>
      </c>
      <c r="G356" s="2" t="s">
        <v>283</v>
      </c>
      <c r="H356" s="9" t="s">
        <v>600</v>
      </c>
      <c r="I356" t="s">
        <v>671</v>
      </c>
      <c r="J356"/>
      <c r="L356" s="25">
        <v>1</v>
      </c>
      <c r="M356">
        <v>2</v>
      </c>
      <c r="N356">
        <v>0</v>
      </c>
      <c r="T356" s="25">
        <v>15.19820412</v>
      </c>
      <c r="U356" s="25">
        <v>15.194836840000001</v>
      </c>
      <c r="V356" s="25">
        <v>3.9043439100000001</v>
      </c>
      <c r="W356">
        <v>3.8588</v>
      </c>
      <c r="X356">
        <v>3.8588</v>
      </c>
      <c r="Y356">
        <v>29.656099999999999</v>
      </c>
      <c r="Z356">
        <v>0</v>
      </c>
      <c r="AD356">
        <v>20</v>
      </c>
      <c r="AE356" s="55">
        <f t="shared" si="21"/>
        <v>0</v>
      </c>
      <c r="AF356" s="57">
        <v>227.79419475650769</v>
      </c>
      <c r="AG356" s="55">
        <v>441.58933615438389</v>
      </c>
      <c r="AH356" s="55">
        <v>0</v>
      </c>
      <c r="AJ356" s="51">
        <v>8.7798550008608742E-2</v>
      </c>
      <c r="AK356" s="52">
        <v>9.0581897534807332E-2</v>
      </c>
      <c r="AM356" s="28">
        <v>1.882352941176471</v>
      </c>
      <c r="AN356" s="28">
        <v>2.3529411764705879</v>
      </c>
      <c r="AO356" s="28">
        <v>0.35294117647058831</v>
      </c>
      <c r="AP356" s="28">
        <v>0.47058823529411759</v>
      </c>
      <c r="AQ356" s="28">
        <v>0.37209302325581389</v>
      </c>
      <c r="AR356" s="28">
        <v>0.46511627906976749</v>
      </c>
      <c r="AS356" s="28">
        <v>6.9767441860465129E-2</v>
      </c>
      <c r="AT356" s="28">
        <v>9.3023255813953487E-2</v>
      </c>
      <c r="AU356" s="25">
        <v>0.82</v>
      </c>
      <c r="AV356" s="25">
        <v>3.44</v>
      </c>
      <c r="AW356" s="25">
        <v>2.62</v>
      </c>
      <c r="AX356" s="25">
        <v>2.525882352941176</v>
      </c>
      <c r="AY356">
        <v>2.525882352941176</v>
      </c>
      <c r="AZ356">
        <v>5.6597597152941184</v>
      </c>
      <c r="BA356" s="75">
        <v>0.57188837719605823</v>
      </c>
      <c r="BB356" s="75">
        <v>0</v>
      </c>
      <c r="BE356">
        <v>4.3899275004304371E-2</v>
      </c>
      <c r="BF356">
        <v>4.5290948767403673E-2</v>
      </c>
      <c r="BH356">
        <v>8.9190223771708044E-2</v>
      </c>
      <c r="BI356">
        <v>4.4595111885854022E-2</v>
      </c>
      <c r="BJ356">
        <v>0.28594418859802911</v>
      </c>
    </row>
    <row r="357" spans="1:62" x14ac:dyDescent="0.3">
      <c r="A357" s="2" t="s">
        <v>4</v>
      </c>
      <c r="B357" s="13" t="s">
        <v>689</v>
      </c>
      <c r="C357" s="13"/>
      <c r="F357" s="2">
        <v>3.26</v>
      </c>
      <c r="G357" s="2" t="s">
        <v>290</v>
      </c>
      <c r="H357" s="9" t="s">
        <v>527</v>
      </c>
      <c r="I357" t="s">
        <v>609</v>
      </c>
      <c r="J357"/>
      <c r="L357" s="25">
        <v>4</v>
      </c>
      <c r="M357">
        <v>4</v>
      </c>
      <c r="N357">
        <v>0</v>
      </c>
      <c r="T357" s="25">
        <v>7.8084429999999996</v>
      </c>
      <c r="U357" s="25">
        <v>7.8548809999999998</v>
      </c>
      <c r="V357" s="25">
        <v>15.19056011</v>
      </c>
      <c r="W357">
        <v>3.8801999999999999</v>
      </c>
      <c r="X357">
        <v>29.507999999999999</v>
      </c>
      <c r="Y357">
        <v>7.7140000000000004</v>
      </c>
      <c r="Z357">
        <v>0</v>
      </c>
      <c r="AD357">
        <v>20</v>
      </c>
      <c r="AE357" s="55">
        <f t="shared" si="21"/>
        <v>0</v>
      </c>
      <c r="AF357" s="57">
        <v>924.74694800021894</v>
      </c>
      <c r="AG357" s="55">
        <v>883.22940750240002</v>
      </c>
      <c r="AH357" s="55">
        <v>0</v>
      </c>
      <c r="AJ357" s="51">
        <v>8.6510153045653584E-2</v>
      </c>
      <c r="AK357" s="52">
        <v>9.0576694254581439E-2</v>
      </c>
      <c r="AM357" s="28">
        <v>1.75</v>
      </c>
      <c r="AN357" s="28">
        <v>2.5</v>
      </c>
      <c r="AO357" s="28">
        <v>0.75</v>
      </c>
      <c r="AP357" s="28">
        <v>0</v>
      </c>
      <c r="AQ357" s="28">
        <v>0.35</v>
      </c>
      <c r="AR357" s="28">
        <v>0.5</v>
      </c>
      <c r="AS357" s="28">
        <v>0.15</v>
      </c>
      <c r="AT357" s="28">
        <v>0</v>
      </c>
      <c r="AU357" s="25">
        <v>0.82</v>
      </c>
      <c r="AV357" s="25">
        <v>3.44</v>
      </c>
      <c r="AW357" s="25">
        <v>2.62</v>
      </c>
      <c r="AX357" s="25">
        <v>2.6262500000000002</v>
      </c>
      <c r="AY357">
        <v>2.6262500000000002</v>
      </c>
      <c r="AZ357">
        <v>5.96680968125</v>
      </c>
      <c r="BA357" s="75">
        <v>0.50555206026575039</v>
      </c>
      <c r="BB357" s="75">
        <v>0</v>
      </c>
      <c r="BE357">
        <v>4.3255076522826792E-2</v>
      </c>
      <c r="BF357">
        <v>4.5288347127290719E-2</v>
      </c>
      <c r="BH357">
        <v>8.8543423650117511E-2</v>
      </c>
      <c r="BI357">
        <v>4.4271711825058763E-2</v>
      </c>
      <c r="BJ357">
        <v>0.2527760301328752</v>
      </c>
    </row>
    <row r="358" spans="1:62" x14ac:dyDescent="0.3">
      <c r="A358" s="1" t="s">
        <v>288</v>
      </c>
      <c r="B358" s="13" t="s">
        <v>689</v>
      </c>
      <c r="C358" s="15"/>
      <c r="D358" s="1" t="s">
        <v>676</v>
      </c>
      <c r="E358" s="1" t="s">
        <v>1067</v>
      </c>
      <c r="F358" s="1">
        <v>2.4700000000000002</v>
      </c>
      <c r="G358" s="1" t="s">
        <v>290</v>
      </c>
      <c r="H358" s="9" t="s">
        <v>527</v>
      </c>
      <c r="I358" t="s">
        <v>609</v>
      </c>
      <c r="J358"/>
      <c r="K358" s="1"/>
      <c r="L358" s="25">
        <v>4</v>
      </c>
      <c r="M358">
        <v>4</v>
      </c>
      <c r="N358">
        <v>0</v>
      </c>
      <c r="O358" s="1"/>
      <c r="P358" s="1"/>
      <c r="Q358" s="1"/>
      <c r="R358" s="1"/>
      <c r="S358" s="1"/>
      <c r="T358" s="25">
        <v>7.8084429999999996</v>
      </c>
      <c r="U358" s="25">
        <v>7.8548809999999998</v>
      </c>
      <c r="V358" s="25">
        <v>15.19056011</v>
      </c>
      <c r="W358">
        <v>3.8801999999999999</v>
      </c>
      <c r="X358">
        <v>29.507999999999999</v>
      </c>
      <c r="Y358">
        <v>7.7140000000000004</v>
      </c>
      <c r="Z358">
        <v>0</v>
      </c>
      <c r="AC358" s="1"/>
      <c r="AD358">
        <v>20</v>
      </c>
      <c r="AE358" s="55">
        <f t="shared" si="21"/>
        <v>0</v>
      </c>
      <c r="AF358" s="57">
        <v>924.74694800021894</v>
      </c>
      <c r="AG358" s="55">
        <v>883.22940750240002</v>
      </c>
      <c r="AH358" s="55">
        <v>0</v>
      </c>
      <c r="AJ358" s="51">
        <v>8.6510153045653584E-2</v>
      </c>
      <c r="AK358" s="52">
        <v>9.0576694254581439E-2</v>
      </c>
      <c r="AM358" s="28">
        <v>1.75</v>
      </c>
      <c r="AN358" s="28">
        <v>2.5</v>
      </c>
      <c r="AO358" s="28">
        <v>0.75</v>
      </c>
      <c r="AP358" s="28">
        <v>0</v>
      </c>
      <c r="AQ358" s="28">
        <v>0.35</v>
      </c>
      <c r="AR358" s="28">
        <v>0.5</v>
      </c>
      <c r="AS358" s="28">
        <v>0.15</v>
      </c>
      <c r="AT358" s="28">
        <v>0</v>
      </c>
      <c r="AU358" s="25">
        <v>0.82</v>
      </c>
      <c r="AV358" s="25">
        <v>3.44</v>
      </c>
      <c r="AW358" s="25">
        <v>2.62</v>
      </c>
      <c r="AX358" s="25">
        <v>2.6262500000000002</v>
      </c>
      <c r="AY358">
        <v>2.6262500000000002</v>
      </c>
      <c r="AZ358">
        <v>5.96680968125</v>
      </c>
      <c r="BA358" s="75">
        <v>0.50555206026575039</v>
      </c>
      <c r="BB358" s="75">
        <v>0</v>
      </c>
      <c r="BE358">
        <v>4.3255076522826792E-2</v>
      </c>
      <c r="BF358">
        <v>4.5288347127290719E-2</v>
      </c>
      <c r="BH358">
        <v>8.8543423650117511E-2</v>
      </c>
      <c r="BI358">
        <v>4.4271711825058763E-2</v>
      </c>
      <c r="BJ358">
        <v>0.2527760301328752</v>
      </c>
    </row>
    <row r="359" spans="1:62" x14ac:dyDescent="0.3">
      <c r="A359" s="1" t="s">
        <v>289</v>
      </c>
      <c r="B359" s="13" t="s">
        <v>689</v>
      </c>
      <c r="C359" s="15"/>
      <c r="D359" s="1" t="s">
        <v>946</v>
      </c>
      <c r="E359" s="1" t="s">
        <v>1067</v>
      </c>
      <c r="F359" s="1">
        <v>2.4700000000000002</v>
      </c>
      <c r="G359" s="1" t="s">
        <v>290</v>
      </c>
      <c r="H359" s="9" t="s">
        <v>527</v>
      </c>
      <c r="I359" t="s">
        <v>609</v>
      </c>
      <c r="J359"/>
      <c r="K359" s="1"/>
      <c r="L359" s="25">
        <v>4</v>
      </c>
      <c r="M359">
        <v>4</v>
      </c>
      <c r="N359">
        <v>0</v>
      </c>
      <c r="O359" s="1"/>
      <c r="P359" s="1"/>
      <c r="Q359" s="1"/>
      <c r="R359" s="1"/>
      <c r="S359" s="1"/>
      <c r="T359" s="25">
        <v>7.8084429999999996</v>
      </c>
      <c r="U359" s="25">
        <v>7.8548809999999998</v>
      </c>
      <c r="V359" s="25">
        <v>15.19056011</v>
      </c>
      <c r="W359">
        <v>3.8801999999999999</v>
      </c>
      <c r="X359">
        <v>29.507999999999999</v>
      </c>
      <c r="Y359">
        <v>7.7140000000000004</v>
      </c>
      <c r="Z359">
        <v>0</v>
      </c>
      <c r="AC359" s="1"/>
      <c r="AD359">
        <v>20</v>
      </c>
      <c r="AE359" s="55">
        <f t="shared" si="21"/>
        <v>0</v>
      </c>
      <c r="AF359" s="57">
        <v>924.74694800021894</v>
      </c>
      <c r="AG359" s="55">
        <v>883.22940750240002</v>
      </c>
      <c r="AH359" s="55">
        <v>0</v>
      </c>
      <c r="AJ359" s="51">
        <v>8.6510153045653584E-2</v>
      </c>
      <c r="AK359" s="52">
        <v>9.0576694254581439E-2</v>
      </c>
      <c r="AM359" s="28">
        <v>1.75</v>
      </c>
      <c r="AN359" s="28">
        <v>2.5</v>
      </c>
      <c r="AO359" s="28">
        <v>0.75</v>
      </c>
      <c r="AP359" s="28">
        <v>0</v>
      </c>
      <c r="AQ359" s="28">
        <v>0.35</v>
      </c>
      <c r="AR359" s="28">
        <v>0.5</v>
      </c>
      <c r="AS359" s="28">
        <v>0.15</v>
      </c>
      <c r="AT359" s="28">
        <v>0</v>
      </c>
      <c r="AU359" s="25">
        <v>0.82</v>
      </c>
      <c r="AV359" s="25">
        <v>3.44</v>
      </c>
      <c r="AW359" s="25">
        <v>2.62</v>
      </c>
      <c r="AX359" s="25">
        <v>2.6262500000000002</v>
      </c>
      <c r="AY359">
        <v>2.6262500000000002</v>
      </c>
      <c r="AZ359">
        <v>5.96680968125</v>
      </c>
      <c r="BA359" s="75">
        <v>0.50555206026575039</v>
      </c>
      <c r="BB359" s="75">
        <v>0</v>
      </c>
      <c r="BE359">
        <v>4.3255076522826792E-2</v>
      </c>
      <c r="BF359">
        <v>4.5288347127290719E-2</v>
      </c>
      <c r="BH359">
        <v>8.8543423650117511E-2</v>
      </c>
      <c r="BI359">
        <v>4.4271711825058763E-2</v>
      </c>
      <c r="BJ359">
        <v>0.2527760301328752</v>
      </c>
    </row>
    <row r="360" spans="1:62" x14ac:dyDescent="0.3">
      <c r="A360" s="2" t="s">
        <v>10</v>
      </c>
      <c r="B360" s="13" t="s">
        <v>695</v>
      </c>
      <c r="C360" s="13"/>
      <c r="F360" s="2">
        <v>4.26</v>
      </c>
      <c r="G360" s="2" t="s">
        <v>291</v>
      </c>
      <c r="H360" s="9" t="s">
        <v>531</v>
      </c>
      <c r="I360">
        <v>-1</v>
      </c>
      <c r="J360"/>
      <c r="L360" s="25">
        <v>1</v>
      </c>
      <c r="M360">
        <v>0</v>
      </c>
      <c r="N360">
        <v>0</v>
      </c>
      <c r="T360" s="25">
        <v>3.9103940000000001</v>
      </c>
      <c r="U360" s="25">
        <v>3.9103940000000001</v>
      </c>
      <c r="V360" s="25">
        <v>11.314458</v>
      </c>
      <c r="W360">
        <v>0</v>
      </c>
      <c r="Z360">
        <v>0</v>
      </c>
      <c r="AD360">
        <v>14</v>
      </c>
      <c r="AE360" s="55">
        <f t="shared" si="21"/>
        <v>0</v>
      </c>
      <c r="AF360" s="57">
        <v>173.0114278564659</v>
      </c>
      <c r="AG360" s="55">
        <v>0</v>
      </c>
      <c r="AH360" s="55">
        <v>0</v>
      </c>
      <c r="AJ360" s="51">
        <v>8.0919510193365449E-2</v>
      </c>
      <c r="AM360" s="28">
        <v>1.9090909090909089</v>
      </c>
      <c r="AN360" s="28">
        <v>2.545454545454545</v>
      </c>
      <c r="AO360" s="28">
        <v>0.63636363636363635</v>
      </c>
      <c r="AP360" s="28">
        <v>2.545454545454545</v>
      </c>
      <c r="AQ360" s="28">
        <v>0.25</v>
      </c>
      <c r="AR360" s="28">
        <v>0.33333333333333331</v>
      </c>
      <c r="AS360" s="28">
        <v>8.3333333333333329E-2</v>
      </c>
      <c r="AT360" s="28">
        <v>0.33333333333333331</v>
      </c>
      <c r="AU360" s="25">
        <v>0.82</v>
      </c>
      <c r="AV360" s="25">
        <v>3.44</v>
      </c>
      <c r="AW360" s="25">
        <v>2.62</v>
      </c>
      <c r="AX360" s="25">
        <v>2.6363636363636358</v>
      </c>
      <c r="AY360">
        <v>2.6363636363636371</v>
      </c>
      <c r="AZ360">
        <v>6.0044088459090901</v>
      </c>
      <c r="BA360" s="75">
        <v>0.5117218936152963</v>
      </c>
      <c r="BE360">
        <v>4.0459755096682717E-2</v>
      </c>
      <c r="BH360">
        <v>8.0919510193365449E-2</v>
      </c>
      <c r="BI360">
        <v>4.0459755096682717E-2</v>
      </c>
      <c r="BJ360">
        <v>0.5117218936152963</v>
      </c>
    </row>
    <row r="361" spans="1:62" x14ac:dyDescent="0.3">
      <c r="A361" s="2" t="s">
        <v>10</v>
      </c>
      <c r="B361" s="13" t="s">
        <v>695</v>
      </c>
      <c r="C361" s="13"/>
      <c r="D361" s="2" t="s">
        <v>676</v>
      </c>
      <c r="E361" s="2">
        <v>0.3</v>
      </c>
      <c r="F361" s="2">
        <v>2.16</v>
      </c>
      <c r="G361" s="2" t="s">
        <v>291</v>
      </c>
      <c r="H361" s="9" t="s">
        <v>531</v>
      </c>
      <c r="I361">
        <v>-1</v>
      </c>
      <c r="J361"/>
      <c r="L361" s="25">
        <v>1</v>
      </c>
      <c r="M361">
        <v>0</v>
      </c>
      <c r="N361">
        <v>0</v>
      </c>
      <c r="T361" s="25">
        <v>3.9103940000000001</v>
      </c>
      <c r="U361" s="25">
        <v>3.9103940000000001</v>
      </c>
      <c r="V361" s="25">
        <v>11.314458</v>
      </c>
      <c r="W361">
        <v>0</v>
      </c>
      <c r="Z361">
        <v>0</v>
      </c>
      <c r="AD361">
        <v>14</v>
      </c>
      <c r="AE361" s="55">
        <f t="shared" si="21"/>
        <v>0</v>
      </c>
      <c r="AF361" s="57">
        <v>173.0114278564659</v>
      </c>
      <c r="AG361" s="55">
        <v>0</v>
      </c>
      <c r="AH361" s="55">
        <v>0</v>
      </c>
      <c r="AJ361" s="51">
        <v>8.0919510193365449E-2</v>
      </c>
      <c r="AM361" s="28">
        <v>1.9090909090909089</v>
      </c>
      <c r="AN361" s="28">
        <v>2.545454545454545</v>
      </c>
      <c r="AO361" s="28">
        <v>0.63636363636363635</v>
      </c>
      <c r="AP361" s="28">
        <v>2.545454545454545</v>
      </c>
      <c r="AQ361" s="28">
        <v>0.25</v>
      </c>
      <c r="AR361" s="28">
        <v>0.33333333333333331</v>
      </c>
      <c r="AS361" s="28">
        <v>8.3333333333333329E-2</v>
      </c>
      <c r="AT361" s="28">
        <v>0.33333333333333331</v>
      </c>
      <c r="AU361" s="25">
        <v>0.82</v>
      </c>
      <c r="AV361" s="25">
        <v>3.44</v>
      </c>
      <c r="AW361" s="25">
        <v>2.62</v>
      </c>
      <c r="AX361" s="25">
        <v>2.6363636363636358</v>
      </c>
      <c r="AY361">
        <v>2.6363636363636371</v>
      </c>
      <c r="AZ361">
        <v>6.0044088459090901</v>
      </c>
      <c r="BA361" s="75">
        <v>0.5117218936152963</v>
      </c>
      <c r="BE361">
        <v>4.0459755096682717E-2</v>
      </c>
      <c r="BH361">
        <v>8.0919510193365449E-2</v>
      </c>
      <c r="BI361">
        <v>4.0459755096682717E-2</v>
      </c>
      <c r="BJ361">
        <v>0.5117218936152963</v>
      </c>
    </row>
    <row r="362" spans="1:62" x14ac:dyDescent="0.3">
      <c r="A362" s="2" t="s">
        <v>4</v>
      </c>
      <c r="B362" s="13" t="s">
        <v>689</v>
      </c>
      <c r="C362" s="13"/>
      <c r="F362" s="2">
        <v>3.22</v>
      </c>
      <c r="G362" s="2" t="s">
        <v>292</v>
      </c>
      <c r="H362" s="70" t="s">
        <v>527</v>
      </c>
      <c r="I362">
        <v>-1</v>
      </c>
      <c r="J362"/>
      <c r="K362" s="2">
        <v>4</v>
      </c>
      <c r="L362" s="25">
        <v>4</v>
      </c>
      <c r="M362">
        <v>0</v>
      </c>
      <c r="N362">
        <v>0</v>
      </c>
      <c r="O362" s="2">
        <v>-1</v>
      </c>
      <c r="T362" s="25">
        <v>7.8084429999999996</v>
      </c>
      <c r="U362" s="25">
        <v>7.8548809999999998</v>
      </c>
      <c r="V362" s="25">
        <v>15.19056011</v>
      </c>
      <c r="W362">
        <v>0</v>
      </c>
      <c r="Z362">
        <v>0</v>
      </c>
      <c r="AD362">
        <v>20</v>
      </c>
      <c r="AE362" s="55">
        <v>850</v>
      </c>
      <c r="AF362" s="57">
        <v>924.74694795000005</v>
      </c>
      <c r="AG362" s="55">
        <v>0</v>
      </c>
      <c r="AH362" s="55">
        <v>0</v>
      </c>
      <c r="AI362" s="52">
        <f t="shared" ref="AI362:AI373" si="24">K362*AD362/AE362</f>
        <v>9.4117647058823528E-2</v>
      </c>
      <c r="AJ362" s="51">
        <f>L362*AD362/AF362</f>
        <v>8.6510153050351563E-2</v>
      </c>
      <c r="AM362" s="28">
        <v>1.75</v>
      </c>
      <c r="AN362" s="28">
        <v>2.5</v>
      </c>
      <c r="AO362" s="28">
        <v>0.75</v>
      </c>
      <c r="AP362" s="28">
        <v>0</v>
      </c>
      <c r="AQ362" s="28">
        <v>0.35</v>
      </c>
      <c r="AR362" s="28">
        <v>0.5</v>
      </c>
      <c r="AS362" s="28">
        <v>0.15</v>
      </c>
      <c r="AT362" s="28">
        <v>0</v>
      </c>
      <c r="AU362" s="25">
        <v>0.82</v>
      </c>
      <c r="AV362" s="25">
        <v>3.44</v>
      </c>
      <c r="AW362" s="25">
        <v>2.62</v>
      </c>
      <c r="AX362" s="25">
        <v>2.6262500000000002</v>
      </c>
      <c r="AY362">
        <v>2.6262500000000002</v>
      </c>
      <c r="AZ362">
        <v>5.96680968125</v>
      </c>
      <c r="BA362" s="75">
        <v>0.50555206026575039</v>
      </c>
      <c r="BD362">
        <v>4.7058823529411757E-2</v>
      </c>
      <c r="BE362">
        <v>4.3255076525175781E-2</v>
      </c>
      <c r="BH362">
        <v>9.0313900054587545E-2</v>
      </c>
      <c r="BI362">
        <v>4.5156950027293773E-2</v>
      </c>
      <c r="BJ362">
        <v>0.50555206026575039</v>
      </c>
    </row>
    <row r="363" spans="1:62" x14ac:dyDescent="0.3">
      <c r="A363" s="42" t="s">
        <v>991</v>
      </c>
      <c r="B363" s="18" t="s">
        <v>693</v>
      </c>
      <c r="C363" s="13"/>
      <c r="F363" s="2">
        <v>3.1</v>
      </c>
      <c r="G363" s="2" t="s">
        <v>292</v>
      </c>
      <c r="H363" s="9">
        <v>-1</v>
      </c>
      <c r="I363">
        <v>-1</v>
      </c>
      <c r="J363"/>
      <c r="K363" s="2">
        <v>4</v>
      </c>
      <c r="L363" s="25">
        <v>0</v>
      </c>
      <c r="M363">
        <v>0</v>
      </c>
      <c r="N363">
        <v>0</v>
      </c>
      <c r="O363" s="2">
        <v>3.8759999999999999</v>
      </c>
      <c r="P363" s="2">
        <v>3.8849999999999998</v>
      </c>
      <c r="Q363" s="2">
        <v>37.359000000000002</v>
      </c>
      <c r="R363" s="2" t="s">
        <v>1175</v>
      </c>
      <c r="T363" s="25">
        <v>0</v>
      </c>
      <c r="U363" s="25"/>
      <c r="V363" s="25"/>
      <c r="W363">
        <v>0</v>
      </c>
      <c r="Z363">
        <v>0</v>
      </c>
      <c r="AD363">
        <v>26</v>
      </c>
      <c r="AE363" s="55">
        <v>1100</v>
      </c>
      <c r="AF363" s="57">
        <v>0</v>
      </c>
      <c r="AG363" s="55">
        <v>0</v>
      </c>
      <c r="AH363" s="55">
        <v>0</v>
      </c>
      <c r="AI363" s="52">
        <f t="shared" si="24"/>
        <v>9.4545454545454544E-2</v>
      </c>
      <c r="AJ363" s="51"/>
      <c r="AM363" s="28">
        <v>1.714285714285714</v>
      </c>
      <c r="AN363" s="28">
        <v>2.4761904761904758</v>
      </c>
      <c r="AO363" s="28">
        <v>0.76190476190476186</v>
      </c>
      <c r="AP363" s="28">
        <v>0</v>
      </c>
      <c r="AQ363" s="28">
        <v>0.34615384615384609</v>
      </c>
      <c r="AR363" s="28">
        <v>0.5</v>
      </c>
      <c r="AS363" s="28">
        <v>0.1538461538461538</v>
      </c>
      <c r="AT363" s="28">
        <v>0</v>
      </c>
      <c r="AU363" s="25">
        <v>0.82</v>
      </c>
      <c r="AV363" s="25">
        <v>3.44</v>
      </c>
      <c r="AW363" s="25">
        <v>2.62</v>
      </c>
      <c r="AX363" s="25">
        <v>2.612857142857143</v>
      </c>
      <c r="AY363">
        <v>2.612857142857143</v>
      </c>
      <c r="AZ363">
        <v>5.9413964502380949</v>
      </c>
      <c r="BD363">
        <v>4.7272727272727272E-2</v>
      </c>
      <c r="BH363">
        <v>9.4545454545454544E-2</v>
      </c>
      <c r="BI363">
        <v>4.7272727272727272E-2</v>
      </c>
      <c r="BJ363">
        <v>0</v>
      </c>
    </row>
    <row r="364" spans="1:62" x14ac:dyDescent="0.3">
      <c r="A364" s="5" t="s">
        <v>992</v>
      </c>
      <c r="B364" s="43" t="s">
        <v>989</v>
      </c>
      <c r="C364" s="39"/>
      <c r="D364" s="5"/>
      <c r="E364" s="5"/>
      <c r="F364" s="5">
        <v>3.08</v>
      </c>
      <c r="G364" s="5" t="s">
        <v>292</v>
      </c>
      <c r="H364" s="40">
        <v>-2</v>
      </c>
      <c r="I364" s="5">
        <v>-1</v>
      </c>
      <c r="J364" s="5"/>
      <c r="K364" s="5">
        <v>4</v>
      </c>
      <c r="L364" s="41">
        <v>0</v>
      </c>
      <c r="M364">
        <v>0</v>
      </c>
      <c r="N364">
        <v>0</v>
      </c>
      <c r="O364" s="5">
        <v>-1</v>
      </c>
      <c r="P364" s="5"/>
      <c r="Q364" s="5"/>
      <c r="R364" s="5"/>
      <c r="S364" s="5"/>
      <c r="T364" s="41">
        <v>0</v>
      </c>
      <c r="U364" s="41"/>
      <c r="V364" s="41"/>
      <c r="W364">
        <v>0</v>
      </c>
      <c r="Z364">
        <v>0</v>
      </c>
      <c r="AC364" s="5"/>
      <c r="AD364" s="5">
        <v>32</v>
      </c>
      <c r="AE364" s="55">
        <v>1350</v>
      </c>
      <c r="AF364" s="57">
        <v>0</v>
      </c>
      <c r="AG364" s="55">
        <v>0</v>
      </c>
      <c r="AH364" s="55">
        <v>0</v>
      </c>
      <c r="AI364" s="52">
        <f t="shared" si="24"/>
        <v>9.481481481481481E-2</v>
      </c>
      <c r="AJ364" s="51"/>
      <c r="AM364" s="5">
        <v>1.6923076923076921</v>
      </c>
      <c r="AN364" s="5">
        <v>2.4615384615384621</v>
      </c>
      <c r="AO364" s="5">
        <v>0.76923076923076927</v>
      </c>
      <c r="AP364" s="5">
        <v>0</v>
      </c>
      <c r="AQ364" s="5">
        <v>0.34375</v>
      </c>
      <c r="AR364" s="5">
        <v>0.5</v>
      </c>
      <c r="AS364" s="5">
        <v>0.15625</v>
      </c>
      <c r="AT364" s="5">
        <v>0</v>
      </c>
      <c r="AU364" s="41">
        <v>0.82</v>
      </c>
      <c r="AV364" s="41">
        <v>3.44</v>
      </c>
      <c r="AW364" s="41">
        <v>2.62</v>
      </c>
      <c r="AX364" s="41">
        <v>2.6046153846153852</v>
      </c>
      <c r="AY364" s="5">
        <v>2.6046153846153852</v>
      </c>
      <c r="AZ364" s="5">
        <v>5.9257575388461543</v>
      </c>
      <c r="BD364">
        <v>4.7407407407407412E-2</v>
      </c>
      <c r="BH364">
        <v>9.481481481481481E-2</v>
      </c>
      <c r="BI364">
        <v>4.7407407407407412E-2</v>
      </c>
      <c r="BJ364">
        <v>0</v>
      </c>
    </row>
    <row r="365" spans="1:62" x14ac:dyDescent="0.3">
      <c r="A365" s="5" t="s">
        <v>993</v>
      </c>
      <c r="B365" s="43" t="s">
        <v>990</v>
      </c>
      <c r="C365" s="39"/>
      <c r="D365" s="5"/>
      <c r="E365" s="5"/>
      <c r="F365" s="5">
        <v>3.06</v>
      </c>
      <c r="G365" s="5" t="s">
        <v>292</v>
      </c>
      <c r="H365" s="40">
        <v>-2</v>
      </c>
      <c r="I365" s="5">
        <v>-1</v>
      </c>
      <c r="J365" s="5"/>
      <c r="K365" s="5">
        <v>4</v>
      </c>
      <c r="L365" s="41">
        <v>0</v>
      </c>
      <c r="M365">
        <v>0</v>
      </c>
      <c r="N365">
        <v>0</v>
      </c>
      <c r="O365" s="5">
        <v>-1</v>
      </c>
      <c r="P365" s="5"/>
      <c r="Q365" s="5"/>
      <c r="R365" s="5"/>
      <c r="S365" s="5"/>
      <c r="T365" s="41">
        <v>0</v>
      </c>
      <c r="U365" s="41"/>
      <c r="V365" s="41"/>
      <c r="W365">
        <v>0</v>
      </c>
      <c r="Z365">
        <v>0</v>
      </c>
      <c r="AC365" s="5"/>
      <c r="AD365" s="5">
        <v>38</v>
      </c>
      <c r="AE365" s="55">
        <v>1600</v>
      </c>
      <c r="AF365" s="57">
        <v>0</v>
      </c>
      <c r="AG365" s="55">
        <v>0</v>
      </c>
      <c r="AH365" s="55">
        <v>0</v>
      </c>
      <c r="AI365" s="52">
        <f t="shared" si="24"/>
        <v>9.5000000000000001E-2</v>
      </c>
      <c r="AJ365" s="51"/>
      <c r="AM365" s="5">
        <v>1.67741935483871</v>
      </c>
      <c r="AN365" s="5">
        <v>2.4516129032258061</v>
      </c>
      <c r="AO365" s="5">
        <v>0.77419354838709675</v>
      </c>
      <c r="AP365" s="5">
        <v>0</v>
      </c>
      <c r="AQ365" s="5">
        <v>0.34210526315789469</v>
      </c>
      <c r="AR365" s="5">
        <v>0.5</v>
      </c>
      <c r="AS365" s="5">
        <v>0.15789473684210531</v>
      </c>
      <c r="AT365" s="5">
        <v>0</v>
      </c>
      <c r="AU365" s="41">
        <v>0.82</v>
      </c>
      <c r="AV365" s="41">
        <v>3.44</v>
      </c>
      <c r="AW365" s="41">
        <v>2.62</v>
      </c>
      <c r="AX365" s="41">
        <v>2.5990322580645162</v>
      </c>
      <c r="AY365" s="5">
        <v>2.5990322580645162</v>
      </c>
      <c r="AZ365" s="5">
        <v>5.9151634375806452</v>
      </c>
      <c r="BD365">
        <v>4.7500000000000001E-2</v>
      </c>
      <c r="BH365">
        <v>9.5000000000000001E-2</v>
      </c>
      <c r="BI365">
        <v>4.7500000000000001E-2</v>
      </c>
      <c r="BJ365">
        <v>0</v>
      </c>
    </row>
    <row r="366" spans="1:62" x14ac:dyDescent="0.3">
      <c r="A366" s="44" t="s">
        <v>63</v>
      </c>
      <c r="B366" s="13" t="s">
        <v>773</v>
      </c>
      <c r="C366" s="13"/>
      <c r="F366" s="2">
        <v>3.59</v>
      </c>
      <c r="G366" s="2" t="s">
        <v>295</v>
      </c>
      <c r="H366" s="9">
        <v>-1</v>
      </c>
      <c r="I366">
        <v>-1</v>
      </c>
      <c r="J366" t="s">
        <v>1179</v>
      </c>
      <c r="K366" s="2">
        <v>1</v>
      </c>
      <c r="L366" s="25">
        <v>1</v>
      </c>
      <c r="M366">
        <v>0</v>
      </c>
      <c r="N366">
        <v>1</v>
      </c>
      <c r="O366" s="25">
        <v>3.86</v>
      </c>
      <c r="P366" s="25">
        <v>3.86</v>
      </c>
      <c r="Q366" s="2">
        <v>14.995541551467477</v>
      </c>
      <c r="T366" s="25">
        <v>3.86</v>
      </c>
      <c r="U366" s="25">
        <v>3.86</v>
      </c>
      <c r="V366" s="25">
        <v>14.97</v>
      </c>
      <c r="W366">
        <v>3.8504999999999998</v>
      </c>
      <c r="X366">
        <v>3.8504999999999998</v>
      </c>
      <c r="Y366">
        <v>14.379</v>
      </c>
      <c r="AD366">
        <v>20</v>
      </c>
      <c r="AE366" s="55">
        <f t="shared" si="21"/>
        <v>223.4275709002448</v>
      </c>
      <c r="AF366" s="57">
        <v>0</v>
      </c>
      <c r="AH366" s="55">
        <v>213.2</v>
      </c>
      <c r="AI366" s="52">
        <f t="shared" si="24"/>
        <v>8.9514467348031701E-2</v>
      </c>
      <c r="AJ366" s="51"/>
      <c r="AL366" s="67">
        <f>N366*AD366/AH366</f>
        <v>9.3808630393996256E-2</v>
      </c>
      <c r="AM366" s="28">
        <v>1.75</v>
      </c>
      <c r="AN366" s="28">
        <v>2.5</v>
      </c>
      <c r="AO366" s="28">
        <v>0.75</v>
      </c>
      <c r="AP366" s="28">
        <v>0</v>
      </c>
      <c r="AQ366" s="28">
        <v>0.35</v>
      </c>
      <c r="AR366" s="28">
        <v>0.5</v>
      </c>
      <c r="AS366" s="28">
        <v>0.15</v>
      </c>
      <c r="AT366" s="28">
        <v>0</v>
      </c>
      <c r="AU366" s="25">
        <v>1</v>
      </c>
      <c r="AV366" s="25">
        <v>3.44</v>
      </c>
      <c r="AW366" s="25">
        <v>2.44</v>
      </c>
      <c r="AX366" s="25">
        <v>2.7124999999999999</v>
      </c>
      <c r="AY366">
        <v>2.7124999999999999</v>
      </c>
      <c r="AZ366">
        <v>6.264025610615688</v>
      </c>
      <c r="BC366" s="75">
        <v>0</v>
      </c>
      <c r="BD366">
        <v>4.4757233674015851E-2</v>
      </c>
      <c r="BE366" t="s">
        <v>459</v>
      </c>
      <c r="BG366">
        <v>4.6904315196998128E-2</v>
      </c>
      <c r="BH366">
        <v>9.1661548871013979E-2</v>
      </c>
      <c r="BI366" t="s">
        <v>459</v>
      </c>
      <c r="BJ366">
        <v>0</v>
      </c>
    </row>
    <row r="367" spans="1:62" x14ac:dyDescent="0.3">
      <c r="A367" s="2" t="s">
        <v>296</v>
      </c>
      <c r="B367" s="17" t="s">
        <v>947</v>
      </c>
      <c r="C367" s="13"/>
      <c r="F367" s="2">
        <v>3.55</v>
      </c>
      <c r="G367" s="2" t="s">
        <v>295</v>
      </c>
      <c r="H367" s="9">
        <v>-1</v>
      </c>
      <c r="I367">
        <v>-1</v>
      </c>
      <c r="J367"/>
      <c r="K367" s="2">
        <v>1</v>
      </c>
      <c r="L367" s="25">
        <v>1</v>
      </c>
      <c r="M367">
        <v>0</v>
      </c>
      <c r="N367">
        <v>0</v>
      </c>
      <c r="O367" s="25">
        <v>3.86</v>
      </c>
      <c r="P367" s="25">
        <v>3.86</v>
      </c>
      <c r="Q367" s="2">
        <v>15.615511227317649</v>
      </c>
      <c r="T367" s="25">
        <v>3.86</v>
      </c>
      <c r="U367" s="25">
        <v>3.86</v>
      </c>
      <c r="V367" s="25">
        <f>(V366+V368)/2</f>
        <v>15.342750000000001</v>
      </c>
      <c r="W367">
        <v>0</v>
      </c>
      <c r="AD367">
        <v>20</v>
      </c>
      <c r="AE367" s="55">
        <f t="shared" si="21"/>
        <v>232.66487108254202</v>
      </c>
      <c r="AF367" s="57">
        <v>0</v>
      </c>
      <c r="AI367" s="52">
        <f t="shared" si="24"/>
        <v>8.5960548779642126E-2</v>
      </c>
      <c r="AJ367" s="51"/>
      <c r="AM367" s="28">
        <v>1.75</v>
      </c>
      <c r="AN367" s="28">
        <v>2.5</v>
      </c>
      <c r="AO367" s="28">
        <v>0.75</v>
      </c>
      <c r="AP367" s="28">
        <v>0</v>
      </c>
      <c r="AQ367" s="28">
        <v>0.35</v>
      </c>
      <c r="AR367" s="28">
        <v>0.5</v>
      </c>
      <c r="AS367" s="28">
        <v>0.15</v>
      </c>
      <c r="AT367" s="28">
        <v>0</v>
      </c>
      <c r="AU367" s="25">
        <v>0.95</v>
      </c>
      <c r="AV367" s="25">
        <v>3.44</v>
      </c>
      <c r="AW367" s="25">
        <v>2.4900000000000002</v>
      </c>
      <c r="AX367" s="25">
        <v>2.7109375</v>
      </c>
      <c r="AY367">
        <v>2.7109375</v>
      </c>
      <c r="AZ367">
        <v>6.2579197821781882</v>
      </c>
      <c r="BD367">
        <v>4.2980274389821063E-2</v>
      </c>
      <c r="BE367" t="s">
        <v>459</v>
      </c>
      <c r="BH367">
        <v>8.5960548779642126E-2</v>
      </c>
      <c r="BI367" t="s">
        <v>459</v>
      </c>
      <c r="BJ367">
        <v>0</v>
      </c>
    </row>
    <row r="368" spans="1:62" s="5" customFormat="1" x14ac:dyDescent="0.3">
      <c r="A368" s="2" t="s">
        <v>297</v>
      </c>
      <c r="B368" s="13" t="s">
        <v>827</v>
      </c>
      <c r="C368" s="13"/>
      <c r="D368" s="2"/>
      <c r="E368" s="2"/>
      <c r="F368" s="2">
        <v>3.5</v>
      </c>
      <c r="G368" s="2" t="s">
        <v>295</v>
      </c>
      <c r="H368" s="9">
        <v>-1</v>
      </c>
      <c r="I368">
        <v>-1</v>
      </c>
      <c r="J368"/>
      <c r="K368" s="2">
        <v>1</v>
      </c>
      <c r="L368" s="25">
        <v>1</v>
      </c>
      <c r="M368">
        <v>0</v>
      </c>
      <c r="N368">
        <v>0</v>
      </c>
      <c r="O368" s="25">
        <v>3.86</v>
      </c>
      <c r="P368" s="25">
        <v>3.86</v>
      </c>
      <c r="Q368" s="2">
        <v>15.994210692250023</v>
      </c>
      <c r="R368" s="2"/>
      <c r="S368" s="2"/>
      <c r="T368" s="25">
        <v>3.86</v>
      </c>
      <c r="U368" s="25">
        <v>3.86</v>
      </c>
      <c r="V368" s="25">
        <v>15.7155</v>
      </c>
      <c r="W368">
        <v>0</v>
      </c>
      <c r="X368"/>
      <c r="Y368"/>
      <c r="Z368">
        <v>0</v>
      </c>
      <c r="AA368"/>
      <c r="AB368"/>
      <c r="AC368" s="2"/>
      <c r="AD368">
        <v>20</v>
      </c>
      <c r="AE368" s="55">
        <f t="shared" si="21"/>
        <v>238.30734163024843</v>
      </c>
      <c r="AF368" s="57">
        <v>0</v>
      </c>
      <c r="AG368" s="55"/>
      <c r="AH368" s="55">
        <v>0</v>
      </c>
      <c r="AI368" s="52">
        <f t="shared" si="24"/>
        <v>8.3925236474801893E-2</v>
      </c>
      <c r="AJ368" s="51"/>
      <c r="AK368" s="52"/>
      <c r="AL368" s="52"/>
      <c r="AM368" s="28">
        <v>1.75</v>
      </c>
      <c r="AN368" s="28">
        <v>2.5</v>
      </c>
      <c r="AO368" s="28">
        <v>0.75</v>
      </c>
      <c r="AP368" s="28">
        <v>0</v>
      </c>
      <c r="AQ368" s="28">
        <v>0.35</v>
      </c>
      <c r="AR368" s="28">
        <v>0.5</v>
      </c>
      <c r="AS368" s="28">
        <v>0.15</v>
      </c>
      <c r="AT368" s="28">
        <v>0</v>
      </c>
      <c r="AU368" s="25">
        <v>0.95</v>
      </c>
      <c r="AV368" s="25">
        <v>3.44</v>
      </c>
      <c r="AW368" s="25">
        <v>2.4900000000000002</v>
      </c>
      <c r="AX368" s="25">
        <v>2.7093750000000001</v>
      </c>
      <c r="AY368">
        <v>2.7093750000000001</v>
      </c>
      <c r="AZ368">
        <v>6.2518139537406876</v>
      </c>
      <c r="BA368" s="75"/>
      <c r="BB368" s="75"/>
      <c r="BC368" s="75"/>
      <c r="BD368">
        <v>4.1962618237400953E-2</v>
      </c>
      <c r="BE368" t="s">
        <v>459</v>
      </c>
      <c r="BF368"/>
      <c r="BG368"/>
      <c r="BH368">
        <v>8.3925236474801893E-2</v>
      </c>
      <c r="BI368" t="s">
        <v>459</v>
      </c>
      <c r="BJ368">
        <v>0</v>
      </c>
    </row>
    <row r="369" spans="1:62" s="5" customFormat="1" x14ac:dyDescent="0.3">
      <c r="A369" s="2" t="s">
        <v>298</v>
      </c>
      <c r="B369" s="17" t="s">
        <v>948</v>
      </c>
      <c r="C369" s="13"/>
      <c r="D369" s="2"/>
      <c r="E369" s="2"/>
      <c r="F369" s="2">
        <v>3.45</v>
      </c>
      <c r="G369" s="2" t="s">
        <v>295</v>
      </c>
      <c r="H369" s="9">
        <v>-1</v>
      </c>
      <c r="I369">
        <v>-1</v>
      </c>
      <c r="J369"/>
      <c r="K369" s="2">
        <v>1</v>
      </c>
      <c r="L369" s="25">
        <v>1</v>
      </c>
      <c r="M369">
        <v>0</v>
      </c>
      <c r="N369">
        <v>0</v>
      </c>
      <c r="O369" s="25">
        <v>3.86</v>
      </c>
      <c r="P369" s="25">
        <v>3.86</v>
      </c>
      <c r="Q369" s="2">
        <v>16.28902613653251</v>
      </c>
      <c r="R369" s="2"/>
      <c r="S369" s="2"/>
      <c r="T369" s="25">
        <v>3.86</v>
      </c>
      <c r="U369" s="25">
        <v>3.86</v>
      </c>
      <c r="V369" s="25">
        <v>16.312000000000001</v>
      </c>
      <c r="W369">
        <v>0</v>
      </c>
      <c r="X369"/>
      <c r="Y369"/>
      <c r="Z369">
        <v>0</v>
      </c>
      <c r="AA369"/>
      <c r="AB369"/>
      <c r="AC369" s="2"/>
      <c r="AD369">
        <v>20</v>
      </c>
      <c r="AE369" s="55">
        <f t="shared" si="21"/>
        <v>242.69997382387976</v>
      </c>
      <c r="AF369" s="57">
        <v>0</v>
      </c>
      <c r="AG369" s="55"/>
      <c r="AH369" s="55">
        <v>0</v>
      </c>
      <c r="AI369" s="52">
        <f t="shared" si="24"/>
        <v>8.2406271763809144E-2</v>
      </c>
      <c r="AJ369" s="51"/>
      <c r="AK369" s="52"/>
      <c r="AL369" s="52"/>
      <c r="AM369" s="28">
        <v>1.75</v>
      </c>
      <c r="AN369" s="28">
        <v>2.5</v>
      </c>
      <c r="AO369" s="28">
        <v>0.75</v>
      </c>
      <c r="AP369" s="28">
        <v>0</v>
      </c>
      <c r="AQ369" s="28">
        <v>0.35</v>
      </c>
      <c r="AR369" s="28">
        <v>0.5</v>
      </c>
      <c r="AS369" s="28">
        <v>0.15</v>
      </c>
      <c r="AT369" s="28">
        <v>0</v>
      </c>
      <c r="AU369" s="25">
        <v>0.95</v>
      </c>
      <c r="AV369" s="25">
        <v>3.44</v>
      </c>
      <c r="AW369" s="25">
        <v>2.4900000000000002</v>
      </c>
      <c r="AX369" s="25">
        <v>2.7078125000000002</v>
      </c>
      <c r="AY369">
        <v>2.7078125000000002</v>
      </c>
      <c r="AZ369">
        <v>6.245708125303187</v>
      </c>
      <c r="BA369" s="75"/>
      <c r="BB369" s="75"/>
      <c r="BC369" s="75"/>
      <c r="BD369">
        <v>4.1203135881904572E-2</v>
      </c>
      <c r="BE369" t="s">
        <v>459</v>
      </c>
      <c r="BF369"/>
      <c r="BG369"/>
      <c r="BH369">
        <v>8.2406271763809144E-2</v>
      </c>
      <c r="BI369" t="s">
        <v>459</v>
      </c>
      <c r="BJ369">
        <v>0</v>
      </c>
    </row>
    <row r="370" spans="1:62" s="5" customFormat="1" x14ac:dyDescent="0.3">
      <c r="A370" s="2" t="s">
        <v>151</v>
      </c>
      <c r="B370" s="13" t="s">
        <v>774</v>
      </c>
      <c r="C370" s="13"/>
      <c r="D370" s="2"/>
      <c r="E370" s="2"/>
      <c r="F370" s="2">
        <v>3.4</v>
      </c>
      <c r="G370" s="2" t="s">
        <v>295</v>
      </c>
      <c r="H370" s="9">
        <v>-1</v>
      </c>
      <c r="I370">
        <v>-1</v>
      </c>
      <c r="J370"/>
      <c r="K370" s="2">
        <v>1</v>
      </c>
      <c r="L370" s="25">
        <v>1</v>
      </c>
      <c r="M370">
        <v>0</v>
      </c>
      <c r="N370">
        <v>0</v>
      </c>
      <c r="O370" s="25">
        <v>3.86</v>
      </c>
      <c r="P370" s="25">
        <v>3.86</v>
      </c>
      <c r="Q370" s="2">
        <v>17.505628149549622</v>
      </c>
      <c r="R370" s="2"/>
      <c r="S370" s="2"/>
      <c r="T370" s="25">
        <v>3.86</v>
      </c>
      <c r="U370" s="25">
        <v>3.86</v>
      </c>
      <c r="V370" s="25">
        <v>17.599</v>
      </c>
      <c r="W370">
        <v>0</v>
      </c>
      <c r="X370"/>
      <c r="Y370"/>
      <c r="Z370">
        <v>0</v>
      </c>
      <c r="AA370"/>
      <c r="AB370"/>
      <c r="AC370" s="2"/>
      <c r="AD370">
        <v>20</v>
      </c>
      <c r="AE370" s="55">
        <f t="shared" si="21"/>
        <v>260.82685717702952</v>
      </c>
      <c r="AF370" s="57">
        <v>0</v>
      </c>
      <c r="AG370" s="55"/>
      <c r="AH370" s="55">
        <v>0</v>
      </c>
      <c r="AI370" s="52">
        <f t="shared" si="24"/>
        <v>7.667922014037655E-2</v>
      </c>
      <c r="AJ370" s="51"/>
      <c r="AK370" s="52"/>
      <c r="AL370" s="52"/>
      <c r="AM370" s="28">
        <v>1.75</v>
      </c>
      <c r="AN370" s="28">
        <v>2.5</v>
      </c>
      <c r="AO370" s="28">
        <v>0.75</v>
      </c>
      <c r="AP370" s="28">
        <v>0</v>
      </c>
      <c r="AQ370" s="28">
        <v>0.35</v>
      </c>
      <c r="AR370" s="28">
        <v>0.5</v>
      </c>
      <c r="AS370" s="28">
        <v>0.15</v>
      </c>
      <c r="AT370" s="28">
        <v>0</v>
      </c>
      <c r="AU370" s="25">
        <v>0.95</v>
      </c>
      <c r="AV370" s="25">
        <v>3.44</v>
      </c>
      <c r="AW370" s="25">
        <v>2.4900000000000002</v>
      </c>
      <c r="AX370" s="25">
        <v>2.7062499999999998</v>
      </c>
      <c r="AY370">
        <v>2.7062499999999998</v>
      </c>
      <c r="AZ370">
        <v>6.2396022968656872</v>
      </c>
      <c r="BA370" s="75"/>
      <c r="BB370" s="75"/>
      <c r="BC370" s="75"/>
      <c r="BD370">
        <v>3.8339610070188268E-2</v>
      </c>
      <c r="BE370" t="s">
        <v>459</v>
      </c>
      <c r="BF370"/>
      <c r="BG370"/>
      <c r="BH370">
        <v>7.667922014037655E-2</v>
      </c>
      <c r="BI370" t="s">
        <v>459</v>
      </c>
      <c r="BJ370">
        <v>0</v>
      </c>
    </row>
    <row r="371" spans="1:62" s="5" customFormat="1" x14ac:dyDescent="0.3">
      <c r="A371" s="2" t="s">
        <v>299</v>
      </c>
      <c r="B371" s="17" t="s">
        <v>949</v>
      </c>
      <c r="C371" s="13"/>
      <c r="D371" s="2"/>
      <c r="E371" s="2"/>
      <c r="F371" s="2">
        <v>3.65</v>
      </c>
      <c r="G371" s="2" t="s">
        <v>295</v>
      </c>
      <c r="H371" s="9">
        <v>-1</v>
      </c>
      <c r="I371">
        <v>-1</v>
      </c>
      <c r="J371"/>
      <c r="K371" s="2">
        <v>1</v>
      </c>
      <c r="L371" s="25">
        <v>1</v>
      </c>
      <c r="M371">
        <v>0</v>
      </c>
      <c r="N371">
        <v>0</v>
      </c>
      <c r="O371" s="25">
        <v>3.86</v>
      </c>
      <c r="P371" s="25">
        <v>3.86</v>
      </c>
      <c r="Q371" s="2">
        <v>14.582394405034421</v>
      </c>
      <c r="R371" s="2"/>
      <c r="S371" s="2"/>
      <c r="T371" s="25">
        <v>3.86</v>
      </c>
      <c r="U371" s="25">
        <v>3.86</v>
      </c>
      <c r="V371" s="25">
        <v>14.85</v>
      </c>
      <c r="W371">
        <v>0</v>
      </c>
      <c r="X371"/>
      <c r="Y371"/>
      <c r="Z371">
        <v>0</v>
      </c>
      <c r="AA371"/>
      <c r="AB371"/>
      <c r="AC371" s="2"/>
      <c r="AD371">
        <v>20</v>
      </c>
      <c r="AE371" s="55">
        <f t="shared" si="21"/>
        <v>217.27184367725084</v>
      </c>
      <c r="AF371" s="57">
        <v>0</v>
      </c>
      <c r="AG371" s="55"/>
      <c r="AH371" s="55">
        <v>0</v>
      </c>
      <c r="AI371" s="52">
        <f t="shared" si="24"/>
        <v>9.2050583552414869E-2</v>
      </c>
      <c r="AJ371" s="51"/>
      <c r="AK371" s="52"/>
      <c r="AL371" s="52"/>
      <c r="AM371" s="28">
        <v>1.76875</v>
      </c>
      <c r="AN371" s="28">
        <v>2.5</v>
      </c>
      <c r="AO371" s="28">
        <v>0.73125000000000007</v>
      </c>
      <c r="AP371" s="28">
        <v>0.26250000000000001</v>
      </c>
      <c r="AQ371" s="28">
        <v>0.33610451306413303</v>
      </c>
      <c r="AR371" s="28">
        <v>0.47505938242280282</v>
      </c>
      <c r="AS371" s="28">
        <v>0.13895486935866991</v>
      </c>
      <c r="AT371" s="28">
        <v>4.9881235154394299E-2</v>
      </c>
      <c r="AU371" s="25">
        <v>1</v>
      </c>
      <c r="AV371" s="25">
        <v>3.44</v>
      </c>
      <c r="AW371" s="25">
        <v>2.44</v>
      </c>
      <c r="AX371" s="25">
        <v>2.7106249999999998</v>
      </c>
      <c r="AY371">
        <v>2.7106249999999998</v>
      </c>
      <c r="AZ371">
        <v>6.2658671793656886</v>
      </c>
      <c r="BA371" s="75"/>
      <c r="BB371" s="75"/>
      <c r="BC371" s="75"/>
      <c r="BD371">
        <v>4.6025291776207428E-2</v>
      </c>
      <c r="BE371" t="s">
        <v>459</v>
      </c>
      <c r="BF371"/>
      <c r="BG371"/>
      <c r="BH371">
        <v>9.2050583552414869E-2</v>
      </c>
      <c r="BI371" t="s">
        <v>459</v>
      </c>
      <c r="BJ371">
        <v>0</v>
      </c>
    </row>
    <row r="372" spans="1:62" s="5" customFormat="1" x14ac:dyDescent="0.3">
      <c r="A372" s="2" t="s">
        <v>300</v>
      </c>
      <c r="B372" s="13" t="s">
        <v>809</v>
      </c>
      <c r="C372" s="13"/>
      <c r="D372" s="2"/>
      <c r="E372" s="2"/>
      <c r="F372" s="2">
        <v>3.26</v>
      </c>
      <c r="G372" s="2" t="s">
        <v>295</v>
      </c>
      <c r="H372" s="9">
        <v>-1</v>
      </c>
      <c r="I372">
        <v>-1</v>
      </c>
      <c r="J372"/>
      <c r="K372" s="2">
        <v>1</v>
      </c>
      <c r="L372" s="25">
        <v>1</v>
      </c>
      <c r="M372">
        <v>0</v>
      </c>
      <c r="N372">
        <v>0</v>
      </c>
      <c r="O372" s="25">
        <v>3.86</v>
      </c>
      <c r="P372" s="25">
        <v>3.86</v>
      </c>
      <c r="Q372" s="2">
        <v>14.909538142748223</v>
      </c>
      <c r="R372" s="2"/>
      <c r="S372" s="2"/>
      <c r="T372" s="25">
        <v>3.86</v>
      </c>
      <c r="U372" s="25">
        <v>3.86</v>
      </c>
      <c r="V372" s="25">
        <v>15.022</v>
      </c>
      <c r="W372">
        <v>0</v>
      </c>
      <c r="X372"/>
      <c r="Y372"/>
      <c r="Z372">
        <v>0</v>
      </c>
      <c r="AA372"/>
      <c r="AB372"/>
      <c r="AC372" s="2"/>
      <c r="AD372">
        <v>20</v>
      </c>
      <c r="AE372" s="55">
        <f t="shared" si="21"/>
        <v>222.14615451169144</v>
      </c>
      <c r="AF372" s="57">
        <v>0</v>
      </c>
      <c r="AG372" s="55"/>
      <c r="AH372" s="55">
        <v>0</v>
      </c>
      <c r="AI372" s="52">
        <f t="shared" si="24"/>
        <v>9.0030817971901517E-2</v>
      </c>
      <c r="AJ372" s="51"/>
      <c r="AK372" s="52"/>
      <c r="AL372" s="52"/>
      <c r="AM372" s="28">
        <v>1.8125</v>
      </c>
      <c r="AN372" s="28">
        <v>2.5</v>
      </c>
      <c r="AO372" s="28">
        <v>0.6875</v>
      </c>
      <c r="AP372" s="28">
        <v>0.875</v>
      </c>
      <c r="AQ372" s="28">
        <v>0.30851063829787229</v>
      </c>
      <c r="AR372" s="28">
        <v>0.42553191489361702</v>
      </c>
      <c r="AS372" s="28">
        <v>0.1170212765957447</v>
      </c>
      <c r="AT372" s="28">
        <v>0.14893617021276601</v>
      </c>
      <c r="AU372" s="25">
        <v>1</v>
      </c>
      <c r="AV372" s="25">
        <v>3.44</v>
      </c>
      <c r="AW372" s="25">
        <v>2.44</v>
      </c>
      <c r="AX372" s="25">
        <v>2.7062499999999998</v>
      </c>
      <c r="AY372">
        <v>2.7062499999999998</v>
      </c>
      <c r="AZ372">
        <v>6.2701641731156874</v>
      </c>
      <c r="BA372" s="75"/>
      <c r="BB372" s="75"/>
      <c r="BC372" s="75"/>
      <c r="BD372">
        <v>4.5015408985950758E-2</v>
      </c>
      <c r="BE372" t="s">
        <v>459</v>
      </c>
      <c r="BF372"/>
      <c r="BG372"/>
      <c r="BH372">
        <v>9.0030817971901517E-2</v>
      </c>
      <c r="BI372" t="s">
        <v>459</v>
      </c>
      <c r="BJ372">
        <v>0</v>
      </c>
    </row>
    <row r="373" spans="1:62" s="5" customFormat="1" x14ac:dyDescent="0.3">
      <c r="A373" s="2" t="s">
        <v>301</v>
      </c>
      <c r="B373" s="17" t="s">
        <v>950</v>
      </c>
      <c r="C373" s="13"/>
      <c r="D373" s="2"/>
      <c r="E373" s="2"/>
      <c r="F373" s="2">
        <v>3.2</v>
      </c>
      <c r="G373" s="2" t="s">
        <v>295</v>
      </c>
      <c r="H373" s="9">
        <v>-1</v>
      </c>
      <c r="I373">
        <v>-1</v>
      </c>
      <c r="J373"/>
      <c r="K373" s="2">
        <v>1</v>
      </c>
      <c r="L373" s="25">
        <v>1</v>
      </c>
      <c r="M373">
        <v>0</v>
      </c>
      <c r="N373">
        <v>0</v>
      </c>
      <c r="O373" s="25">
        <v>3.86</v>
      </c>
      <c r="P373" s="25">
        <v>3.86</v>
      </c>
      <c r="Q373" s="2">
        <v>15.013371612679299</v>
      </c>
      <c r="R373" s="2"/>
      <c r="S373" s="2"/>
      <c r="T373" s="25">
        <v>3.86</v>
      </c>
      <c r="U373" s="25">
        <v>3.86</v>
      </c>
      <c r="V373" s="45">
        <v>15.380100000000001</v>
      </c>
      <c r="W373">
        <v>0</v>
      </c>
      <c r="X373"/>
      <c r="Y373"/>
      <c r="Z373">
        <v>0</v>
      </c>
      <c r="AA373"/>
      <c r="AB373"/>
      <c r="AC373" s="2"/>
      <c r="AD373">
        <v>20</v>
      </c>
      <c r="AE373" s="55">
        <f t="shared" si="21"/>
        <v>223.69323168027648</v>
      </c>
      <c r="AF373" s="57">
        <v>0</v>
      </c>
      <c r="AG373" s="55"/>
      <c r="AH373" s="55">
        <v>0</v>
      </c>
      <c r="AI373" s="52">
        <f t="shared" si="24"/>
        <v>8.9408158886925521E-2</v>
      </c>
      <c r="AJ373" s="51"/>
      <c r="AK373" s="52"/>
      <c r="AL373" s="52"/>
      <c r="AM373" s="28">
        <v>1.84375</v>
      </c>
      <c r="AN373" s="28">
        <v>2.5</v>
      </c>
      <c r="AO373" s="28">
        <v>0.65625</v>
      </c>
      <c r="AP373" s="28">
        <v>1.3125</v>
      </c>
      <c r="AQ373" s="28">
        <v>0.29207920792079212</v>
      </c>
      <c r="AR373" s="28">
        <v>0.39603960396039611</v>
      </c>
      <c r="AS373" s="28">
        <v>0.103960396039604</v>
      </c>
      <c r="AT373" s="28">
        <v>0.20792079207920791</v>
      </c>
      <c r="AU373" s="25">
        <v>1</v>
      </c>
      <c r="AV373" s="25">
        <v>3.44</v>
      </c>
      <c r="AW373" s="25">
        <v>2.44</v>
      </c>
      <c r="AX373" s="25">
        <v>2.703125</v>
      </c>
      <c r="AY373">
        <v>2.703125</v>
      </c>
      <c r="AZ373">
        <v>6.2732334543656876</v>
      </c>
      <c r="BA373" s="75"/>
      <c r="BB373" s="75"/>
      <c r="BC373" s="75"/>
      <c r="BD373">
        <v>4.470407944346276E-2</v>
      </c>
      <c r="BE373" t="s">
        <v>459</v>
      </c>
      <c r="BF373"/>
      <c r="BG373"/>
      <c r="BH373">
        <v>8.9408158886925521E-2</v>
      </c>
      <c r="BI373" t="s">
        <v>459</v>
      </c>
      <c r="BJ373">
        <v>0</v>
      </c>
    </row>
    <row r="374" spans="1:62" x14ac:dyDescent="0.3">
      <c r="A374" s="2" t="s">
        <v>4</v>
      </c>
      <c r="B374" s="13" t="s">
        <v>689</v>
      </c>
      <c r="C374" s="13"/>
      <c r="F374" s="2">
        <v>3.5</v>
      </c>
      <c r="G374" s="2" t="s">
        <v>302</v>
      </c>
      <c r="H374" s="9" t="s">
        <v>527</v>
      </c>
      <c r="I374" t="s">
        <v>609</v>
      </c>
      <c r="J374"/>
      <c r="L374" s="25">
        <v>4</v>
      </c>
      <c r="M374">
        <v>4</v>
      </c>
      <c r="N374">
        <v>0</v>
      </c>
      <c r="T374" s="25">
        <v>3.86</v>
      </c>
      <c r="U374" s="25">
        <v>3.86</v>
      </c>
      <c r="V374" s="25">
        <v>15.19056011</v>
      </c>
      <c r="W374">
        <v>3.8801999999999999</v>
      </c>
      <c r="X374">
        <v>29.507999999999999</v>
      </c>
      <c r="Y374">
        <v>7.7140000000000004</v>
      </c>
      <c r="Z374">
        <v>0</v>
      </c>
      <c r="AD374">
        <v>20</v>
      </c>
      <c r="AE374" s="55">
        <f t="shared" si="21"/>
        <v>0</v>
      </c>
      <c r="AF374" s="57">
        <v>924.74694800021894</v>
      </c>
      <c r="AG374" s="55">
        <v>883.22940750240002</v>
      </c>
      <c r="AH374" s="55">
        <v>0</v>
      </c>
      <c r="AJ374" s="51">
        <v>8.6510153045653584E-2</v>
      </c>
      <c r="AK374" s="52">
        <v>9.0576694254581439E-2</v>
      </c>
      <c r="AM374" s="28">
        <v>1.75</v>
      </c>
      <c r="AN374" s="28">
        <v>2.5</v>
      </c>
      <c r="AO374" s="28">
        <v>0.75</v>
      </c>
      <c r="AP374" s="28">
        <v>0</v>
      </c>
      <c r="AQ374" s="28">
        <v>0.35</v>
      </c>
      <c r="AR374" s="28">
        <v>0.5</v>
      </c>
      <c r="AS374" s="28">
        <v>0.15</v>
      </c>
      <c r="AT374" s="28">
        <v>0</v>
      </c>
      <c r="AU374" s="25">
        <v>0.82</v>
      </c>
      <c r="AV374" s="25">
        <v>3.44</v>
      </c>
      <c r="AW374" s="25">
        <v>2.62</v>
      </c>
      <c r="AX374" s="25">
        <v>2.6262500000000002</v>
      </c>
      <c r="AY374">
        <v>2.6262500000000002</v>
      </c>
      <c r="AZ374">
        <v>5.96680968125</v>
      </c>
      <c r="BA374" s="75">
        <v>0.50555206026575039</v>
      </c>
      <c r="BB374" s="75">
        <v>0</v>
      </c>
      <c r="BE374">
        <v>4.3255076522826792E-2</v>
      </c>
      <c r="BF374">
        <v>4.5288347127290719E-2</v>
      </c>
      <c r="BH374">
        <v>8.8543423650117511E-2</v>
      </c>
      <c r="BI374">
        <v>4.4271711825058763E-2</v>
      </c>
      <c r="BJ374">
        <v>0.2527760301328752</v>
      </c>
    </row>
    <row r="375" spans="1:62" x14ac:dyDescent="0.3">
      <c r="A375" s="2" t="s">
        <v>303</v>
      </c>
      <c r="B375" s="13" t="s">
        <v>828</v>
      </c>
      <c r="C375" s="13"/>
      <c r="F375" s="2">
        <v>3.4</v>
      </c>
      <c r="G375" s="2" t="s">
        <v>302</v>
      </c>
      <c r="H375" s="32" t="s">
        <v>527</v>
      </c>
      <c r="I375" s="1" t="s">
        <v>609</v>
      </c>
      <c r="J375"/>
      <c r="L375" s="25">
        <v>0</v>
      </c>
      <c r="M375">
        <v>4</v>
      </c>
      <c r="N375">
        <v>0</v>
      </c>
      <c r="O375" s="2">
        <v>-1</v>
      </c>
      <c r="T375" s="36">
        <v>3.86</v>
      </c>
      <c r="U375" s="36">
        <v>3.86</v>
      </c>
      <c r="V375" s="36">
        <v>15.19056011</v>
      </c>
      <c r="W375">
        <v>3.8801999999999999</v>
      </c>
      <c r="X375">
        <v>29.507999999999999</v>
      </c>
      <c r="Y375">
        <v>7.7140000000000004</v>
      </c>
      <c r="Z375">
        <v>0</v>
      </c>
      <c r="AD375">
        <v>20</v>
      </c>
      <c r="AE375" s="55">
        <f t="shared" si="21"/>
        <v>0</v>
      </c>
      <c r="AF375" s="57">
        <v>0</v>
      </c>
      <c r="AG375" s="55">
        <v>883.22940750240002</v>
      </c>
      <c r="AH375" s="55">
        <v>0</v>
      </c>
      <c r="AJ375" s="51"/>
      <c r="AK375" s="52">
        <v>9.0576694254581439E-2</v>
      </c>
      <c r="AM375" s="28">
        <v>1.75</v>
      </c>
      <c r="AN375" s="28">
        <v>2.5</v>
      </c>
      <c r="AO375" s="28">
        <v>0.75</v>
      </c>
      <c r="AP375" s="28">
        <v>0</v>
      </c>
      <c r="AQ375" s="28">
        <v>0.35</v>
      </c>
      <c r="AR375" s="28">
        <v>0.5</v>
      </c>
      <c r="AS375" s="28">
        <v>0.15</v>
      </c>
      <c r="AT375" s="28">
        <v>0</v>
      </c>
      <c r="AU375" s="25">
        <v>0.82</v>
      </c>
      <c r="AV375" s="25">
        <v>3.44</v>
      </c>
      <c r="AW375" s="25">
        <v>2.62</v>
      </c>
      <c r="AX375" s="25">
        <v>2.6231249999999999</v>
      </c>
      <c r="AY375">
        <v>2.6231249999999999</v>
      </c>
      <c r="AZ375">
        <v>5.9545980243750014</v>
      </c>
      <c r="BA375" s="75">
        <v>0.50555206026575039</v>
      </c>
      <c r="BB375" s="75">
        <v>0</v>
      </c>
      <c r="BF375">
        <v>4.5288347127290719E-2</v>
      </c>
      <c r="BH375">
        <v>9.0576694254581439E-2</v>
      </c>
      <c r="BI375">
        <v>4.5288347127290719E-2</v>
      </c>
      <c r="BJ375">
        <v>0.2527760301328752</v>
      </c>
    </row>
    <row r="376" spans="1:62" x14ac:dyDescent="0.3">
      <c r="A376" s="2" t="s">
        <v>7</v>
      </c>
      <c r="B376" s="13" t="s">
        <v>692</v>
      </c>
      <c r="C376" s="13"/>
      <c r="F376" s="2">
        <v>3.3</v>
      </c>
      <c r="G376" s="2" t="s">
        <v>302</v>
      </c>
      <c r="H376" s="32" t="s">
        <v>527</v>
      </c>
      <c r="I376" s="1" t="s">
        <v>609</v>
      </c>
      <c r="J376"/>
      <c r="L376" s="25">
        <v>0</v>
      </c>
      <c r="M376">
        <v>4</v>
      </c>
      <c r="N376">
        <v>0</v>
      </c>
      <c r="O376" s="2">
        <v>-1</v>
      </c>
      <c r="T376" s="36">
        <v>3.86</v>
      </c>
      <c r="U376" s="36">
        <v>3.86</v>
      </c>
      <c r="V376" s="36">
        <v>15.19056011</v>
      </c>
      <c r="W376">
        <v>3.8801999999999999</v>
      </c>
      <c r="X376">
        <v>29.507999999999999</v>
      </c>
      <c r="Y376">
        <v>7.7140000000000004</v>
      </c>
      <c r="Z376">
        <v>0</v>
      </c>
      <c r="AD376">
        <v>20</v>
      </c>
      <c r="AE376" s="55">
        <f t="shared" si="21"/>
        <v>0</v>
      </c>
      <c r="AF376" s="57">
        <v>0</v>
      </c>
      <c r="AG376" s="55">
        <v>883.22940750240002</v>
      </c>
      <c r="AH376" s="55">
        <v>0</v>
      </c>
      <c r="AJ376" s="51"/>
      <c r="AK376" s="52">
        <v>9.0576694254581439E-2</v>
      </c>
      <c r="AM376" s="28">
        <v>1.75</v>
      </c>
      <c r="AN376" s="28">
        <v>2.5</v>
      </c>
      <c r="AO376" s="28">
        <v>0.75</v>
      </c>
      <c r="AP376" s="28">
        <v>0</v>
      </c>
      <c r="AQ376" s="28">
        <v>0.35</v>
      </c>
      <c r="AR376" s="28">
        <v>0.5</v>
      </c>
      <c r="AS376" s="28">
        <v>0.15</v>
      </c>
      <c r="AT376" s="28">
        <v>0</v>
      </c>
      <c r="AU376" s="25">
        <v>0.82</v>
      </c>
      <c r="AV376" s="25">
        <v>3.44</v>
      </c>
      <c r="AW376" s="25">
        <v>2.62</v>
      </c>
      <c r="AX376" s="25">
        <v>2.62</v>
      </c>
      <c r="AY376">
        <v>2.62</v>
      </c>
      <c r="AZ376">
        <v>5.9423863675000002</v>
      </c>
      <c r="BA376" s="75">
        <v>0.50555206026575039</v>
      </c>
      <c r="BB376" s="75">
        <v>0</v>
      </c>
      <c r="BF376">
        <v>4.5288347127290719E-2</v>
      </c>
      <c r="BH376">
        <v>9.0576694254581439E-2</v>
      </c>
      <c r="BI376">
        <v>4.5288347127290719E-2</v>
      </c>
      <c r="BJ376">
        <v>0.2527760301328752</v>
      </c>
    </row>
    <row r="377" spans="1:62" x14ac:dyDescent="0.3">
      <c r="A377" s="2" t="s">
        <v>63</v>
      </c>
      <c r="B377" s="13" t="s">
        <v>773</v>
      </c>
      <c r="C377" s="13"/>
      <c r="F377" s="2">
        <v>3.5</v>
      </c>
      <c r="G377" s="2" t="s">
        <v>305</v>
      </c>
      <c r="H377" s="9">
        <v>-1</v>
      </c>
      <c r="I377">
        <v>-1</v>
      </c>
      <c r="J377" t="s">
        <v>1179</v>
      </c>
      <c r="K377" s="2">
        <v>1</v>
      </c>
      <c r="L377" s="25">
        <v>0</v>
      </c>
      <c r="M377">
        <v>0</v>
      </c>
      <c r="N377">
        <v>1</v>
      </c>
      <c r="O377" s="2">
        <v>-1</v>
      </c>
      <c r="T377" s="25">
        <v>3.84</v>
      </c>
      <c r="U377" s="25">
        <v>3.84</v>
      </c>
      <c r="V377" s="25">
        <v>13.97</v>
      </c>
      <c r="W377">
        <v>3.8504999999999998</v>
      </c>
      <c r="X377">
        <v>3.8504999999999998</v>
      </c>
      <c r="Y377">
        <v>14.379</v>
      </c>
      <c r="AD377">
        <v>20</v>
      </c>
      <c r="AE377" s="55">
        <f t="shared" si="21"/>
        <v>0</v>
      </c>
      <c r="AF377" s="57">
        <v>0</v>
      </c>
      <c r="AG377" s="55">
        <v>0</v>
      </c>
      <c r="AH377" s="55">
        <v>213.2</v>
      </c>
      <c r="AJ377" s="51"/>
      <c r="AL377" s="67">
        <f>N377*AD377/AH377</f>
        <v>9.3808630393996256E-2</v>
      </c>
      <c r="AM377" s="28">
        <v>1.75</v>
      </c>
      <c r="AN377" s="28">
        <v>2.5</v>
      </c>
      <c r="AO377" s="28">
        <v>0.75</v>
      </c>
      <c r="AP377" s="28">
        <v>0</v>
      </c>
      <c r="AQ377" s="28">
        <v>0.35</v>
      </c>
      <c r="AR377" s="28">
        <v>0.5</v>
      </c>
      <c r="AS377" s="28">
        <v>0.15</v>
      </c>
      <c r="AT377" s="28">
        <v>0</v>
      </c>
      <c r="AU377" s="25">
        <v>1</v>
      </c>
      <c r="AV377" s="25">
        <v>3.44</v>
      </c>
      <c r="AW377" s="25">
        <v>2.44</v>
      </c>
      <c r="AX377" s="25">
        <v>2.7124999999999999</v>
      </c>
      <c r="AY377">
        <v>2.7124999999999999</v>
      </c>
      <c r="AZ377">
        <v>6.264025610615688</v>
      </c>
      <c r="BC377" s="75">
        <v>0</v>
      </c>
      <c r="BD377" t="s">
        <v>459</v>
      </c>
      <c r="BG377">
        <v>4.6904315196998128E-2</v>
      </c>
      <c r="BH377">
        <v>9.3808630393996256E-2</v>
      </c>
      <c r="BI377" t="s">
        <v>459</v>
      </c>
      <c r="BJ377">
        <v>0</v>
      </c>
    </row>
    <row r="378" spans="1:62" x14ac:dyDescent="0.3">
      <c r="A378" s="2" t="s">
        <v>304</v>
      </c>
      <c r="B378" s="34" t="s">
        <v>829</v>
      </c>
      <c r="C378" s="34"/>
      <c r="F378" s="2">
        <v>3.33</v>
      </c>
      <c r="G378" s="2" t="s">
        <v>305</v>
      </c>
      <c r="H378" s="35">
        <v>-1</v>
      </c>
      <c r="I378" s="2">
        <v>-1</v>
      </c>
      <c r="K378" s="2">
        <v>4</v>
      </c>
      <c r="L378" s="29">
        <v>0</v>
      </c>
      <c r="M378">
        <v>0</v>
      </c>
      <c r="N378">
        <v>0</v>
      </c>
      <c r="O378" s="2">
        <v>6.47</v>
      </c>
      <c r="P378" s="2">
        <v>6.47</v>
      </c>
      <c r="Q378" s="2">
        <v>30.69</v>
      </c>
      <c r="T378" s="29">
        <v>0</v>
      </c>
      <c r="U378" s="29"/>
      <c r="V378" s="29"/>
      <c r="W378">
        <v>0</v>
      </c>
      <c r="Z378">
        <v>0</v>
      </c>
      <c r="AD378" s="2">
        <v>34</v>
      </c>
      <c r="AE378" s="55">
        <f t="shared" si="21"/>
        <v>1284.7110209999998</v>
      </c>
      <c r="AF378" s="57">
        <v>0</v>
      </c>
      <c r="AG378" s="55">
        <v>0</v>
      </c>
      <c r="AH378" s="55">
        <v>0</v>
      </c>
      <c r="AI378" s="52">
        <f t="shared" ref="AI378:AI380" si="25">K378*AD378/AE378</f>
        <v>0.1058603824338174</v>
      </c>
      <c r="AJ378" s="51"/>
      <c r="AM378" s="2">
        <v>1.62962962962963</v>
      </c>
      <c r="AN378" s="2">
        <v>2.518518518518519</v>
      </c>
      <c r="AO378" s="2">
        <v>0.88888888888888884</v>
      </c>
      <c r="AP378" s="2">
        <v>0</v>
      </c>
      <c r="AQ378" s="2">
        <v>0.32352941176470579</v>
      </c>
      <c r="AR378" s="2">
        <v>0.5</v>
      </c>
      <c r="AS378" s="2">
        <v>0.1764705882352941</v>
      </c>
      <c r="AT378" s="2">
        <v>0</v>
      </c>
      <c r="AU378" s="29">
        <v>1.6</v>
      </c>
      <c r="AV378" s="29">
        <v>3.44</v>
      </c>
      <c r="AW378" s="29">
        <v>1.84</v>
      </c>
      <c r="AX378" s="29">
        <v>2.8474074074074069</v>
      </c>
      <c r="AY378" s="2">
        <v>2.8474074074074069</v>
      </c>
      <c r="AZ378" s="2">
        <v>6.6632481018297778</v>
      </c>
      <c r="BD378">
        <v>5.2930191216908701E-2</v>
      </c>
      <c r="BH378">
        <v>0.1058603824338174</v>
      </c>
      <c r="BI378">
        <v>5.2930191216908701E-2</v>
      </c>
      <c r="BJ378">
        <v>0</v>
      </c>
    </row>
    <row r="379" spans="1:62" s="5" customFormat="1" x14ac:dyDescent="0.3">
      <c r="A379" s="2" t="s">
        <v>299</v>
      </c>
      <c r="B379" s="33" t="s">
        <v>949</v>
      </c>
      <c r="C379" s="34"/>
      <c r="D379" s="2"/>
      <c r="E379" s="2"/>
      <c r="F379" s="2">
        <v>3.65</v>
      </c>
      <c r="G379" s="2" t="s">
        <v>306</v>
      </c>
      <c r="H379" s="35">
        <v>-1</v>
      </c>
      <c r="I379" s="2">
        <v>-1</v>
      </c>
      <c r="J379" s="2"/>
      <c r="K379" s="2">
        <v>1</v>
      </c>
      <c r="L379" s="29">
        <v>0</v>
      </c>
      <c r="M379">
        <v>0</v>
      </c>
      <c r="N379">
        <v>0</v>
      </c>
      <c r="O379" s="2">
        <v>3.8531</v>
      </c>
      <c r="P379" s="2">
        <v>3.8531</v>
      </c>
      <c r="Q379" s="2">
        <v>16.2151</v>
      </c>
      <c r="R379" s="2"/>
      <c r="S379" s="2"/>
      <c r="T379" s="29">
        <v>0</v>
      </c>
      <c r="U379" s="29"/>
      <c r="V379" s="29"/>
      <c r="W379">
        <v>0</v>
      </c>
      <c r="X379"/>
      <c r="Y379"/>
      <c r="Z379">
        <v>0</v>
      </c>
      <c r="AA379"/>
      <c r="AB379"/>
      <c r="AC379" s="2"/>
      <c r="AD379" s="2">
        <v>20</v>
      </c>
      <c r="AE379" s="55">
        <f t="shared" si="21"/>
        <v>240.73553001411099</v>
      </c>
      <c r="AF379" s="57">
        <v>0</v>
      </c>
      <c r="AG379" s="55">
        <v>0</v>
      </c>
      <c r="AH379" s="55">
        <v>0</v>
      </c>
      <c r="AI379" s="52">
        <f t="shared" si="25"/>
        <v>8.3078721279022161E-2</v>
      </c>
      <c r="AJ379" s="51"/>
      <c r="AK379" s="52"/>
      <c r="AL379" s="52"/>
      <c r="AM379" s="2">
        <v>1.76875</v>
      </c>
      <c r="AN379" s="2">
        <v>2.5</v>
      </c>
      <c r="AO379" s="2">
        <v>0.73125000000000007</v>
      </c>
      <c r="AP379" s="2">
        <v>0.26250000000000001</v>
      </c>
      <c r="AQ379" s="2">
        <v>0.33610451306413303</v>
      </c>
      <c r="AR379" s="2">
        <v>0.47505938242280282</v>
      </c>
      <c r="AS379" s="2">
        <v>0.13895486935866991</v>
      </c>
      <c r="AT379" s="2">
        <v>4.9881235154394299E-2</v>
      </c>
      <c r="AU379" s="29">
        <v>1</v>
      </c>
      <c r="AV379" s="29">
        <v>3.44</v>
      </c>
      <c r="AW379" s="29">
        <v>2.44</v>
      </c>
      <c r="AX379" s="29">
        <v>2.7106249999999998</v>
      </c>
      <c r="AY379" s="2">
        <v>2.7106249999999998</v>
      </c>
      <c r="AZ379" s="2">
        <v>6.2658671793656886</v>
      </c>
      <c r="BA379" s="75"/>
      <c r="BB379" s="75"/>
      <c r="BC379" s="75"/>
      <c r="BD379">
        <v>4.153936063951108E-2</v>
      </c>
      <c r="BE379"/>
      <c r="BF379"/>
      <c r="BG379"/>
      <c r="BH379">
        <v>8.3078721279022161E-2</v>
      </c>
      <c r="BI379">
        <v>4.153936063951108E-2</v>
      </c>
      <c r="BJ379">
        <v>0</v>
      </c>
    </row>
    <row r="380" spans="1:62" s="5" customFormat="1" x14ac:dyDescent="0.3">
      <c r="A380" s="2" t="s">
        <v>301</v>
      </c>
      <c r="B380" s="33" t="s">
        <v>950</v>
      </c>
      <c r="C380" s="34"/>
      <c r="D380" s="2"/>
      <c r="E380" s="2"/>
      <c r="F380" s="2">
        <v>3.8</v>
      </c>
      <c r="G380" s="2" t="s">
        <v>306</v>
      </c>
      <c r="H380" s="35">
        <v>-1</v>
      </c>
      <c r="I380" s="2">
        <v>-1</v>
      </c>
      <c r="J380" s="2"/>
      <c r="K380" s="2">
        <v>1</v>
      </c>
      <c r="L380" s="29">
        <v>0</v>
      </c>
      <c r="M380">
        <v>0</v>
      </c>
      <c r="N380">
        <v>0</v>
      </c>
      <c r="O380" s="2">
        <v>3.8531</v>
      </c>
      <c r="P380" s="2">
        <v>3.8531</v>
      </c>
      <c r="Q380" s="2">
        <v>16.2151</v>
      </c>
      <c r="R380" s="2"/>
      <c r="S380" s="2"/>
      <c r="T380" s="29">
        <v>0</v>
      </c>
      <c r="U380" s="29"/>
      <c r="V380" s="29"/>
      <c r="W380">
        <v>0</v>
      </c>
      <c r="X380"/>
      <c r="Y380"/>
      <c r="Z380">
        <v>0</v>
      </c>
      <c r="AA380"/>
      <c r="AB380"/>
      <c r="AC380" s="2"/>
      <c r="AD380" s="2">
        <v>20</v>
      </c>
      <c r="AE380" s="55">
        <f t="shared" si="21"/>
        <v>240.73553001411099</v>
      </c>
      <c r="AF380" s="57">
        <v>0</v>
      </c>
      <c r="AG380" s="55">
        <v>0</v>
      </c>
      <c r="AH380" s="55">
        <v>0</v>
      </c>
      <c r="AI380" s="52">
        <f t="shared" si="25"/>
        <v>8.3078721279022161E-2</v>
      </c>
      <c r="AJ380" s="51"/>
      <c r="AK380" s="52"/>
      <c r="AL380" s="52"/>
      <c r="AM380" s="2">
        <v>1.84375</v>
      </c>
      <c r="AN380" s="2">
        <v>2.5</v>
      </c>
      <c r="AO380" s="2">
        <v>0.65625</v>
      </c>
      <c r="AP380" s="2">
        <v>1.3125</v>
      </c>
      <c r="AQ380" s="2">
        <v>0.29207920792079212</v>
      </c>
      <c r="AR380" s="2">
        <v>0.39603960396039611</v>
      </c>
      <c r="AS380" s="2">
        <v>0.103960396039604</v>
      </c>
      <c r="AT380" s="2">
        <v>0.20792079207920791</v>
      </c>
      <c r="AU380" s="29">
        <v>1</v>
      </c>
      <c r="AV380" s="29">
        <v>3.44</v>
      </c>
      <c r="AW380" s="29">
        <v>2.44</v>
      </c>
      <c r="AX380" s="29">
        <v>2.703125</v>
      </c>
      <c r="AY380" s="2">
        <v>2.703125</v>
      </c>
      <c r="AZ380" s="2">
        <v>6.2732334543656876</v>
      </c>
      <c r="BA380" s="75"/>
      <c r="BB380" s="75"/>
      <c r="BC380" s="75"/>
      <c r="BD380">
        <v>4.153936063951108E-2</v>
      </c>
      <c r="BE380"/>
      <c r="BF380"/>
      <c r="BG380"/>
      <c r="BH380">
        <v>8.3078721279022161E-2</v>
      </c>
      <c r="BI380">
        <v>4.153936063951108E-2</v>
      </c>
      <c r="BJ380">
        <v>0</v>
      </c>
    </row>
    <row r="381" spans="1:62" x14ac:dyDescent="0.3">
      <c r="A381" s="2" t="s">
        <v>46</v>
      </c>
      <c r="B381" s="34" t="s">
        <v>722</v>
      </c>
      <c r="C381" s="34"/>
      <c r="F381" s="2">
        <v>3.34</v>
      </c>
      <c r="G381" s="2" t="s">
        <v>307</v>
      </c>
      <c r="H381" s="35" t="s">
        <v>551</v>
      </c>
      <c r="I381" s="2" t="s">
        <v>629</v>
      </c>
      <c r="L381" s="29">
        <v>2</v>
      </c>
      <c r="M381">
        <v>4</v>
      </c>
      <c r="N381">
        <v>0</v>
      </c>
      <c r="T381" s="29">
        <v>7.41544296</v>
      </c>
      <c r="U381" s="29">
        <v>7.4154429599999991</v>
      </c>
      <c r="V381" s="29">
        <v>7.41544296</v>
      </c>
      <c r="W381">
        <v>7.8</v>
      </c>
      <c r="X381">
        <v>13.010999999999999</v>
      </c>
      <c r="Y381">
        <v>5.5460000000000003</v>
      </c>
      <c r="Z381">
        <v>0</v>
      </c>
      <c r="AD381" s="2" t="s">
        <v>1241</v>
      </c>
      <c r="AE381" s="55">
        <f t="shared" si="21"/>
        <v>0</v>
      </c>
      <c r="AF381" s="57">
        <v>288.33429290182369</v>
      </c>
      <c r="AG381" s="55">
        <v>556.51188553357167</v>
      </c>
      <c r="AH381" s="55">
        <v>0</v>
      </c>
      <c r="AJ381" s="51">
        <v>9.7109503410799117E-2</v>
      </c>
      <c r="AK381" s="52">
        <v>0.10062678166578309</v>
      </c>
      <c r="AM381" s="2">
        <v>2</v>
      </c>
      <c r="AN381" s="2">
        <v>2.545454545454545</v>
      </c>
      <c r="AO381" s="2">
        <v>0.54545454545454541</v>
      </c>
      <c r="AP381" s="2">
        <v>0</v>
      </c>
      <c r="AQ381" s="2">
        <v>0.39285714285714279</v>
      </c>
      <c r="AR381" s="2">
        <v>0.5</v>
      </c>
      <c r="AS381" s="2">
        <v>0.1071428571428571</v>
      </c>
      <c r="AT381" s="2">
        <v>0</v>
      </c>
      <c r="AU381" s="29">
        <v>1.1000000000000001</v>
      </c>
      <c r="AV381" s="29">
        <v>3.44</v>
      </c>
      <c r="AW381" s="29">
        <v>2.34</v>
      </c>
      <c r="AX381" s="29">
        <v>2.669090909090909</v>
      </c>
      <c r="AY381" s="2">
        <v>2.669090909090909</v>
      </c>
      <c r="AZ381" s="2">
        <v>5.9831974772727277</v>
      </c>
      <c r="BA381" s="75">
        <v>0.52442413903612473</v>
      </c>
      <c r="BB381" s="75">
        <v>0.54341863036636606</v>
      </c>
      <c r="BE381">
        <v>4.8554751705399558E-2</v>
      </c>
      <c r="BF381">
        <v>5.0313390832891547E-2</v>
      </c>
      <c r="BH381">
        <v>9.8868142538291098E-2</v>
      </c>
      <c r="BI381">
        <v>4.9434071269145549E-2</v>
      </c>
      <c r="BJ381">
        <v>0.53392138470124539</v>
      </c>
    </row>
    <row r="382" spans="1:62" x14ac:dyDescent="0.3">
      <c r="A382" s="2" t="s">
        <v>891</v>
      </c>
      <c r="B382" s="34" t="s">
        <v>722</v>
      </c>
      <c r="C382" s="34"/>
      <c r="D382" s="2" t="s">
        <v>676</v>
      </c>
      <c r="E382" s="2">
        <v>0.22</v>
      </c>
      <c r="F382" s="2">
        <v>3.17</v>
      </c>
      <c r="G382" s="2" t="s">
        <v>307</v>
      </c>
      <c r="H382" s="35" t="s">
        <v>551</v>
      </c>
      <c r="I382" s="2" t="s">
        <v>629</v>
      </c>
      <c r="L382" s="29">
        <v>2</v>
      </c>
      <c r="M382">
        <v>4</v>
      </c>
      <c r="N382">
        <v>0</v>
      </c>
      <c r="T382" s="29">
        <v>7.41544296</v>
      </c>
      <c r="U382" s="29">
        <v>7.4154429599999991</v>
      </c>
      <c r="V382" s="29">
        <v>7.41544296</v>
      </c>
      <c r="W382">
        <v>7.8</v>
      </c>
      <c r="X382">
        <v>13.010999999999999</v>
      </c>
      <c r="Y382">
        <v>5.5460000000000003</v>
      </c>
      <c r="Z382">
        <v>0</v>
      </c>
      <c r="AD382" s="2">
        <v>14</v>
      </c>
      <c r="AE382" s="55">
        <f t="shared" si="21"/>
        <v>0</v>
      </c>
      <c r="AF382" s="57">
        <v>288.33429290182369</v>
      </c>
      <c r="AG382" s="55">
        <v>556.51188553357167</v>
      </c>
      <c r="AH382" s="55">
        <v>0</v>
      </c>
      <c r="AJ382" s="51">
        <v>9.7109503410799117E-2</v>
      </c>
      <c r="AK382" s="52">
        <v>0.10062678166578309</v>
      </c>
      <c r="AM382" s="2">
        <v>2</v>
      </c>
      <c r="AN382" s="2">
        <v>2.545454545454545</v>
      </c>
      <c r="AO382" s="2">
        <v>0.54545454545454541</v>
      </c>
      <c r="AP382" s="2">
        <v>0</v>
      </c>
      <c r="AQ382" s="2">
        <v>0.39285714285714279</v>
      </c>
      <c r="AR382" s="2">
        <v>0.5</v>
      </c>
      <c r="AS382" s="2">
        <v>0.1071428571428571</v>
      </c>
      <c r="AT382" s="2">
        <v>0</v>
      </c>
      <c r="AU382" s="29">
        <v>1.1000000000000001</v>
      </c>
      <c r="AV382" s="29">
        <v>3.44</v>
      </c>
      <c r="AW382" s="29">
        <v>2.34</v>
      </c>
      <c r="AX382" s="29">
        <v>2.669090909090909</v>
      </c>
      <c r="AY382" s="2">
        <v>2.669090909090909</v>
      </c>
      <c r="AZ382" s="2">
        <v>5.9831974772727277</v>
      </c>
      <c r="BA382" s="75">
        <v>0.52442413903612473</v>
      </c>
      <c r="BB382" s="75">
        <v>0.54341863036636606</v>
      </c>
      <c r="BE382">
        <v>4.8554751705399558E-2</v>
      </c>
      <c r="BF382">
        <v>5.0313390832891547E-2</v>
      </c>
      <c r="BH382">
        <v>9.8868142538291098E-2</v>
      </c>
      <c r="BI382">
        <v>4.9434071269145549E-2</v>
      </c>
      <c r="BJ382">
        <v>0.53392138470124539</v>
      </c>
    </row>
    <row r="383" spans="1:62" x14ac:dyDescent="0.3">
      <c r="A383" s="2" t="s">
        <v>308</v>
      </c>
      <c r="B383" s="34" t="s">
        <v>830</v>
      </c>
      <c r="C383" s="34"/>
      <c r="F383" s="2">
        <v>3.44</v>
      </c>
      <c r="G383" s="2" t="s">
        <v>309</v>
      </c>
      <c r="H383" s="35" t="s">
        <v>601</v>
      </c>
      <c r="I383" s="2" t="s">
        <v>672</v>
      </c>
      <c r="L383" s="29">
        <v>1</v>
      </c>
      <c r="M383">
        <v>2</v>
      </c>
      <c r="N383">
        <v>0</v>
      </c>
      <c r="T383" s="29">
        <v>3.9408639999999999</v>
      </c>
      <c r="U383" s="29">
        <v>3.9455239999999989</v>
      </c>
      <c r="V383" s="29">
        <v>15.25730117</v>
      </c>
      <c r="W383">
        <v>3.8656999999999999</v>
      </c>
      <c r="X383">
        <v>29.777000000000001</v>
      </c>
      <c r="Y383">
        <v>3.8519999999999999</v>
      </c>
      <c r="Z383">
        <v>0</v>
      </c>
      <c r="AD383" s="2">
        <v>20</v>
      </c>
      <c r="AE383" s="55">
        <f t="shared" si="21"/>
        <v>0</v>
      </c>
      <c r="AF383" s="57">
        <v>235.24089263777751</v>
      </c>
      <c r="AG383" s="55">
        <v>443.39967116280002</v>
      </c>
      <c r="AH383" s="55">
        <v>0</v>
      </c>
      <c r="AJ383" s="51">
        <v>8.5019231884976218E-2</v>
      </c>
      <c r="AK383" s="52">
        <v>9.0212065099420147E-2</v>
      </c>
      <c r="AM383" s="2">
        <v>1.9375</v>
      </c>
      <c r="AN383" s="2">
        <v>2.5</v>
      </c>
      <c r="AO383" s="2">
        <v>0.5625</v>
      </c>
      <c r="AP383" s="2">
        <v>2.625</v>
      </c>
      <c r="AQ383" s="2">
        <v>0.25409836065573771</v>
      </c>
      <c r="AR383" s="2">
        <v>0.32786885245901642</v>
      </c>
      <c r="AS383" s="2">
        <v>7.3770491803278687E-2</v>
      </c>
      <c r="AT383" s="2">
        <v>0.34426229508196721</v>
      </c>
      <c r="AU383" s="29">
        <v>0.82</v>
      </c>
      <c r="AV383" s="29">
        <v>3.44</v>
      </c>
      <c r="AW383" s="29">
        <v>2.62</v>
      </c>
      <c r="AX383" s="29">
        <v>2.6074999999999999</v>
      </c>
      <c r="AY383" s="2">
        <v>2.6074999999999999</v>
      </c>
      <c r="AZ383" s="2">
        <v>5.9852253687500001</v>
      </c>
      <c r="BA383" s="75">
        <v>0.49683934576995548</v>
      </c>
      <c r="BB383" s="75">
        <v>0</v>
      </c>
      <c r="BE383">
        <v>4.2509615942488109E-2</v>
      </c>
      <c r="BF383">
        <v>4.5106032549710073E-2</v>
      </c>
      <c r="BH383">
        <v>8.7615648492198189E-2</v>
      </c>
      <c r="BI383">
        <v>4.3807824246099088E-2</v>
      </c>
      <c r="BJ383">
        <v>0.24841967288497771</v>
      </c>
    </row>
    <row r="384" spans="1:62" x14ac:dyDescent="0.3">
      <c r="A384" s="2" t="s">
        <v>63</v>
      </c>
      <c r="B384" s="34" t="s">
        <v>773</v>
      </c>
      <c r="C384" s="34"/>
      <c r="F384" s="2">
        <v>3.4</v>
      </c>
      <c r="G384" s="2" t="s">
        <v>310</v>
      </c>
      <c r="H384" s="35">
        <v>-1</v>
      </c>
      <c r="I384" s="2">
        <v>-1</v>
      </c>
      <c r="K384" s="2">
        <v>1</v>
      </c>
      <c r="L384" s="29">
        <v>0</v>
      </c>
      <c r="M384">
        <v>0</v>
      </c>
      <c r="N384">
        <v>0</v>
      </c>
      <c r="O384" s="2">
        <v>3.8531</v>
      </c>
      <c r="P384" s="2">
        <v>3.8531</v>
      </c>
      <c r="Q384" s="2">
        <v>16.2151</v>
      </c>
      <c r="T384" s="29">
        <v>0</v>
      </c>
      <c r="U384" s="29"/>
      <c r="V384" s="29"/>
      <c r="W384">
        <v>0</v>
      </c>
      <c r="Z384">
        <v>0</v>
      </c>
      <c r="AD384" s="2">
        <v>20</v>
      </c>
      <c r="AE384" s="55">
        <f t="shared" si="21"/>
        <v>240.73553001411099</v>
      </c>
      <c r="AF384" s="57">
        <v>0</v>
      </c>
      <c r="AG384" s="55">
        <v>0</v>
      </c>
      <c r="AH384" s="55">
        <v>0</v>
      </c>
      <c r="AI384" s="52">
        <f t="shared" ref="AI384:AI386" si="26">K384*AD384/AE384</f>
        <v>8.3078721279022161E-2</v>
      </c>
      <c r="AJ384" s="51"/>
      <c r="AM384" s="2">
        <v>1.75</v>
      </c>
      <c r="AN384" s="2">
        <v>2.5</v>
      </c>
      <c r="AO384" s="2">
        <v>0.75</v>
      </c>
      <c r="AP384" s="2">
        <v>0</v>
      </c>
      <c r="AQ384" s="2">
        <v>0.35</v>
      </c>
      <c r="AR384" s="2">
        <v>0.5</v>
      </c>
      <c r="AS384" s="2">
        <v>0.15</v>
      </c>
      <c r="AT384" s="2">
        <v>0</v>
      </c>
      <c r="AU384" s="29">
        <v>1</v>
      </c>
      <c r="AV384" s="29">
        <v>3.44</v>
      </c>
      <c r="AW384" s="29">
        <v>2.44</v>
      </c>
      <c r="AX384" s="29">
        <v>2.7124999999999999</v>
      </c>
      <c r="AY384" s="2">
        <v>2.7124999999999999</v>
      </c>
      <c r="AZ384" s="2">
        <v>6.264025610615688</v>
      </c>
      <c r="BD384">
        <v>4.153936063951108E-2</v>
      </c>
      <c r="BH384">
        <v>8.3078721279022161E-2</v>
      </c>
      <c r="BI384">
        <v>4.153936063951108E-2</v>
      </c>
      <c r="BJ384">
        <v>0</v>
      </c>
    </row>
    <row r="385" spans="1:62" x14ac:dyDescent="0.3">
      <c r="A385" s="2" t="s">
        <v>63</v>
      </c>
      <c r="B385" s="34" t="s">
        <v>773</v>
      </c>
      <c r="C385" s="34"/>
      <c r="D385" s="2" t="s">
        <v>246</v>
      </c>
      <c r="E385" s="2">
        <v>0.7</v>
      </c>
      <c r="F385" s="2">
        <v>2.15</v>
      </c>
      <c r="G385" s="2" t="s">
        <v>310</v>
      </c>
      <c r="H385" s="35">
        <v>-1</v>
      </c>
      <c r="I385" s="2">
        <v>-1</v>
      </c>
      <c r="K385" s="2">
        <v>1</v>
      </c>
      <c r="L385" s="29">
        <v>0</v>
      </c>
      <c r="M385">
        <v>0</v>
      </c>
      <c r="N385">
        <v>0</v>
      </c>
      <c r="O385" s="2">
        <v>3.8531</v>
      </c>
      <c r="P385" s="2">
        <v>3.8531</v>
      </c>
      <c r="Q385" s="2">
        <v>16.2151</v>
      </c>
      <c r="T385" s="29">
        <v>0</v>
      </c>
      <c r="U385" s="29"/>
      <c r="V385" s="29"/>
      <c r="W385">
        <v>0</v>
      </c>
      <c r="Z385">
        <v>0</v>
      </c>
      <c r="AD385" s="2">
        <v>20</v>
      </c>
      <c r="AE385" s="55">
        <f t="shared" si="21"/>
        <v>240.73553001411099</v>
      </c>
      <c r="AF385" s="57">
        <v>0</v>
      </c>
      <c r="AG385" s="55">
        <v>0</v>
      </c>
      <c r="AH385" s="55">
        <v>0</v>
      </c>
      <c r="AI385" s="52">
        <f t="shared" si="26"/>
        <v>8.3078721279022161E-2</v>
      </c>
      <c r="AJ385" s="51"/>
      <c r="AM385" s="2">
        <v>1.75</v>
      </c>
      <c r="AN385" s="2">
        <v>2.5</v>
      </c>
      <c r="AO385" s="2">
        <v>0.75</v>
      </c>
      <c r="AP385" s="2">
        <v>0</v>
      </c>
      <c r="AQ385" s="2">
        <v>0.35</v>
      </c>
      <c r="AR385" s="2">
        <v>0.5</v>
      </c>
      <c r="AS385" s="2">
        <v>0.15</v>
      </c>
      <c r="AT385" s="2">
        <v>0</v>
      </c>
      <c r="AU385" s="29">
        <v>1</v>
      </c>
      <c r="AV385" s="29">
        <v>3.44</v>
      </c>
      <c r="AW385" s="29">
        <v>2.44</v>
      </c>
      <c r="AX385" s="29">
        <v>2.7124999999999999</v>
      </c>
      <c r="AY385" s="2">
        <v>2.7124999999999999</v>
      </c>
      <c r="AZ385" s="2">
        <v>6.264025610615688</v>
      </c>
      <c r="BD385">
        <v>4.153936063951108E-2</v>
      </c>
      <c r="BH385">
        <v>8.3078721279022161E-2</v>
      </c>
      <c r="BI385">
        <v>4.153936063951108E-2</v>
      </c>
      <c r="BJ385">
        <v>0</v>
      </c>
    </row>
    <row r="386" spans="1:62" x14ac:dyDescent="0.3">
      <c r="A386" s="2" t="s">
        <v>311</v>
      </c>
      <c r="B386" s="13" t="s">
        <v>831</v>
      </c>
      <c r="C386" s="13"/>
      <c r="F386" s="2">
        <v>3.54</v>
      </c>
      <c r="G386" s="2" t="s">
        <v>312</v>
      </c>
      <c r="H386" s="9">
        <v>-1</v>
      </c>
      <c r="I386">
        <v>-1</v>
      </c>
      <c r="J386"/>
      <c r="K386" s="2">
        <v>1</v>
      </c>
      <c r="L386" s="25">
        <v>0</v>
      </c>
      <c r="M386">
        <v>0</v>
      </c>
      <c r="N386">
        <v>0</v>
      </c>
      <c r="O386" s="2">
        <v>3.9647999999999999</v>
      </c>
      <c r="P386" s="2">
        <v>3.9647999999999999</v>
      </c>
      <c r="Q386" s="2">
        <v>15.7392</v>
      </c>
      <c r="R386" s="2" t="s">
        <v>439</v>
      </c>
      <c r="T386" s="25">
        <v>0</v>
      </c>
      <c r="U386" s="25"/>
      <c r="V386" s="25"/>
      <c r="W386">
        <v>0</v>
      </c>
      <c r="Z386">
        <v>0</v>
      </c>
      <c r="AD386">
        <v>20</v>
      </c>
      <c r="AE386" s="55">
        <f t="shared" ref="AE386:AE449" si="27">O386*P386*Q386</f>
        <v>247.41454277836797</v>
      </c>
      <c r="AF386" s="57">
        <v>0</v>
      </c>
      <c r="AG386" s="55">
        <v>0</v>
      </c>
      <c r="AH386" s="55">
        <v>0</v>
      </c>
      <c r="AI386" s="52">
        <f t="shared" si="26"/>
        <v>8.0835991997106837E-2</v>
      </c>
      <c r="AJ386" s="51"/>
      <c r="AM386" s="28">
        <v>1.9375</v>
      </c>
      <c r="AN386" s="28">
        <v>2.5</v>
      </c>
      <c r="AO386" s="28">
        <v>0.5625</v>
      </c>
      <c r="AP386" s="28">
        <v>2.625</v>
      </c>
      <c r="AQ386" s="28">
        <v>0.25409836065573771</v>
      </c>
      <c r="AR386" s="28">
        <v>0.32786885245901642</v>
      </c>
      <c r="AS386" s="28">
        <v>7.3770491803278687E-2</v>
      </c>
      <c r="AT386" s="28">
        <v>0.34426229508196721</v>
      </c>
      <c r="AU386" s="25">
        <v>0.79</v>
      </c>
      <c r="AV386" s="25">
        <v>3.44</v>
      </c>
      <c r="AW386" s="25">
        <v>2.65</v>
      </c>
      <c r="AX386" s="25">
        <v>2.5918749999999999</v>
      </c>
      <c r="AY386">
        <v>2.5918749999999999</v>
      </c>
      <c r="AZ386">
        <v>5.9214935367946877</v>
      </c>
      <c r="BD386">
        <v>4.0417995998553419E-2</v>
      </c>
      <c r="BH386">
        <v>8.0835991997106837E-2</v>
      </c>
      <c r="BI386">
        <v>4.0417995998553419E-2</v>
      </c>
      <c r="BJ386">
        <v>0</v>
      </c>
    </row>
    <row r="387" spans="1:62" x14ac:dyDescent="0.3">
      <c r="A387" s="2" t="s">
        <v>313</v>
      </c>
      <c r="B387" s="13" t="s">
        <v>720</v>
      </c>
      <c r="C387" s="13"/>
      <c r="F387" s="2">
        <v>3.5</v>
      </c>
      <c r="G387" s="2" t="s">
        <v>314</v>
      </c>
      <c r="H387" s="9" t="s">
        <v>549</v>
      </c>
      <c r="I387">
        <v>-1</v>
      </c>
      <c r="J387"/>
      <c r="L387" s="25">
        <v>1</v>
      </c>
      <c r="M387">
        <v>0</v>
      </c>
      <c r="N387">
        <v>0</v>
      </c>
      <c r="O387" s="2">
        <v>-1</v>
      </c>
      <c r="T387" s="25">
        <v>15.28115725</v>
      </c>
      <c r="U387" s="25">
        <v>15.28115725</v>
      </c>
      <c r="V387" s="25">
        <v>15.28115725</v>
      </c>
      <c r="W387">
        <v>0</v>
      </c>
      <c r="Z387">
        <v>0</v>
      </c>
      <c r="AD387">
        <v>20</v>
      </c>
      <c r="AE387" s="55">
        <f t="shared" si="27"/>
        <v>0</v>
      </c>
      <c r="AF387" s="57">
        <v>229.90248606119221</v>
      </c>
      <c r="AG387" s="55">
        <v>0</v>
      </c>
      <c r="AH387" s="55">
        <v>0</v>
      </c>
      <c r="AJ387" s="51">
        <v>8.6993404650164072E-2</v>
      </c>
      <c r="AM387" s="28">
        <v>1.882352941176471</v>
      </c>
      <c r="AN387" s="28">
        <v>2.3529411764705879</v>
      </c>
      <c r="AO387" s="28">
        <v>0.47058823529411759</v>
      </c>
      <c r="AP387" s="28">
        <v>0</v>
      </c>
      <c r="AQ387" s="28">
        <v>0.4</v>
      </c>
      <c r="AR387" s="28">
        <v>0.5</v>
      </c>
      <c r="AS387" s="28">
        <v>9.9999999999999992E-2</v>
      </c>
      <c r="AT387" s="28">
        <v>0</v>
      </c>
      <c r="AU387" s="25">
        <v>0.82</v>
      </c>
      <c r="AV387" s="25">
        <v>3.44</v>
      </c>
      <c r="AW387" s="25">
        <v>2.62</v>
      </c>
      <c r="AX387" s="25">
        <v>2.5211764705882351</v>
      </c>
      <c r="AY387">
        <v>2.521176470588236</v>
      </c>
      <c r="AZ387">
        <v>5.6898745917647062</v>
      </c>
      <c r="BA387" s="75">
        <v>0.57369840599679445</v>
      </c>
      <c r="BE387">
        <v>4.3496702325082043E-2</v>
      </c>
      <c r="BH387">
        <v>8.6993404650164072E-2</v>
      </c>
      <c r="BI387">
        <v>4.3496702325082043E-2</v>
      </c>
      <c r="BJ387">
        <v>0.57369840599679445</v>
      </c>
    </row>
    <row r="388" spans="1:62" x14ac:dyDescent="0.3">
      <c r="A388" s="2" t="s">
        <v>44</v>
      </c>
      <c r="B388" s="13" t="s">
        <v>720</v>
      </c>
      <c r="C388" s="13"/>
      <c r="D388" s="2" t="s">
        <v>246</v>
      </c>
      <c r="E388" s="2" t="s">
        <v>1067</v>
      </c>
      <c r="F388" s="2">
        <v>2.2599999999999998</v>
      </c>
      <c r="G388" s="2" t="s">
        <v>314</v>
      </c>
      <c r="H388" s="9" t="s">
        <v>549</v>
      </c>
      <c r="I388">
        <v>-1</v>
      </c>
      <c r="J388"/>
      <c r="L388" s="25">
        <v>1</v>
      </c>
      <c r="M388">
        <v>0</v>
      </c>
      <c r="N388">
        <v>0</v>
      </c>
      <c r="O388" s="2">
        <v>-1</v>
      </c>
      <c r="T388" s="25">
        <v>15.28115725</v>
      </c>
      <c r="U388" s="25">
        <v>15.28115725</v>
      </c>
      <c r="V388" s="25">
        <v>15.28115725</v>
      </c>
      <c r="W388">
        <v>0</v>
      </c>
      <c r="Z388">
        <v>0</v>
      </c>
      <c r="AD388">
        <v>20</v>
      </c>
      <c r="AE388" s="55">
        <f t="shared" si="27"/>
        <v>0</v>
      </c>
      <c r="AF388" s="57">
        <v>229.90248606119221</v>
      </c>
      <c r="AG388" s="55">
        <v>0</v>
      </c>
      <c r="AH388" s="55">
        <v>0</v>
      </c>
      <c r="AJ388" s="51">
        <v>8.6993404650164072E-2</v>
      </c>
      <c r="AM388" s="28">
        <v>1.882352941176471</v>
      </c>
      <c r="AN388" s="28">
        <v>2.3529411764705879</v>
      </c>
      <c r="AO388" s="28">
        <v>0.47058823529411759</v>
      </c>
      <c r="AP388" s="28">
        <v>0</v>
      </c>
      <c r="AQ388" s="28">
        <v>0.4</v>
      </c>
      <c r="AR388" s="28">
        <v>0.5</v>
      </c>
      <c r="AS388" s="28">
        <v>9.9999999999999992E-2</v>
      </c>
      <c r="AT388" s="28">
        <v>0</v>
      </c>
      <c r="AU388" s="25">
        <v>0.82</v>
      </c>
      <c r="AV388" s="25">
        <v>3.44</v>
      </c>
      <c r="AW388" s="25">
        <v>2.62</v>
      </c>
      <c r="AX388" s="25">
        <v>2.5211764705882351</v>
      </c>
      <c r="AY388">
        <v>2.521176470588236</v>
      </c>
      <c r="AZ388">
        <v>5.6898745917647062</v>
      </c>
      <c r="BA388" s="75">
        <v>0.57369840599679445</v>
      </c>
      <c r="BE388">
        <v>4.3496702325082043E-2</v>
      </c>
      <c r="BH388">
        <v>8.6993404650164072E-2</v>
      </c>
      <c r="BI388">
        <v>4.3496702325082043E-2</v>
      </c>
      <c r="BJ388">
        <v>0.57369840599679445</v>
      </c>
    </row>
    <row r="389" spans="1:62" ht="15" x14ac:dyDescent="0.35">
      <c r="A389" s="2" t="s">
        <v>69</v>
      </c>
      <c r="B389" s="13" t="s">
        <v>738</v>
      </c>
      <c r="C389" s="13"/>
      <c r="F389" s="2">
        <v>2.82</v>
      </c>
      <c r="G389" s="8" t="s">
        <v>315</v>
      </c>
      <c r="H389" s="9" t="s">
        <v>560</v>
      </c>
      <c r="I389" t="s">
        <v>638</v>
      </c>
      <c r="J389"/>
      <c r="K389" s="8"/>
      <c r="L389" s="25">
        <v>2</v>
      </c>
      <c r="M389">
        <v>4</v>
      </c>
      <c r="N389">
        <v>0</v>
      </c>
      <c r="O389" s="2">
        <v>-1</v>
      </c>
      <c r="T389" s="25">
        <v>8.3195821399999996</v>
      </c>
      <c r="U389" s="25">
        <v>8.3195821399999996</v>
      </c>
      <c r="V389" s="25">
        <v>8.2425581700000006</v>
      </c>
      <c r="W389">
        <v>5.5339970000000003</v>
      </c>
      <c r="X389">
        <v>5.4998300000000002</v>
      </c>
      <c r="Y389">
        <v>16.550709999999999</v>
      </c>
      <c r="Z389">
        <v>0</v>
      </c>
      <c r="AD389">
        <v>12</v>
      </c>
      <c r="AE389" s="55">
        <f t="shared" si="27"/>
        <v>0</v>
      </c>
      <c r="AF389" s="57">
        <v>248.80917443900231</v>
      </c>
      <c r="AG389" s="55">
        <v>503.73811661477208</v>
      </c>
      <c r="AH389" s="55">
        <v>0</v>
      </c>
      <c r="AJ389" s="51">
        <v>9.6459465588893734E-2</v>
      </c>
      <c r="AK389" s="52">
        <v>9.5287607621536111E-2</v>
      </c>
      <c r="AM389" s="28">
        <v>2</v>
      </c>
      <c r="AN389" s="28">
        <v>3.333333333333333</v>
      </c>
      <c r="AO389" s="28">
        <v>2.666666666666667</v>
      </c>
      <c r="AP389" s="28">
        <v>4.666666666666667</v>
      </c>
      <c r="AQ389" s="28">
        <v>0.15789473684210531</v>
      </c>
      <c r="AR389" s="28">
        <v>0.26315789473684209</v>
      </c>
      <c r="AS389" s="28">
        <v>0.2105263157894737</v>
      </c>
      <c r="AT389" s="28">
        <v>0.36842105263157898</v>
      </c>
      <c r="AU389" s="25">
        <v>2.02</v>
      </c>
      <c r="AV389" s="25">
        <v>3.44</v>
      </c>
      <c r="AW389" s="25">
        <v>1.42</v>
      </c>
      <c r="AX389" s="25">
        <v>3.0044444444444438</v>
      </c>
      <c r="AY389">
        <v>3.0044444444444438</v>
      </c>
      <c r="AZ389">
        <v>6.4228342255555546</v>
      </c>
      <c r="BA389" s="75">
        <v>0.52562348257484404</v>
      </c>
      <c r="BB389" s="75">
        <v>0.51923783589802341</v>
      </c>
      <c r="BE389">
        <v>4.8229732794446867E-2</v>
      </c>
      <c r="BF389">
        <v>4.7643803810768062E-2</v>
      </c>
      <c r="BH389">
        <v>9.5873536605214915E-2</v>
      </c>
      <c r="BI389">
        <v>4.7936768302607458E-2</v>
      </c>
      <c r="BJ389">
        <v>0.52243065923643373</v>
      </c>
    </row>
    <row r="390" spans="1:62" x14ac:dyDescent="0.3">
      <c r="A390" s="2" t="s">
        <v>316</v>
      </c>
      <c r="B390" s="17" t="s">
        <v>951</v>
      </c>
      <c r="C390" s="13"/>
      <c r="F390" s="2">
        <v>3.6</v>
      </c>
      <c r="G390" s="2" t="s">
        <v>317</v>
      </c>
      <c r="H390" s="9">
        <v>-1</v>
      </c>
      <c r="I390">
        <v>-1</v>
      </c>
      <c r="J390"/>
      <c r="K390" s="2">
        <v>2</v>
      </c>
      <c r="L390" s="25">
        <v>0</v>
      </c>
      <c r="M390">
        <v>0</v>
      </c>
      <c r="N390">
        <v>0</v>
      </c>
      <c r="O390" s="2">
        <v>3.823</v>
      </c>
      <c r="P390" s="2">
        <v>17.215</v>
      </c>
      <c r="Q390" s="2">
        <v>2.9550000000000001</v>
      </c>
      <c r="R390" s="2" t="s">
        <v>519</v>
      </c>
      <c r="T390" s="25">
        <v>0</v>
      </c>
      <c r="U390" s="25"/>
      <c r="V390" s="25"/>
      <c r="W390">
        <v>0</v>
      </c>
      <c r="Z390">
        <v>0</v>
      </c>
      <c r="AD390">
        <v>8</v>
      </c>
      <c r="AE390" s="55">
        <f t="shared" si="27"/>
        <v>194.477252475</v>
      </c>
      <c r="AF390" s="57">
        <v>0</v>
      </c>
      <c r="AG390" s="55">
        <v>0</v>
      </c>
      <c r="AH390" s="55">
        <v>0</v>
      </c>
      <c r="AI390" s="52">
        <f t="shared" ref="AI390:AI399" si="28">K390*AD390/AE390</f>
        <v>8.2271832805005288E-2</v>
      </c>
      <c r="AJ390" s="51"/>
      <c r="AM390" s="28">
        <v>1.8969230769230769</v>
      </c>
      <c r="AN390" s="28">
        <v>2.4615384615384621</v>
      </c>
      <c r="AO390" s="28">
        <v>0.56307692307692314</v>
      </c>
      <c r="AP390" s="28">
        <v>0</v>
      </c>
      <c r="AQ390" s="28">
        <v>0.38543294779618631</v>
      </c>
      <c r="AR390" s="28">
        <v>0.50015629884338852</v>
      </c>
      <c r="AS390" s="28">
        <v>0.1144107533604251</v>
      </c>
      <c r="AT390" s="28">
        <v>0</v>
      </c>
      <c r="AU390" s="25">
        <v>0.79</v>
      </c>
      <c r="AV390" s="25">
        <v>3.44</v>
      </c>
      <c r="AW390" s="25">
        <v>2.65</v>
      </c>
      <c r="AX390" s="25">
        <v>2.6319230769230768</v>
      </c>
      <c r="AY390">
        <v>2.6319230769230768</v>
      </c>
      <c r="AZ390">
        <v>5.8365582503752389</v>
      </c>
      <c r="BD390">
        <v>4.1135916402502637E-2</v>
      </c>
      <c r="BH390">
        <v>8.2271832805005288E-2</v>
      </c>
      <c r="BI390">
        <v>4.1135916402502637E-2</v>
      </c>
      <c r="BJ390">
        <v>0</v>
      </c>
    </row>
    <row r="391" spans="1:62" x14ac:dyDescent="0.3">
      <c r="A391" s="2" t="s">
        <v>318</v>
      </c>
      <c r="B391" s="13" t="s">
        <v>832</v>
      </c>
      <c r="C391" s="13"/>
      <c r="F391" s="2">
        <v>3.45</v>
      </c>
      <c r="G391" s="2" t="s">
        <v>319</v>
      </c>
      <c r="H391" s="9">
        <v>-1</v>
      </c>
      <c r="I391">
        <v>-1</v>
      </c>
      <c r="J391" t="s">
        <v>1173</v>
      </c>
      <c r="K391" s="2">
        <v>2</v>
      </c>
      <c r="L391" s="25">
        <v>0</v>
      </c>
      <c r="M391">
        <v>0</v>
      </c>
      <c r="N391">
        <v>2</v>
      </c>
      <c r="O391" s="71">
        <v>3.71</v>
      </c>
      <c r="P391" s="71">
        <v>3.71</v>
      </c>
      <c r="Q391" s="71">
        <v>12.2</v>
      </c>
      <c r="R391" s="2" t="s">
        <v>519</v>
      </c>
      <c r="T391" s="25">
        <v>0</v>
      </c>
      <c r="U391" s="25"/>
      <c r="V391" s="25"/>
      <c r="W391">
        <v>0</v>
      </c>
      <c r="Z391">
        <v>3.72</v>
      </c>
      <c r="AA391">
        <v>3.72</v>
      </c>
      <c r="AB391">
        <v>12.3012</v>
      </c>
      <c r="AD391">
        <v>8</v>
      </c>
      <c r="AE391" s="55">
        <f t="shared" si="27"/>
        <v>167.92201999999997</v>
      </c>
      <c r="AF391" s="57">
        <v>0</v>
      </c>
      <c r="AG391" s="55">
        <v>0</v>
      </c>
      <c r="AH391" s="55">
        <v>170.2</v>
      </c>
      <c r="AI391" s="52">
        <f t="shared" si="28"/>
        <v>9.5282322115944076E-2</v>
      </c>
      <c r="AJ391" s="51"/>
      <c r="AL391" s="67">
        <f>N391*AD391/AH391</f>
        <v>9.400705052878966E-2</v>
      </c>
      <c r="AM391" s="28">
        <v>1.857142857142857</v>
      </c>
      <c r="AN391" s="28">
        <v>2.285714285714286</v>
      </c>
      <c r="AO391" s="28">
        <v>0.42857142857142849</v>
      </c>
      <c r="AP391" s="28">
        <v>0</v>
      </c>
      <c r="AQ391" s="28">
        <v>0.40625000000000011</v>
      </c>
      <c r="AR391" s="28">
        <v>0.5</v>
      </c>
      <c r="AS391" s="28">
        <v>9.375E-2</v>
      </c>
      <c r="AT391" s="28">
        <v>0</v>
      </c>
      <c r="AU391" s="25">
        <v>1.1000000000000001</v>
      </c>
      <c r="AV391" s="25">
        <v>3.44</v>
      </c>
      <c r="AW391" s="25">
        <v>2.34</v>
      </c>
      <c r="AX391" s="25">
        <v>2.657142857142857</v>
      </c>
      <c r="AY391">
        <v>2.657142857142857</v>
      </c>
      <c r="AZ391">
        <v>6.2648417856930001</v>
      </c>
      <c r="BC391" s="75">
        <v>0.51949166816826697</v>
      </c>
      <c r="BD391">
        <v>4.7641161057972038E-2</v>
      </c>
      <c r="BG391">
        <v>4.700352526439483E-2</v>
      </c>
      <c r="BH391">
        <v>9.4644686322366861E-2</v>
      </c>
      <c r="BI391">
        <v>4.7322343161183431E-2</v>
      </c>
      <c r="BJ391">
        <v>0.51949166816826697</v>
      </c>
    </row>
    <row r="392" spans="1:62" x14ac:dyDescent="0.3">
      <c r="A392" s="2" t="s">
        <v>320</v>
      </c>
      <c r="B392" s="18" t="s">
        <v>994</v>
      </c>
      <c r="C392" s="13"/>
      <c r="F392" s="2">
        <v>3.58</v>
      </c>
      <c r="G392" s="2" t="s">
        <v>319</v>
      </c>
      <c r="H392" s="9">
        <v>-1</v>
      </c>
      <c r="I392">
        <v>-1</v>
      </c>
      <c r="J392"/>
      <c r="K392" s="2">
        <v>4</v>
      </c>
      <c r="L392" s="25">
        <v>0</v>
      </c>
      <c r="M392">
        <v>0</v>
      </c>
      <c r="N392">
        <v>0</v>
      </c>
      <c r="O392" s="2">
        <v>3.77</v>
      </c>
      <c r="P392" s="2">
        <v>3.77</v>
      </c>
      <c r="Q392" s="2">
        <v>33.299999999999997</v>
      </c>
      <c r="R392" s="2" t="s">
        <v>519</v>
      </c>
      <c r="T392" s="25">
        <v>0</v>
      </c>
      <c r="U392" s="25"/>
      <c r="V392" s="25"/>
      <c r="W392">
        <v>0</v>
      </c>
      <c r="Z392">
        <v>0</v>
      </c>
      <c r="AD392">
        <v>8</v>
      </c>
      <c r="AE392" s="55">
        <f t="shared" si="27"/>
        <v>473.28956999999991</v>
      </c>
      <c r="AF392" s="57">
        <v>0</v>
      </c>
      <c r="AG392" s="55">
        <v>0</v>
      </c>
      <c r="AH392" s="55">
        <v>0</v>
      </c>
      <c r="AI392" s="52">
        <f t="shared" si="28"/>
        <v>6.7611885045343392E-2</v>
      </c>
      <c r="AJ392" s="51"/>
      <c r="AM392" s="28">
        <v>1.571428571428571</v>
      </c>
      <c r="AN392" s="28">
        <v>1.5</v>
      </c>
      <c r="AO392" s="28">
        <v>0.2142857142857143</v>
      </c>
      <c r="AP392" s="28">
        <v>0</v>
      </c>
      <c r="AQ392" s="28">
        <v>0.47826086956521741</v>
      </c>
      <c r="AR392" s="28">
        <v>0.45652173913043481</v>
      </c>
      <c r="AS392" s="28">
        <v>6.5217391304347824E-2</v>
      </c>
      <c r="AT392" s="28">
        <v>0</v>
      </c>
      <c r="AU392" s="25">
        <v>1.1000000000000001</v>
      </c>
      <c r="AV392" s="25">
        <v>3.44</v>
      </c>
      <c r="AW392" s="25">
        <v>2.34</v>
      </c>
      <c r="AX392" s="25">
        <v>2.5135714285714279</v>
      </c>
      <c r="AY392">
        <v>2.5135714285714279</v>
      </c>
      <c r="AZ392">
        <v>6.6592671289361416</v>
      </c>
      <c r="BD392">
        <v>3.3805942522671703E-2</v>
      </c>
      <c r="BH392">
        <v>6.7611885045343392E-2</v>
      </c>
      <c r="BI392">
        <v>3.3805942522671703E-2</v>
      </c>
      <c r="BJ392">
        <v>0</v>
      </c>
    </row>
    <row r="393" spans="1:62" x14ac:dyDescent="0.3">
      <c r="A393" s="2" t="s">
        <v>321</v>
      </c>
      <c r="B393" s="18" t="s">
        <v>995</v>
      </c>
      <c r="C393" s="13"/>
      <c r="F393" s="2">
        <v>3.48</v>
      </c>
      <c r="G393" s="2" t="s">
        <v>319</v>
      </c>
      <c r="H393" s="9">
        <v>-1</v>
      </c>
      <c r="I393">
        <v>-1</v>
      </c>
      <c r="J393"/>
      <c r="K393" s="2">
        <v>4</v>
      </c>
      <c r="L393" s="25">
        <v>0</v>
      </c>
      <c r="M393">
        <v>0</v>
      </c>
      <c r="N393">
        <v>0</v>
      </c>
      <c r="O393" s="2">
        <v>3.75</v>
      </c>
      <c r="P393" s="2">
        <v>3.75</v>
      </c>
      <c r="Q393" s="2">
        <v>37.299999999999997</v>
      </c>
      <c r="R393" s="2" t="s">
        <v>519</v>
      </c>
      <c r="T393" s="25">
        <v>0</v>
      </c>
      <c r="U393" s="25"/>
      <c r="V393" s="25"/>
      <c r="W393">
        <v>0</v>
      </c>
      <c r="Z393">
        <v>0</v>
      </c>
      <c r="AD393">
        <v>8</v>
      </c>
      <c r="AE393" s="55">
        <f t="shared" si="27"/>
        <v>524.53125</v>
      </c>
      <c r="AF393" s="57">
        <v>0</v>
      </c>
      <c r="AG393" s="55">
        <v>0</v>
      </c>
      <c r="AH393" s="55">
        <v>0</v>
      </c>
      <c r="AI393" s="52">
        <f t="shared" si="28"/>
        <v>6.1006851355376826E-2</v>
      </c>
      <c r="AJ393" s="51"/>
      <c r="AM393" s="28">
        <v>1.529411764705882</v>
      </c>
      <c r="AN393" s="28">
        <v>1.3529411764705881</v>
      </c>
      <c r="AO393" s="28">
        <v>0.1764705882352941</v>
      </c>
      <c r="AP393" s="28">
        <v>0</v>
      </c>
      <c r="AQ393" s="28">
        <v>0.5</v>
      </c>
      <c r="AR393" s="28">
        <v>0.44230769230769229</v>
      </c>
      <c r="AS393" s="28">
        <v>5.7692307692307702E-2</v>
      </c>
      <c r="AT393" s="28">
        <v>0</v>
      </c>
      <c r="AU393" s="25">
        <v>1.1000000000000001</v>
      </c>
      <c r="AV393" s="25">
        <v>3.44</v>
      </c>
      <c r="AW393" s="25">
        <v>2.34</v>
      </c>
      <c r="AX393" s="25">
        <v>2.4788235294117649</v>
      </c>
      <c r="AY393">
        <v>2.4788235294117649</v>
      </c>
      <c r="AZ393">
        <v>6.6967043065181171</v>
      </c>
      <c r="BD393">
        <v>3.050342567768841E-2</v>
      </c>
      <c r="BH393">
        <v>6.1006851355376833E-2</v>
      </c>
      <c r="BI393">
        <v>3.050342567768841E-2</v>
      </c>
      <c r="BJ393">
        <v>0</v>
      </c>
    </row>
    <row r="394" spans="1:62" x14ac:dyDescent="0.3">
      <c r="A394" s="2" t="s">
        <v>322</v>
      </c>
      <c r="B394" s="18" t="s">
        <v>996</v>
      </c>
      <c r="C394" s="13"/>
      <c r="F394" s="2">
        <v>3.5</v>
      </c>
      <c r="G394" s="2" t="s">
        <v>319</v>
      </c>
      <c r="H394" s="9">
        <v>-1</v>
      </c>
      <c r="I394">
        <v>-1</v>
      </c>
      <c r="J394"/>
      <c r="K394" s="2">
        <v>4</v>
      </c>
      <c r="L394" s="25">
        <v>0</v>
      </c>
      <c r="M394">
        <v>0</v>
      </c>
      <c r="N394">
        <v>0</v>
      </c>
      <c r="O394" s="2">
        <v>3.76</v>
      </c>
      <c r="P394" s="2">
        <v>3.76</v>
      </c>
      <c r="Q394" s="2">
        <v>41.2</v>
      </c>
      <c r="R394" s="2" t="s">
        <v>519</v>
      </c>
      <c r="T394" s="25">
        <v>0</v>
      </c>
      <c r="U394" s="25"/>
      <c r="V394" s="25"/>
      <c r="W394">
        <v>0</v>
      </c>
      <c r="Z394">
        <v>0</v>
      </c>
      <c r="AD394">
        <v>8</v>
      </c>
      <c r="AE394" s="55">
        <f t="shared" si="27"/>
        <v>582.46911999999998</v>
      </c>
      <c r="AF394" s="57">
        <v>0</v>
      </c>
      <c r="AG394" s="55">
        <v>0</v>
      </c>
      <c r="AH394" s="55">
        <v>0</v>
      </c>
      <c r="AI394" s="52">
        <f t="shared" si="28"/>
        <v>5.4938534767302344E-2</v>
      </c>
      <c r="AJ394" s="51"/>
      <c r="AM394" s="28">
        <v>1.5</v>
      </c>
      <c r="AN394" s="28">
        <v>1.25</v>
      </c>
      <c r="AO394" s="28">
        <v>0.15</v>
      </c>
      <c r="AP394" s="28">
        <v>0</v>
      </c>
      <c r="AQ394" s="28">
        <v>0.51724137931034486</v>
      </c>
      <c r="AR394" s="28">
        <v>0.43103448275862072</v>
      </c>
      <c r="AS394" s="28">
        <v>5.1724137931034482E-2</v>
      </c>
      <c r="AT394" s="28">
        <v>0</v>
      </c>
      <c r="AU394" s="25">
        <v>1.1000000000000001</v>
      </c>
      <c r="AV394" s="25">
        <v>3.44</v>
      </c>
      <c r="AW394" s="25">
        <v>2.34</v>
      </c>
      <c r="AX394" s="25">
        <v>2.4544999999999999</v>
      </c>
      <c r="AY394">
        <v>2.4544999999999999</v>
      </c>
      <c r="AZ394">
        <v>6.7229103308255</v>
      </c>
      <c r="BD394">
        <v>2.7469267383651168E-2</v>
      </c>
      <c r="BH394">
        <v>5.4938534767302337E-2</v>
      </c>
      <c r="BI394">
        <v>2.7469267383651168E-2</v>
      </c>
      <c r="BJ394">
        <v>0</v>
      </c>
    </row>
    <row r="395" spans="1:62" x14ac:dyDescent="0.3">
      <c r="A395" s="2" t="s">
        <v>323</v>
      </c>
      <c r="B395" s="18" t="s">
        <v>997</v>
      </c>
      <c r="C395" s="13"/>
      <c r="F395" s="2">
        <v>3.61</v>
      </c>
      <c r="G395" s="2" t="s">
        <v>319</v>
      </c>
      <c r="H395" s="9">
        <v>-1</v>
      </c>
      <c r="I395">
        <v>-1</v>
      </c>
      <c r="J395"/>
      <c r="K395" s="2">
        <v>4</v>
      </c>
      <c r="L395" s="25">
        <v>0</v>
      </c>
      <c r="M395">
        <v>0</v>
      </c>
      <c r="N395">
        <v>0</v>
      </c>
      <c r="O395" s="2">
        <v>3.76</v>
      </c>
      <c r="P395" s="2">
        <v>3.76</v>
      </c>
      <c r="Q395" s="2">
        <v>47.8</v>
      </c>
      <c r="R395" s="2" t="s">
        <v>519</v>
      </c>
      <c r="T395" s="25">
        <v>0</v>
      </c>
      <c r="U395" s="25"/>
      <c r="V395" s="25"/>
      <c r="W395">
        <v>0</v>
      </c>
      <c r="Z395">
        <v>0</v>
      </c>
      <c r="AD395">
        <v>8</v>
      </c>
      <c r="AE395" s="55">
        <f t="shared" si="27"/>
        <v>675.77727999999991</v>
      </c>
      <c r="AF395" s="57">
        <v>0</v>
      </c>
      <c r="AG395" s="55">
        <v>0</v>
      </c>
      <c r="AH395" s="55">
        <v>0</v>
      </c>
      <c r="AI395" s="52">
        <f t="shared" si="28"/>
        <v>4.7352879339181107E-2</v>
      </c>
      <c r="AJ395" s="51"/>
      <c r="AM395" s="28">
        <v>1.4782608695652171</v>
      </c>
      <c r="AN395" s="28">
        <v>1.173913043478261</v>
      </c>
      <c r="AO395" s="28">
        <v>0.13043478260869559</v>
      </c>
      <c r="AP395" s="28">
        <v>0</v>
      </c>
      <c r="AQ395" s="28">
        <v>0.53125</v>
      </c>
      <c r="AR395" s="28">
        <v>0.42187500000000011</v>
      </c>
      <c r="AS395" s="28">
        <v>4.6875E-2</v>
      </c>
      <c r="AT395" s="28">
        <v>0</v>
      </c>
      <c r="AU395" s="25">
        <v>1.1000000000000001</v>
      </c>
      <c r="AV395" s="25">
        <v>3.44</v>
      </c>
      <c r="AW395" s="25">
        <v>2.34</v>
      </c>
      <c r="AX395" s="25">
        <v>2.436521739130435</v>
      </c>
      <c r="AY395">
        <v>2.436521739130435</v>
      </c>
      <c r="AZ395">
        <v>6.7422800009657378</v>
      </c>
      <c r="BD395">
        <v>2.367643966959055E-2</v>
      </c>
      <c r="BH395">
        <v>4.7352879339181107E-2</v>
      </c>
      <c r="BI395">
        <v>2.367643966959055E-2</v>
      </c>
      <c r="BJ395">
        <v>0</v>
      </c>
    </row>
    <row r="396" spans="1:62" x14ac:dyDescent="0.3">
      <c r="A396" s="2" t="s">
        <v>324</v>
      </c>
      <c r="B396" s="18" t="s">
        <v>999</v>
      </c>
      <c r="C396" s="13"/>
      <c r="F396" s="2">
        <v>3.47</v>
      </c>
      <c r="G396" s="2" t="s">
        <v>319</v>
      </c>
      <c r="H396" s="9">
        <v>-1</v>
      </c>
      <c r="I396">
        <v>-1</v>
      </c>
      <c r="J396"/>
      <c r="K396" s="2">
        <v>4</v>
      </c>
      <c r="L396" s="25">
        <v>0</v>
      </c>
      <c r="M396">
        <v>0</v>
      </c>
      <c r="N396">
        <v>0</v>
      </c>
      <c r="O396" s="2">
        <v>3.76</v>
      </c>
      <c r="P396" s="2">
        <v>3.76</v>
      </c>
      <c r="Q396" s="2">
        <v>54.9</v>
      </c>
      <c r="R396" s="2" t="s">
        <v>519</v>
      </c>
      <c r="T396" s="25">
        <v>0</v>
      </c>
      <c r="U396" s="25"/>
      <c r="V396" s="25"/>
      <c r="W396">
        <v>0</v>
      </c>
      <c r="Z396">
        <v>0</v>
      </c>
      <c r="AD396">
        <v>8</v>
      </c>
      <c r="AE396" s="55">
        <f t="shared" si="27"/>
        <v>776.15423999999996</v>
      </c>
      <c r="AF396" s="57">
        <v>0</v>
      </c>
      <c r="AG396" s="55">
        <v>0</v>
      </c>
      <c r="AH396" s="55">
        <v>0</v>
      </c>
      <c r="AI396" s="52">
        <f t="shared" si="28"/>
        <v>4.1228918623185E-2</v>
      </c>
      <c r="AJ396" s="51"/>
      <c r="AM396" s="28">
        <v>1.448275862068966</v>
      </c>
      <c r="AN396" s="28">
        <v>1.068965517241379</v>
      </c>
      <c r="AO396" s="28">
        <v>0.10344827586206901</v>
      </c>
      <c r="AP396" s="28">
        <v>0</v>
      </c>
      <c r="AQ396" s="28">
        <v>0.55263157894736847</v>
      </c>
      <c r="AR396" s="28">
        <v>0.40789473684210531</v>
      </c>
      <c r="AS396" s="28">
        <v>3.9473684210526307E-2</v>
      </c>
      <c r="AT396" s="28">
        <v>0</v>
      </c>
      <c r="AU396" s="25">
        <v>1.1000000000000001</v>
      </c>
      <c r="AV396" s="25">
        <v>3.44</v>
      </c>
      <c r="AW396" s="25">
        <v>2.34</v>
      </c>
      <c r="AX396" s="25">
        <v>2.411724137931035</v>
      </c>
      <c r="AY396">
        <v>2.4117241379310341</v>
      </c>
      <c r="AZ396">
        <v>6.7689967873660688</v>
      </c>
      <c r="BD396">
        <v>2.06144593115925E-2</v>
      </c>
      <c r="BH396">
        <v>4.1228918623185E-2</v>
      </c>
      <c r="BI396">
        <v>2.06144593115925E-2</v>
      </c>
      <c r="BJ396">
        <v>0</v>
      </c>
    </row>
    <row r="397" spans="1:62" x14ac:dyDescent="0.3">
      <c r="A397" s="2" t="s">
        <v>325</v>
      </c>
      <c r="B397" s="18" t="s">
        <v>998</v>
      </c>
      <c r="C397" s="13"/>
      <c r="F397" s="2">
        <v>3.49</v>
      </c>
      <c r="G397" s="2" t="s">
        <v>319</v>
      </c>
      <c r="H397" s="9">
        <v>-1</v>
      </c>
      <c r="I397">
        <v>-1</v>
      </c>
      <c r="J397"/>
      <c r="K397" s="2">
        <v>4</v>
      </c>
      <c r="L397" s="25">
        <v>0</v>
      </c>
      <c r="M397">
        <v>0</v>
      </c>
      <c r="N397">
        <v>0</v>
      </c>
      <c r="O397" s="2">
        <v>3.78</v>
      </c>
      <c r="P397" s="2">
        <v>3.78</v>
      </c>
      <c r="Q397" s="2">
        <v>66.3</v>
      </c>
      <c r="R397" s="2" t="s">
        <v>519</v>
      </c>
      <c r="T397" s="25">
        <v>0</v>
      </c>
      <c r="U397" s="25"/>
      <c r="V397" s="25"/>
      <c r="W397">
        <v>0</v>
      </c>
      <c r="Z397">
        <v>0</v>
      </c>
      <c r="AD397">
        <v>8</v>
      </c>
      <c r="AE397" s="55">
        <f t="shared" si="27"/>
        <v>947.32091999999989</v>
      </c>
      <c r="AF397" s="57">
        <v>0</v>
      </c>
      <c r="AG397" s="55">
        <v>0</v>
      </c>
      <c r="AH397" s="55">
        <v>0</v>
      </c>
      <c r="AI397" s="52">
        <f t="shared" si="28"/>
        <v>3.3779471480477816E-2</v>
      </c>
      <c r="AJ397" s="51"/>
      <c r="AM397" s="28">
        <v>1.428571428571429</v>
      </c>
      <c r="AN397" s="28">
        <v>1</v>
      </c>
      <c r="AO397" s="28">
        <v>8.5714285714285715E-2</v>
      </c>
      <c r="AP397" s="28">
        <v>0</v>
      </c>
      <c r="AQ397" s="28">
        <v>0.56818181818181823</v>
      </c>
      <c r="AR397" s="28">
        <v>0.39772727272727282</v>
      </c>
      <c r="AS397" s="28">
        <v>3.4090909090909102E-2</v>
      </c>
      <c r="AT397" s="28">
        <v>0</v>
      </c>
      <c r="AU397" s="25">
        <v>1.1000000000000001</v>
      </c>
      <c r="AV397" s="25">
        <v>3.44</v>
      </c>
      <c r="AW397" s="25">
        <v>2.34</v>
      </c>
      <c r="AX397" s="25">
        <v>2.3954285714285719</v>
      </c>
      <c r="AY397">
        <v>2.395428571428571</v>
      </c>
      <c r="AZ397">
        <v>6.7865535327148558</v>
      </c>
      <c r="BD397">
        <v>1.6889735740238911E-2</v>
      </c>
      <c r="BH397">
        <v>3.3779471480477823E-2</v>
      </c>
      <c r="BI397">
        <v>1.6889735740238911E-2</v>
      </c>
      <c r="BJ397">
        <v>0</v>
      </c>
    </row>
    <row r="398" spans="1:62" x14ac:dyDescent="0.3">
      <c r="A398" s="2" t="s">
        <v>326</v>
      </c>
      <c r="B398" s="18" t="s">
        <v>1005</v>
      </c>
      <c r="C398" s="13"/>
      <c r="F398" s="2">
        <v>3.47</v>
      </c>
      <c r="G398" s="2" t="s">
        <v>319</v>
      </c>
      <c r="H398" s="9">
        <v>-1</v>
      </c>
      <c r="I398">
        <v>-1</v>
      </c>
      <c r="J398"/>
      <c r="K398" s="2">
        <v>4</v>
      </c>
      <c r="L398" s="25">
        <v>0</v>
      </c>
      <c r="M398">
        <v>0</v>
      </c>
      <c r="N398">
        <v>0</v>
      </c>
      <c r="O398" s="2">
        <v>3.72</v>
      </c>
      <c r="P398" s="2">
        <v>3.72</v>
      </c>
      <c r="Q398" s="2">
        <v>32.299999999999997</v>
      </c>
      <c r="R398" s="2" t="s">
        <v>519</v>
      </c>
      <c r="T398" s="25">
        <v>0</v>
      </c>
      <c r="U398" s="25"/>
      <c r="V398" s="25"/>
      <c r="W398">
        <v>0</v>
      </c>
      <c r="Z398">
        <v>0</v>
      </c>
      <c r="AD398">
        <v>10</v>
      </c>
      <c r="AE398" s="55">
        <f t="shared" si="27"/>
        <v>446.98032000000001</v>
      </c>
      <c r="AF398" s="57">
        <v>0</v>
      </c>
      <c r="AG398" s="55">
        <v>0</v>
      </c>
      <c r="AH398" s="55">
        <v>0</v>
      </c>
      <c r="AI398" s="52">
        <f t="shared" si="28"/>
        <v>8.9489398548911497E-2</v>
      </c>
      <c r="AJ398" s="51"/>
      <c r="AM398" s="28">
        <v>1.615384615384615</v>
      </c>
      <c r="AN398" s="28">
        <v>1.6923076923076921</v>
      </c>
      <c r="AO398" s="28">
        <v>0.23076923076923081</v>
      </c>
      <c r="AP398" s="28">
        <v>0</v>
      </c>
      <c r="AQ398" s="28">
        <v>0.45652173913043481</v>
      </c>
      <c r="AR398" s="28">
        <v>0.47826086956521741</v>
      </c>
      <c r="AS398" s="28">
        <v>6.5217391304347838E-2</v>
      </c>
      <c r="AT398" s="28">
        <v>0</v>
      </c>
      <c r="AU398" s="25">
        <v>1.1000000000000001</v>
      </c>
      <c r="AV398" s="25">
        <v>3.44</v>
      </c>
      <c r="AW398" s="25">
        <v>2.34</v>
      </c>
      <c r="AX398" s="25">
        <v>2.568461538461539</v>
      </c>
      <c r="AY398">
        <v>2.568461538461539</v>
      </c>
      <c r="AZ398">
        <v>6.6431337427119228</v>
      </c>
      <c r="BD398">
        <v>4.4744699274455749E-2</v>
      </c>
      <c r="BH398">
        <v>8.9489398548911497E-2</v>
      </c>
      <c r="BI398">
        <v>4.4744699274455749E-2</v>
      </c>
      <c r="BJ398">
        <v>0</v>
      </c>
    </row>
    <row r="399" spans="1:62" x14ac:dyDescent="0.3">
      <c r="A399" s="2" t="s">
        <v>327</v>
      </c>
      <c r="B399" s="18" t="s">
        <v>1004</v>
      </c>
      <c r="C399" s="13"/>
      <c r="F399" s="2">
        <v>3.47</v>
      </c>
      <c r="G399" s="2" t="s">
        <v>319</v>
      </c>
      <c r="H399" s="9">
        <v>-1</v>
      </c>
      <c r="I399">
        <v>-1</v>
      </c>
      <c r="J399"/>
      <c r="K399" s="2">
        <v>4</v>
      </c>
      <c r="L399" s="25">
        <v>0</v>
      </c>
      <c r="M399">
        <v>0</v>
      </c>
      <c r="N399">
        <v>0</v>
      </c>
      <c r="O399" s="2">
        <v>3.72</v>
      </c>
      <c r="P399" s="2">
        <v>3.72</v>
      </c>
      <c r="Q399" s="2">
        <v>36.6</v>
      </c>
      <c r="R399" s="2" t="s">
        <v>519</v>
      </c>
      <c r="T399" s="25">
        <v>0</v>
      </c>
      <c r="U399"/>
      <c r="V399"/>
      <c r="W399">
        <v>0</v>
      </c>
      <c r="Z399">
        <v>0</v>
      </c>
      <c r="AD399">
        <v>10</v>
      </c>
      <c r="AE399" s="55">
        <f t="shared" si="27"/>
        <v>506.4854400000001</v>
      </c>
      <c r="AF399" s="57">
        <v>0</v>
      </c>
      <c r="AG399" s="55">
        <v>0</v>
      </c>
      <c r="AH399" s="55">
        <v>0</v>
      </c>
      <c r="AI399" s="52">
        <f t="shared" si="28"/>
        <v>7.8975616752181454E-2</v>
      </c>
      <c r="AM399" s="28">
        <v>1.5625</v>
      </c>
      <c r="AN399" s="28">
        <v>1.5</v>
      </c>
      <c r="AO399" s="28">
        <v>0.1875</v>
      </c>
      <c r="AP399" s="28">
        <v>0</v>
      </c>
      <c r="AQ399" s="28">
        <v>0.48076923076923078</v>
      </c>
      <c r="AR399" s="28">
        <v>0.46153846153846162</v>
      </c>
      <c r="AS399" s="28">
        <v>5.7692307692307702E-2</v>
      </c>
      <c r="AT399" s="28">
        <v>0</v>
      </c>
      <c r="AU399" s="25">
        <v>1.1000000000000001</v>
      </c>
      <c r="AV399" s="25">
        <v>3.44</v>
      </c>
      <c r="AW399" s="25">
        <v>2.34</v>
      </c>
      <c r="AX399" s="25">
        <v>2.5212500000000002</v>
      </c>
      <c r="AY399">
        <v>2.5212500000000002</v>
      </c>
      <c r="AZ399">
        <v>6.6859357538098134</v>
      </c>
      <c r="BD399">
        <v>3.9487808376090727E-2</v>
      </c>
      <c r="BH399">
        <v>7.8975616752181454E-2</v>
      </c>
      <c r="BI399">
        <v>3.9487808376090727E-2</v>
      </c>
      <c r="BJ399">
        <v>0</v>
      </c>
    </row>
    <row r="400" spans="1:62" x14ac:dyDescent="0.3">
      <c r="A400" s="2" t="s">
        <v>328</v>
      </c>
      <c r="B400" s="18" t="s">
        <v>1003</v>
      </c>
      <c r="C400" s="13"/>
      <c r="F400" s="2">
        <v>3.45</v>
      </c>
      <c r="G400" s="2" t="s">
        <v>319</v>
      </c>
      <c r="H400" s="9">
        <v>-1</v>
      </c>
      <c r="I400">
        <v>-1</v>
      </c>
      <c r="J400"/>
      <c r="K400" s="2">
        <v>4</v>
      </c>
      <c r="L400" s="25">
        <v>0</v>
      </c>
      <c r="M400">
        <v>0</v>
      </c>
      <c r="N400">
        <v>0</v>
      </c>
      <c r="O400" s="2">
        <v>3.73</v>
      </c>
      <c r="P400" s="2">
        <v>3.73</v>
      </c>
      <c r="Q400" s="2">
        <v>41.6</v>
      </c>
      <c r="R400" s="2" t="s">
        <v>519</v>
      </c>
      <c r="T400" s="25">
        <v>0</v>
      </c>
      <c r="U400"/>
      <c r="V400"/>
      <c r="W400">
        <v>0</v>
      </c>
      <c r="Z400">
        <v>0</v>
      </c>
      <c r="AD400">
        <v>10</v>
      </c>
      <c r="AE400" s="55">
        <f t="shared" si="27"/>
        <v>578.77664000000004</v>
      </c>
      <c r="AF400" s="57">
        <v>0</v>
      </c>
      <c r="AG400" s="55">
        <v>0</v>
      </c>
      <c r="AH400" s="55">
        <v>0</v>
      </c>
      <c r="AI400" s="52">
        <f t="shared" ref="AI400:AI431" si="29">K400*AD400/AE400</f>
        <v>6.9111289633251263E-2</v>
      </c>
      <c r="AM400" s="28">
        <v>1.5263157894736841</v>
      </c>
      <c r="AN400" s="28">
        <v>1.368421052631579</v>
      </c>
      <c r="AO400" s="28">
        <v>0.15789473684210531</v>
      </c>
      <c r="AP400" s="28">
        <v>0</v>
      </c>
      <c r="AQ400" s="28">
        <v>0.5</v>
      </c>
      <c r="AR400" s="28">
        <v>0.44827586206896552</v>
      </c>
      <c r="AS400" s="28">
        <v>5.1724137931034482E-2</v>
      </c>
      <c r="AT400" s="28">
        <v>0</v>
      </c>
      <c r="AU400" s="25">
        <v>1.1000000000000001</v>
      </c>
      <c r="AV400" s="25">
        <v>3.44</v>
      </c>
      <c r="AW400" s="25">
        <v>2.34</v>
      </c>
      <c r="AX400" s="25">
        <v>2.4889473684210528</v>
      </c>
      <c r="AY400">
        <v>2.4889473684210528</v>
      </c>
      <c r="AZ400">
        <v>6.7152213403504719</v>
      </c>
      <c r="BD400">
        <v>3.4555644816625632E-2</v>
      </c>
      <c r="BH400">
        <v>6.9111289633251263E-2</v>
      </c>
      <c r="BI400">
        <v>3.4555644816625632E-2</v>
      </c>
      <c r="BJ400">
        <v>0</v>
      </c>
    </row>
    <row r="401" spans="1:62" x14ac:dyDescent="0.3">
      <c r="A401" s="2" t="s">
        <v>329</v>
      </c>
      <c r="B401" s="18" t="s">
        <v>1002</v>
      </c>
      <c r="C401" s="13"/>
      <c r="F401" s="2">
        <v>3.45</v>
      </c>
      <c r="G401" s="2" t="s">
        <v>319</v>
      </c>
      <c r="H401" s="9">
        <v>-1</v>
      </c>
      <c r="I401">
        <v>-1</v>
      </c>
      <c r="J401"/>
      <c r="K401" s="2">
        <v>4</v>
      </c>
      <c r="L401" s="25">
        <v>0</v>
      </c>
      <c r="M401">
        <v>0</v>
      </c>
      <c r="N401">
        <v>0</v>
      </c>
      <c r="O401" s="2">
        <v>3.73</v>
      </c>
      <c r="P401" s="2">
        <v>3.73</v>
      </c>
      <c r="Q401" s="2">
        <v>45.6</v>
      </c>
      <c r="R401" s="2" t="s">
        <v>519</v>
      </c>
      <c r="T401" s="25">
        <v>0</v>
      </c>
      <c r="U401"/>
      <c r="V401"/>
      <c r="W401">
        <v>0</v>
      </c>
      <c r="Z401">
        <v>0</v>
      </c>
      <c r="AD401">
        <v>10</v>
      </c>
      <c r="AE401" s="55">
        <f t="shared" si="27"/>
        <v>634.42824000000007</v>
      </c>
      <c r="AF401" s="57">
        <v>0</v>
      </c>
      <c r="AG401" s="55">
        <v>0</v>
      </c>
      <c r="AH401" s="55">
        <v>0</v>
      </c>
      <c r="AI401" s="52">
        <f t="shared" si="29"/>
        <v>6.3048895805773081E-2</v>
      </c>
      <c r="AM401" s="28">
        <v>1.5</v>
      </c>
      <c r="AN401" s="28">
        <v>1.2727272727272729</v>
      </c>
      <c r="AO401" s="28">
        <v>0.13636363636363641</v>
      </c>
      <c r="AP401" s="28">
        <v>0</v>
      </c>
      <c r="AQ401" s="28">
        <v>0.515625</v>
      </c>
      <c r="AR401" s="28">
        <v>0.4375</v>
      </c>
      <c r="AS401" s="28">
        <v>4.6874999999999993E-2</v>
      </c>
      <c r="AT401" s="28">
        <v>0</v>
      </c>
      <c r="AU401" s="25">
        <v>1.1000000000000001</v>
      </c>
      <c r="AV401" s="25">
        <v>3.44</v>
      </c>
      <c r="AW401" s="25">
        <v>2.34</v>
      </c>
      <c r="AX401" s="25">
        <v>2.4654545454545449</v>
      </c>
      <c r="AY401">
        <v>2.4654545454545449</v>
      </c>
      <c r="AZ401">
        <v>6.7365199487436813</v>
      </c>
      <c r="BD401">
        <v>3.152444790288654E-2</v>
      </c>
      <c r="BH401">
        <v>6.3048895805773081E-2</v>
      </c>
      <c r="BI401">
        <v>3.152444790288654E-2</v>
      </c>
      <c r="BJ401">
        <v>0</v>
      </c>
    </row>
    <row r="402" spans="1:62" x14ac:dyDescent="0.3">
      <c r="A402" s="2" t="s">
        <v>330</v>
      </c>
      <c r="B402" s="18" t="s">
        <v>1001</v>
      </c>
      <c r="C402" s="13"/>
      <c r="F402" s="2">
        <v>3.46</v>
      </c>
      <c r="G402" s="2" t="s">
        <v>319</v>
      </c>
      <c r="H402" s="9">
        <v>-1</v>
      </c>
      <c r="I402">
        <v>-1</v>
      </c>
      <c r="J402"/>
      <c r="K402" s="2">
        <v>4</v>
      </c>
      <c r="L402" s="25">
        <v>0</v>
      </c>
      <c r="M402">
        <v>0</v>
      </c>
      <c r="N402">
        <v>0</v>
      </c>
      <c r="O402" s="2">
        <v>3.74</v>
      </c>
      <c r="P402" s="2">
        <v>3.74</v>
      </c>
      <c r="Q402" s="2">
        <v>55.4</v>
      </c>
      <c r="R402" s="2" t="s">
        <v>519</v>
      </c>
      <c r="T402" s="25">
        <v>0</v>
      </c>
      <c r="U402"/>
      <c r="V402"/>
      <c r="W402">
        <v>0</v>
      </c>
      <c r="Z402">
        <v>0</v>
      </c>
      <c r="AD402">
        <v>10</v>
      </c>
      <c r="AE402" s="55">
        <f t="shared" si="27"/>
        <v>774.91304000000014</v>
      </c>
      <c r="AF402" s="57">
        <v>0</v>
      </c>
      <c r="AG402" s="55">
        <v>0</v>
      </c>
      <c r="AH402" s="55">
        <v>0</v>
      </c>
      <c r="AI402" s="52">
        <f t="shared" si="29"/>
        <v>5.1618695176429079E-2</v>
      </c>
      <c r="AM402" s="28">
        <v>1.464285714285714</v>
      </c>
      <c r="AN402" s="28">
        <v>1.142857142857143</v>
      </c>
      <c r="AO402" s="28">
        <v>0.1071428571428571</v>
      </c>
      <c r="AP402" s="28">
        <v>0</v>
      </c>
      <c r="AQ402" s="28">
        <v>0.53947368421052622</v>
      </c>
      <c r="AR402" s="28">
        <v>0.42105263157894729</v>
      </c>
      <c r="AS402" s="28">
        <v>3.9473684210526307E-2</v>
      </c>
      <c r="AT402" s="28">
        <v>0</v>
      </c>
      <c r="AU402" s="25">
        <v>1.1000000000000001</v>
      </c>
      <c r="AV402" s="25">
        <v>3.44</v>
      </c>
      <c r="AW402" s="25">
        <v>2.34</v>
      </c>
      <c r="AX402" s="25">
        <v>2.4335714285714292</v>
      </c>
      <c r="AY402">
        <v>2.4335714285714292</v>
      </c>
      <c r="AZ402">
        <v>6.7654252029916062</v>
      </c>
      <c r="BD402">
        <v>2.5809347588214539E-2</v>
      </c>
      <c r="BH402">
        <v>5.1618695176429079E-2</v>
      </c>
      <c r="BI402">
        <v>2.5809347588214539E-2</v>
      </c>
      <c r="BJ402">
        <v>0</v>
      </c>
    </row>
    <row r="403" spans="1:62" x14ac:dyDescent="0.3">
      <c r="A403" s="2" t="s">
        <v>331</v>
      </c>
      <c r="B403" s="18" t="s">
        <v>1000</v>
      </c>
      <c r="C403" s="13"/>
      <c r="F403" s="2">
        <v>3.46</v>
      </c>
      <c r="G403" s="2" t="s">
        <v>319</v>
      </c>
      <c r="H403" s="9">
        <v>-1</v>
      </c>
      <c r="I403">
        <v>-1</v>
      </c>
      <c r="J403"/>
      <c r="K403" s="2">
        <v>4</v>
      </c>
      <c r="L403" s="25">
        <v>0</v>
      </c>
      <c r="M403">
        <v>0</v>
      </c>
      <c r="N403">
        <v>0</v>
      </c>
      <c r="O403" s="2">
        <v>3.73</v>
      </c>
      <c r="P403" s="2">
        <v>3.73</v>
      </c>
      <c r="Q403" s="2">
        <v>56.8</v>
      </c>
      <c r="R403" s="2" t="s">
        <v>519</v>
      </c>
      <c r="T403" s="25">
        <v>0</v>
      </c>
      <c r="U403"/>
      <c r="V403"/>
      <c r="W403">
        <v>0</v>
      </c>
      <c r="Z403">
        <v>0</v>
      </c>
      <c r="AD403">
        <v>10</v>
      </c>
      <c r="AE403" s="55">
        <f t="shared" si="27"/>
        <v>790.25271999999995</v>
      </c>
      <c r="AF403" s="57">
        <v>0</v>
      </c>
      <c r="AG403" s="55">
        <v>0</v>
      </c>
      <c r="AH403" s="55">
        <v>0</v>
      </c>
      <c r="AI403" s="52">
        <f t="shared" si="29"/>
        <v>5.0616719168015016E-2</v>
      </c>
      <c r="AM403" s="28">
        <v>1.4411764705882351</v>
      </c>
      <c r="AN403" s="28">
        <v>1.0588235294117649</v>
      </c>
      <c r="AO403" s="28">
        <v>8.8235294117647065E-2</v>
      </c>
      <c r="AP403" s="28">
        <v>0</v>
      </c>
      <c r="AQ403" s="28">
        <v>0.55681818181818177</v>
      </c>
      <c r="AR403" s="28">
        <v>0.40909090909090912</v>
      </c>
      <c r="AS403" s="28">
        <v>3.4090909090909088E-2</v>
      </c>
      <c r="AT403" s="28">
        <v>0</v>
      </c>
      <c r="AU403" s="25">
        <v>1.1000000000000001</v>
      </c>
      <c r="AV403" s="25">
        <v>3.44</v>
      </c>
      <c r="AW403" s="25">
        <v>2.34</v>
      </c>
      <c r="AX403" s="25">
        <v>2.4129411764705879</v>
      </c>
      <c r="AY403">
        <v>2.4129411764705888</v>
      </c>
      <c r="AZ403">
        <v>6.7841286027990879</v>
      </c>
      <c r="BD403">
        <v>2.5308359584007512E-2</v>
      </c>
      <c r="BH403">
        <v>5.0616719168015023E-2</v>
      </c>
      <c r="BI403">
        <v>2.5308359584007512E-2</v>
      </c>
      <c r="BJ403">
        <v>0</v>
      </c>
    </row>
    <row r="404" spans="1:62" x14ac:dyDescent="0.3">
      <c r="A404" s="2" t="s">
        <v>332</v>
      </c>
      <c r="B404" s="18" t="s">
        <v>833</v>
      </c>
      <c r="C404" s="13"/>
      <c r="F404" s="2">
        <v>3.48</v>
      </c>
      <c r="G404" s="2" t="s">
        <v>319</v>
      </c>
      <c r="H404" s="9">
        <v>-1</v>
      </c>
      <c r="I404">
        <v>-1</v>
      </c>
      <c r="J404"/>
      <c r="K404" s="2">
        <v>2</v>
      </c>
      <c r="L404" s="25">
        <v>0</v>
      </c>
      <c r="M404">
        <v>0</v>
      </c>
      <c r="N404">
        <v>2</v>
      </c>
      <c r="O404" s="2">
        <v>3.68</v>
      </c>
      <c r="P404" s="2">
        <v>3.68</v>
      </c>
      <c r="Q404" s="2">
        <v>12.1</v>
      </c>
      <c r="R404" s="2" t="s">
        <v>519</v>
      </c>
      <c r="T404" s="25">
        <v>0</v>
      </c>
      <c r="U404"/>
      <c r="V404"/>
      <c r="W404">
        <v>0</v>
      </c>
      <c r="Z404">
        <v>3.6970999999999998</v>
      </c>
      <c r="AA404">
        <v>3.6970999999999998</v>
      </c>
      <c r="AB404">
        <v>12.0928</v>
      </c>
      <c r="AD404">
        <v>8</v>
      </c>
      <c r="AE404" s="55">
        <f t="shared" si="27"/>
        <v>163.86304000000001</v>
      </c>
      <c r="AF404" s="57">
        <v>0</v>
      </c>
      <c r="AG404" s="55">
        <v>0</v>
      </c>
      <c r="AH404" s="55">
        <v>165.3</v>
      </c>
      <c r="AI404" s="52">
        <f t="shared" si="29"/>
        <v>9.7642519020762694E-2</v>
      </c>
      <c r="AL404" s="67">
        <f>N404*AD404/AH404</f>
        <v>9.6793708408953405E-2</v>
      </c>
      <c r="AM404" s="28">
        <v>1.857142857142857</v>
      </c>
      <c r="AN404" s="28">
        <v>2.285714285714286</v>
      </c>
      <c r="AO404" s="28">
        <v>0.2857142857142857</v>
      </c>
      <c r="AP404" s="28">
        <v>0.5714285714285714</v>
      </c>
      <c r="AQ404" s="28">
        <v>0.37142857142857139</v>
      </c>
      <c r="AR404" s="28">
        <v>0.45714285714285707</v>
      </c>
      <c r="AS404" s="28">
        <v>5.7142857142857141E-2</v>
      </c>
      <c r="AT404" s="28">
        <v>0.1142857142857143</v>
      </c>
      <c r="AU404" s="25">
        <v>1.1399999999999999</v>
      </c>
      <c r="AV404" s="25">
        <v>3.44</v>
      </c>
      <c r="AW404" s="25">
        <v>2.2999999999999998</v>
      </c>
      <c r="AX404" s="25">
        <v>2.6628571428571428</v>
      </c>
      <c r="AY404">
        <v>2.6628571428571428</v>
      </c>
      <c r="AZ404">
        <v>6.2282737214072856</v>
      </c>
      <c r="BD404">
        <v>4.8821259510381347E-2</v>
      </c>
      <c r="BG404">
        <v>4.8396854204476702E-2</v>
      </c>
      <c r="BH404">
        <v>9.7218113714858057E-2</v>
      </c>
      <c r="BI404">
        <v>4.8609056857429028E-2</v>
      </c>
      <c r="BJ404">
        <v>0</v>
      </c>
    </row>
    <row r="405" spans="1:62" x14ac:dyDescent="0.3">
      <c r="A405" s="2" t="s">
        <v>333</v>
      </c>
      <c r="B405" s="18" t="s">
        <v>1006</v>
      </c>
      <c r="C405" s="13"/>
      <c r="F405" s="2">
        <v>3.41</v>
      </c>
      <c r="G405" s="2" t="s">
        <v>319</v>
      </c>
      <c r="H405" s="9">
        <v>-1</v>
      </c>
      <c r="I405">
        <v>-1</v>
      </c>
      <c r="J405"/>
      <c r="K405" s="2">
        <v>4</v>
      </c>
      <c r="L405" s="25">
        <v>0</v>
      </c>
      <c r="M405">
        <v>0</v>
      </c>
      <c r="N405">
        <v>0</v>
      </c>
      <c r="O405" s="2">
        <v>3.74</v>
      </c>
      <c r="P405" s="2">
        <v>3.74</v>
      </c>
      <c r="Q405" s="2">
        <v>33.1</v>
      </c>
      <c r="R405" s="2" t="s">
        <v>519</v>
      </c>
      <c r="T405" s="25">
        <v>0</v>
      </c>
      <c r="U405"/>
      <c r="V405"/>
      <c r="W405">
        <v>0</v>
      </c>
      <c r="Z405">
        <v>0</v>
      </c>
      <c r="AD405">
        <v>8</v>
      </c>
      <c r="AE405" s="55">
        <f t="shared" si="27"/>
        <v>462.9895600000001</v>
      </c>
      <c r="AF405" s="57">
        <v>0</v>
      </c>
      <c r="AG405" s="55">
        <v>0</v>
      </c>
      <c r="AH405" s="55">
        <v>0</v>
      </c>
      <c r="AI405" s="52">
        <f t="shared" si="29"/>
        <v>6.9116029311762431E-2</v>
      </c>
      <c r="AM405" s="28">
        <v>1.571428571428571</v>
      </c>
      <c r="AN405" s="28">
        <v>1.5</v>
      </c>
      <c r="AO405" s="28">
        <v>0.14285714285714279</v>
      </c>
      <c r="AP405" s="28">
        <v>0.2857142857142857</v>
      </c>
      <c r="AQ405" s="28">
        <v>0.44897959183673469</v>
      </c>
      <c r="AR405" s="28">
        <v>0.42857142857142849</v>
      </c>
      <c r="AS405" s="28">
        <v>4.0816326530612242E-2</v>
      </c>
      <c r="AT405" s="28">
        <v>8.1632653061224483E-2</v>
      </c>
      <c r="AU405" s="25">
        <v>1.1399999999999999</v>
      </c>
      <c r="AV405" s="25">
        <v>3.44</v>
      </c>
      <c r="AW405" s="25">
        <v>2.2999999999999998</v>
      </c>
      <c r="AX405" s="25">
        <v>2.516428571428571</v>
      </c>
      <c r="AY405">
        <v>2.516428571428571</v>
      </c>
      <c r="AZ405">
        <v>6.6409830967932857</v>
      </c>
      <c r="BD405">
        <v>3.4558014655881222E-2</v>
      </c>
      <c r="BH405">
        <v>6.9116029311762431E-2</v>
      </c>
      <c r="BI405">
        <v>3.4558014655881222E-2</v>
      </c>
      <c r="BJ405">
        <v>0</v>
      </c>
    </row>
    <row r="406" spans="1:62" x14ac:dyDescent="0.3">
      <c r="A406" s="2" t="s">
        <v>334</v>
      </c>
      <c r="B406" s="18" t="s">
        <v>1007</v>
      </c>
      <c r="C406" s="13"/>
      <c r="F406" s="2">
        <v>3.5</v>
      </c>
      <c r="G406" s="2" t="s">
        <v>319</v>
      </c>
      <c r="H406" s="9">
        <v>-1</v>
      </c>
      <c r="I406">
        <v>-1</v>
      </c>
      <c r="J406"/>
      <c r="K406" s="2">
        <v>4</v>
      </c>
      <c r="L406" s="25">
        <v>0</v>
      </c>
      <c r="M406">
        <v>0</v>
      </c>
      <c r="N406">
        <v>0</v>
      </c>
      <c r="O406" s="2">
        <v>3.74</v>
      </c>
      <c r="P406" s="2">
        <v>3.74</v>
      </c>
      <c r="Q406" s="2">
        <v>37.6</v>
      </c>
      <c r="R406" s="2" t="s">
        <v>519</v>
      </c>
      <c r="T406" s="25">
        <v>0</v>
      </c>
      <c r="U406"/>
      <c r="V406"/>
      <c r="W406">
        <v>0</v>
      </c>
      <c r="Z406">
        <v>0</v>
      </c>
      <c r="AD406">
        <v>8</v>
      </c>
      <c r="AE406" s="55">
        <f t="shared" si="27"/>
        <v>525.93376000000012</v>
      </c>
      <c r="AF406" s="57">
        <v>0</v>
      </c>
      <c r="AG406" s="55">
        <v>0</v>
      </c>
      <c r="AH406" s="55">
        <v>0</v>
      </c>
      <c r="AI406" s="52">
        <f t="shared" si="29"/>
        <v>6.0844164101578099E-2</v>
      </c>
      <c r="AM406" s="28">
        <v>1.529411764705882</v>
      </c>
      <c r="AN406" s="28">
        <v>1.3529411764705881</v>
      </c>
      <c r="AO406" s="28">
        <v>0.1176470588235294</v>
      </c>
      <c r="AP406" s="28">
        <v>0.23529411764705879</v>
      </c>
      <c r="AQ406" s="28">
        <v>0.47272727272727272</v>
      </c>
      <c r="AR406" s="28">
        <v>0.41818181818181821</v>
      </c>
      <c r="AS406" s="28">
        <v>3.6363636363636362E-2</v>
      </c>
      <c r="AT406" s="28">
        <v>7.2727272727272724E-2</v>
      </c>
      <c r="AU406" s="25">
        <v>1.1399999999999999</v>
      </c>
      <c r="AV406" s="25">
        <v>3.44</v>
      </c>
      <c r="AW406" s="25">
        <v>2.2999999999999998</v>
      </c>
      <c r="AX406" s="25">
        <v>2.4811764705882351</v>
      </c>
      <c r="AY406">
        <v>2.481176470588236</v>
      </c>
      <c r="AZ406">
        <v>6.6816468682828232</v>
      </c>
      <c r="BD406">
        <v>3.042208205078905E-2</v>
      </c>
      <c r="BH406">
        <v>6.0844164101578099E-2</v>
      </c>
      <c r="BI406">
        <v>3.042208205078905E-2</v>
      </c>
      <c r="BJ406">
        <v>0</v>
      </c>
    </row>
    <row r="407" spans="1:62" x14ac:dyDescent="0.3">
      <c r="A407" s="2" t="s">
        <v>335</v>
      </c>
      <c r="B407" s="18" t="s">
        <v>1008</v>
      </c>
      <c r="C407" s="13"/>
      <c r="F407" s="2">
        <v>3.43</v>
      </c>
      <c r="G407" s="2" t="s">
        <v>319</v>
      </c>
      <c r="H407" s="9">
        <v>-1</v>
      </c>
      <c r="I407">
        <v>-1</v>
      </c>
      <c r="J407"/>
      <c r="K407" s="2">
        <v>4</v>
      </c>
      <c r="L407" s="25">
        <v>0</v>
      </c>
      <c r="M407">
        <v>0</v>
      </c>
      <c r="N407">
        <v>0</v>
      </c>
      <c r="O407" s="2">
        <v>3.74</v>
      </c>
      <c r="P407" s="2">
        <v>3.74</v>
      </c>
      <c r="Q407" s="2">
        <v>40.4</v>
      </c>
      <c r="R407" s="2" t="s">
        <v>519</v>
      </c>
      <c r="T407" s="25">
        <v>0</v>
      </c>
      <c r="U407"/>
      <c r="V407"/>
      <c r="W407">
        <v>0</v>
      </c>
      <c r="Z407">
        <v>0</v>
      </c>
      <c r="AD407">
        <v>8</v>
      </c>
      <c r="AE407" s="55">
        <f t="shared" si="27"/>
        <v>565.09904000000006</v>
      </c>
      <c r="AF407" s="57">
        <v>0</v>
      </c>
      <c r="AG407" s="55">
        <v>0</v>
      </c>
      <c r="AH407" s="55">
        <v>0</v>
      </c>
      <c r="AI407" s="52">
        <f t="shared" si="29"/>
        <v>5.6627241837112298E-2</v>
      </c>
      <c r="AM407" s="28">
        <v>1.5</v>
      </c>
      <c r="AN407" s="28">
        <v>1.25</v>
      </c>
      <c r="AO407" s="28">
        <v>0.1</v>
      </c>
      <c r="AP407" s="28">
        <v>0.2</v>
      </c>
      <c r="AQ407" s="28">
        <v>0.49180327868852458</v>
      </c>
      <c r="AR407" s="28">
        <v>0.4098360655737705</v>
      </c>
      <c r="AS407" s="28">
        <v>3.2786885245901641E-2</v>
      </c>
      <c r="AT407" s="28">
        <v>6.5573770491803282E-2</v>
      </c>
      <c r="AU407" s="25">
        <v>1.1399999999999999</v>
      </c>
      <c r="AV407" s="25">
        <v>3.44</v>
      </c>
      <c r="AW407" s="25">
        <v>2.2999999999999998</v>
      </c>
      <c r="AX407" s="25">
        <v>2.4565000000000001</v>
      </c>
      <c r="AY407">
        <v>2.4565000000000001</v>
      </c>
      <c r="AZ407">
        <v>6.7101115083254994</v>
      </c>
      <c r="BD407">
        <v>2.8313620918556149E-2</v>
      </c>
      <c r="BH407">
        <v>5.6627241837112298E-2</v>
      </c>
      <c r="BI407">
        <v>2.8313620918556149E-2</v>
      </c>
      <c r="BJ407">
        <v>0</v>
      </c>
    </row>
    <row r="408" spans="1:62" x14ac:dyDescent="0.3">
      <c r="A408" s="2" t="s">
        <v>336</v>
      </c>
      <c r="B408" s="18" t="s">
        <v>1009</v>
      </c>
      <c r="C408" s="13"/>
      <c r="F408" s="2">
        <v>3.5</v>
      </c>
      <c r="G408" s="2" t="s">
        <v>319</v>
      </c>
      <c r="H408" s="9">
        <v>-1</v>
      </c>
      <c r="I408">
        <v>-1</v>
      </c>
      <c r="J408"/>
      <c r="K408" s="2">
        <v>4</v>
      </c>
      <c r="L408" s="25">
        <v>0</v>
      </c>
      <c r="M408">
        <v>0</v>
      </c>
      <c r="N408">
        <v>0</v>
      </c>
      <c r="O408" s="2">
        <v>3.74</v>
      </c>
      <c r="P408" s="2">
        <v>3.74</v>
      </c>
      <c r="Q408" s="2">
        <v>47.7</v>
      </c>
      <c r="R408" s="2" t="s">
        <v>519</v>
      </c>
      <c r="T408" s="25">
        <v>0</v>
      </c>
      <c r="U408"/>
      <c r="V408"/>
      <c r="W408">
        <v>0</v>
      </c>
      <c r="Z408">
        <v>0</v>
      </c>
      <c r="AD408">
        <v>8</v>
      </c>
      <c r="AE408" s="55">
        <f t="shared" si="27"/>
        <v>667.20852000000014</v>
      </c>
      <c r="AF408" s="57">
        <v>0</v>
      </c>
      <c r="AG408" s="55">
        <v>0</v>
      </c>
      <c r="AH408" s="55">
        <v>0</v>
      </c>
      <c r="AI408" s="52">
        <f t="shared" si="29"/>
        <v>4.796101824359196E-2</v>
      </c>
      <c r="AM408" s="28">
        <v>1.4782608695652171</v>
      </c>
      <c r="AN408" s="28">
        <v>1.173913043478261</v>
      </c>
      <c r="AO408" s="28">
        <v>8.6956521739130432E-2</v>
      </c>
      <c r="AP408" s="28">
        <v>0.17391304347826089</v>
      </c>
      <c r="AQ408" s="28">
        <v>0.50746268656716409</v>
      </c>
      <c r="AR408" s="28">
        <v>0.40298507462686572</v>
      </c>
      <c r="AS408" s="28">
        <v>2.9850746268656719E-2</v>
      </c>
      <c r="AT408" s="28">
        <v>5.9701492537313432E-2</v>
      </c>
      <c r="AU408" s="25">
        <v>1.1399999999999999</v>
      </c>
      <c r="AV408" s="25">
        <v>3.44</v>
      </c>
      <c r="AW408" s="25">
        <v>2.2999999999999998</v>
      </c>
      <c r="AX408" s="25">
        <v>2.4382608695652168</v>
      </c>
      <c r="AY408">
        <v>2.4382608695652168</v>
      </c>
      <c r="AZ408">
        <v>6.7311505900961732</v>
      </c>
      <c r="BD408">
        <v>2.398050912179598E-2</v>
      </c>
      <c r="BH408">
        <v>4.796101824359196E-2</v>
      </c>
      <c r="BI408">
        <v>2.398050912179598E-2</v>
      </c>
      <c r="BJ408">
        <v>0</v>
      </c>
    </row>
    <row r="409" spans="1:62" x14ac:dyDescent="0.3">
      <c r="A409" s="2" t="s">
        <v>337</v>
      </c>
      <c r="B409" s="18" t="s">
        <v>1010</v>
      </c>
      <c r="C409" s="13"/>
      <c r="F409" s="2">
        <v>3.42</v>
      </c>
      <c r="G409" s="2" t="s">
        <v>319</v>
      </c>
      <c r="H409" s="9">
        <v>-1</v>
      </c>
      <c r="I409">
        <v>-1</v>
      </c>
      <c r="J409"/>
      <c r="K409" s="2">
        <v>4</v>
      </c>
      <c r="L409" s="25">
        <v>0</v>
      </c>
      <c r="M409">
        <v>0</v>
      </c>
      <c r="N409">
        <v>0</v>
      </c>
      <c r="O409" s="2">
        <v>3.72</v>
      </c>
      <c r="P409" s="2">
        <v>3.72</v>
      </c>
      <c r="Q409" s="2">
        <v>54</v>
      </c>
      <c r="R409" s="2" t="s">
        <v>519</v>
      </c>
      <c r="T409" s="25">
        <v>0</v>
      </c>
      <c r="U409"/>
      <c r="V409"/>
      <c r="W409">
        <v>0</v>
      </c>
      <c r="Z409">
        <v>0</v>
      </c>
      <c r="AD409">
        <v>8</v>
      </c>
      <c r="AE409" s="55">
        <f t="shared" si="27"/>
        <v>747.2736000000001</v>
      </c>
      <c r="AF409" s="57">
        <v>0</v>
      </c>
      <c r="AG409" s="55">
        <v>0</v>
      </c>
      <c r="AH409" s="55">
        <v>0</v>
      </c>
      <c r="AI409" s="52">
        <f t="shared" si="29"/>
        <v>4.282233441673839E-2</v>
      </c>
      <c r="AM409" s="28">
        <v>1.448275862068966</v>
      </c>
      <c r="AN409" s="28">
        <v>1.068965517241379</v>
      </c>
      <c r="AO409" s="28">
        <v>6.8965517241379309E-2</v>
      </c>
      <c r="AP409" s="28">
        <v>0.13793103448275859</v>
      </c>
      <c r="AQ409" s="28">
        <v>0.53164556962025322</v>
      </c>
      <c r="AR409" s="28">
        <v>0.39240506329113922</v>
      </c>
      <c r="AS409" s="28">
        <v>2.5316455696202531E-2</v>
      </c>
      <c r="AT409" s="28">
        <v>5.0632911392405063E-2</v>
      </c>
      <c r="AU409" s="25">
        <v>1.1399999999999999</v>
      </c>
      <c r="AV409" s="25">
        <v>3.44</v>
      </c>
      <c r="AW409" s="25">
        <v>2.2999999999999998</v>
      </c>
      <c r="AX409" s="25">
        <v>2.4131034482758622</v>
      </c>
      <c r="AY409">
        <v>2.4131034482758622</v>
      </c>
      <c r="AZ409">
        <v>6.7601700132281373</v>
      </c>
      <c r="BD409">
        <v>2.1411167208369199E-2</v>
      </c>
      <c r="BH409">
        <v>4.282233441673839E-2</v>
      </c>
      <c r="BI409">
        <v>2.1411167208369199E-2</v>
      </c>
      <c r="BJ409">
        <v>0</v>
      </c>
    </row>
    <row r="410" spans="1:62" x14ac:dyDescent="0.3">
      <c r="A410" s="2" t="s">
        <v>338</v>
      </c>
      <c r="B410" s="18" t="s">
        <v>1011</v>
      </c>
      <c r="C410" s="13"/>
      <c r="F410" s="2">
        <v>3.45</v>
      </c>
      <c r="G410" s="2" t="s">
        <v>319</v>
      </c>
      <c r="H410" s="9">
        <v>-1</v>
      </c>
      <c r="I410">
        <v>-1</v>
      </c>
      <c r="J410"/>
      <c r="K410" s="2">
        <v>4</v>
      </c>
      <c r="L410" s="25">
        <v>0</v>
      </c>
      <c r="M410">
        <v>0</v>
      </c>
      <c r="N410">
        <v>0</v>
      </c>
      <c r="O410" s="2">
        <v>3.81</v>
      </c>
      <c r="P410" s="2">
        <v>3.81</v>
      </c>
      <c r="Q410" s="2">
        <v>65.400000000000006</v>
      </c>
      <c r="R410" s="2" t="s">
        <v>519</v>
      </c>
      <c r="T410" s="25">
        <v>0</v>
      </c>
      <c r="U410"/>
      <c r="V410"/>
      <c r="W410">
        <v>0</v>
      </c>
      <c r="Z410">
        <v>0</v>
      </c>
      <c r="AD410">
        <v>8</v>
      </c>
      <c r="AE410" s="55">
        <f t="shared" si="27"/>
        <v>949.3529400000001</v>
      </c>
      <c r="AF410" s="57">
        <v>0</v>
      </c>
      <c r="AG410" s="55">
        <v>0</v>
      </c>
      <c r="AH410" s="55">
        <v>0</v>
      </c>
      <c r="AI410" s="52">
        <f t="shared" si="29"/>
        <v>3.3707169011347876E-2</v>
      </c>
      <c r="AM410" s="28">
        <v>1.428571428571429</v>
      </c>
      <c r="AN410" s="28">
        <v>1</v>
      </c>
      <c r="AO410" s="28">
        <v>5.7142857142857141E-2</v>
      </c>
      <c r="AP410" s="28">
        <v>0.1142857142857143</v>
      </c>
      <c r="AQ410" s="28">
        <v>0.5494505494505495</v>
      </c>
      <c r="AR410" s="28">
        <v>0.38461538461538458</v>
      </c>
      <c r="AS410" s="28">
        <v>2.197802197802198E-2</v>
      </c>
      <c r="AT410" s="28">
        <v>4.3956043956043953E-2</v>
      </c>
      <c r="AU410" s="25">
        <v>1.1399999999999999</v>
      </c>
      <c r="AV410" s="25">
        <v>3.44</v>
      </c>
      <c r="AW410" s="25">
        <v>2.2999999999999998</v>
      </c>
      <c r="AX410" s="25">
        <v>2.3965714285714288</v>
      </c>
      <c r="AY410">
        <v>2.3965714285714279</v>
      </c>
      <c r="AZ410">
        <v>6.7792399198577131</v>
      </c>
      <c r="BD410">
        <v>1.6853584505673942E-2</v>
      </c>
      <c r="BH410">
        <v>3.3707169011347883E-2</v>
      </c>
      <c r="BI410">
        <v>1.6853584505673942E-2</v>
      </c>
      <c r="BJ410">
        <v>0</v>
      </c>
    </row>
    <row r="411" spans="1:62" x14ac:dyDescent="0.3">
      <c r="A411" s="2" t="s">
        <v>339</v>
      </c>
      <c r="B411" s="18" t="s">
        <v>1012</v>
      </c>
      <c r="C411" s="13"/>
      <c r="F411" s="2">
        <v>3.42</v>
      </c>
      <c r="G411" s="2" t="s">
        <v>319</v>
      </c>
      <c r="H411" s="9">
        <v>-1</v>
      </c>
      <c r="I411">
        <v>-1</v>
      </c>
      <c r="J411"/>
      <c r="K411" s="2">
        <v>4</v>
      </c>
      <c r="L411" s="25">
        <v>0</v>
      </c>
      <c r="M411">
        <v>0</v>
      </c>
      <c r="N411">
        <v>0</v>
      </c>
      <c r="O411" s="2">
        <v>3.71</v>
      </c>
      <c r="P411" s="2">
        <v>3.71</v>
      </c>
      <c r="Q411" s="2">
        <v>32</v>
      </c>
      <c r="R411" s="2" t="s">
        <v>519</v>
      </c>
      <c r="T411" s="25">
        <v>0</v>
      </c>
      <c r="U411"/>
      <c r="V411"/>
      <c r="W411">
        <v>0</v>
      </c>
      <c r="Z411">
        <v>0</v>
      </c>
      <c r="AD411">
        <v>10</v>
      </c>
      <c r="AE411" s="55">
        <f t="shared" si="27"/>
        <v>440.45119999999997</v>
      </c>
      <c r="AF411" s="57">
        <v>0</v>
      </c>
      <c r="AG411" s="55">
        <v>0</v>
      </c>
      <c r="AH411" s="55">
        <v>0</v>
      </c>
      <c r="AI411" s="52">
        <f t="shared" si="29"/>
        <v>9.0815963266759184E-2</v>
      </c>
      <c r="AM411" s="28">
        <v>1.615384615384615</v>
      </c>
      <c r="AN411" s="28">
        <v>1.6923076923076921</v>
      </c>
      <c r="AO411" s="28">
        <v>0.15384615384615391</v>
      </c>
      <c r="AP411" s="28">
        <v>0.30769230769230771</v>
      </c>
      <c r="AQ411" s="28">
        <v>0.4285714285714286</v>
      </c>
      <c r="AR411" s="28">
        <v>0.44897959183673469</v>
      </c>
      <c r="AS411" s="28">
        <v>4.0816326530612249E-2</v>
      </c>
      <c r="AT411" s="28">
        <v>8.1632653061224497E-2</v>
      </c>
      <c r="AU411" s="25">
        <v>1.1399999999999999</v>
      </c>
      <c r="AV411" s="25">
        <v>3.44</v>
      </c>
      <c r="AW411" s="25">
        <v>2.2999999999999998</v>
      </c>
      <c r="AX411" s="25">
        <v>2.571538461538462</v>
      </c>
      <c r="AY411">
        <v>2.571538461538462</v>
      </c>
      <c r="AZ411">
        <v>6.623443246558077</v>
      </c>
      <c r="BD411">
        <v>4.5407981633379592E-2</v>
      </c>
      <c r="BH411">
        <v>9.0815963266759184E-2</v>
      </c>
      <c r="BI411">
        <v>4.5407981633379592E-2</v>
      </c>
      <c r="BJ411">
        <v>0</v>
      </c>
    </row>
    <row r="412" spans="1:62" x14ac:dyDescent="0.3">
      <c r="A412" s="2" t="s">
        <v>340</v>
      </c>
      <c r="B412" s="18" t="s">
        <v>1013</v>
      </c>
      <c r="C412" s="13"/>
      <c r="F412" s="2">
        <v>3.39</v>
      </c>
      <c r="G412" s="2" t="s">
        <v>319</v>
      </c>
      <c r="H412" s="9">
        <v>-1</v>
      </c>
      <c r="I412">
        <v>-1</v>
      </c>
      <c r="J412"/>
      <c r="K412" s="2">
        <v>4</v>
      </c>
      <c r="L412" s="25">
        <v>0</v>
      </c>
      <c r="M412">
        <v>0</v>
      </c>
      <c r="N412">
        <v>0</v>
      </c>
      <c r="O412" s="2">
        <v>3.7</v>
      </c>
      <c r="P412" s="2">
        <v>3.7</v>
      </c>
      <c r="Q412" s="2">
        <v>36.4</v>
      </c>
      <c r="R412" s="2" t="s">
        <v>519</v>
      </c>
      <c r="T412" s="25">
        <v>0</v>
      </c>
      <c r="U412"/>
      <c r="V412"/>
      <c r="W412">
        <v>0</v>
      </c>
      <c r="Z412">
        <v>0</v>
      </c>
      <c r="AD412">
        <v>10</v>
      </c>
      <c r="AE412" s="55">
        <f t="shared" si="27"/>
        <v>498.31600000000003</v>
      </c>
      <c r="AF412" s="57">
        <v>0</v>
      </c>
      <c r="AG412" s="55">
        <v>0</v>
      </c>
      <c r="AH412" s="55">
        <v>0</v>
      </c>
      <c r="AI412" s="52">
        <f t="shared" si="29"/>
        <v>8.0270350540620802E-2</v>
      </c>
      <c r="AM412" s="28">
        <v>1.5625</v>
      </c>
      <c r="AN412" s="28">
        <v>1.5</v>
      </c>
      <c r="AO412" s="28">
        <v>0.125</v>
      </c>
      <c r="AP412" s="28">
        <v>0.25</v>
      </c>
      <c r="AQ412" s="28">
        <v>0.45454545454545447</v>
      </c>
      <c r="AR412" s="28">
        <v>0.43636363636363629</v>
      </c>
      <c r="AS412" s="28">
        <v>3.6363636363636362E-2</v>
      </c>
      <c r="AT412" s="28">
        <v>7.2727272727272724E-2</v>
      </c>
      <c r="AU412" s="25">
        <v>1.1399999999999999</v>
      </c>
      <c r="AV412" s="25">
        <v>3.44</v>
      </c>
      <c r="AW412" s="25">
        <v>2.2999999999999998</v>
      </c>
      <c r="AX412" s="25">
        <v>2.5237500000000002</v>
      </c>
      <c r="AY412">
        <v>2.5237500000000002</v>
      </c>
      <c r="AZ412">
        <v>6.6699372256848122</v>
      </c>
      <c r="BD412">
        <v>4.0135175270310401E-2</v>
      </c>
      <c r="BH412">
        <v>8.0270350540620802E-2</v>
      </c>
      <c r="BI412">
        <v>4.0135175270310401E-2</v>
      </c>
      <c r="BJ412">
        <v>0</v>
      </c>
    </row>
    <row r="413" spans="1:62" x14ac:dyDescent="0.3">
      <c r="A413" s="2" t="s">
        <v>341</v>
      </c>
      <c r="B413" s="18" t="s">
        <v>1014</v>
      </c>
      <c r="C413" s="13"/>
      <c r="F413" s="2">
        <v>3.45</v>
      </c>
      <c r="G413" s="2" t="s">
        <v>319</v>
      </c>
      <c r="H413" s="9">
        <v>-1</v>
      </c>
      <c r="I413">
        <v>-1</v>
      </c>
      <c r="J413"/>
      <c r="K413" s="2">
        <v>4</v>
      </c>
      <c r="L413" s="25">
        <v>0</v>
      </c>
      <c r="M413">
        <v>0</v>
      </c>
      <c r="N413">
        <v>0</v>
      </c>
      <c r="O413" s="2">
        <v>3.72</v>
      </c>
      <c r="P413" s="2">
        <v>3.72</v>
      </c>
      <c r="Q413" s="2">
        <v>41.1</v>
      </c>
      <c r="R413" s="2" t="s">
        <v>519</v>
      </c>
      <c r="T413" s="25">
        <v>0</v>
      </c>
      <c r="U413"/>
      <c r="V413"/>
      <c r="W413">
        <v>0</v>
      </c>
      <c r="Z413">
        <v>0</v>
      </c>
      <c r="AD413">
        <v>10</v>
      </c>
      <c r="AE413" s="55">
        <f t="shared" si="27"/>
        <v>568.75824000000011</v>
      </c>
      <c r="AF413" s="57">
        <v>0</v>
      </c>
      <c r="AG413" s="55">
        <v>0</v>
      </c>
      <c r="AH413" s="55">
        <v>0</v>
      </c>
      <c r="AI413" s="52">
        <f t="shared" si="29"/>
        <v>7.0328651414351365E-2</v>
      </c>
      <c r="AM413" s="28">
        <v>1.5263157894736841</v>
      </c>
      <c r="AN413" s="28">
        <v>1.368421052631579</v>
      </c>
      <c r="AO413" s="28">
        <v>0.10526315789473679</v>
      </c>
      <c r="AP413" s="28">
        <v>0.2105263157894737</v>
      </c>
      <c r="AQ413" s="28">
        <v>0.47540983606557369</v>
      </c>
      <c r="AR413" s="28">
        <v>0.42622950819672129</v>
      </c>
      <c r="AS413" s="28">
        <v>3.2786885245901627E-2</v>
      </c>
      <c r="AT413" s="28">
        <v>6.5573770491803268E-2</v>
      </c>
      <c r="AU413" s="25">
        <v>1.1399999999999999</v>
      </c>
      <c r="AV413" s="25">
        <v>3.44</v>
      </c>
      <c r="AW413" s="25">
        <v>2.2999999999999998</v>
      </c>
      <c r="AX413" s="25">
        <v>2.4910526315789472</v>
      </c>
      <c r="AY413">
        <v>2.4910526315789481</v>
      </c>
      <c r="AZ413">
        <v>6.7017488956136306</v>
      </c>
      <c r="BD413">
        <v>3.5164325707175682E-2</v>
      </c>
      <c r="BH413">
        <v>7.0328651414351365E-2</v>
      </c>
      <c r="BI413">
        <v>3.5164325707175682E-2</v>
      </c>
      <c r="BJ413">
        <v>0</v>
      </c>
    </row>
    <row r="414" spans="1:62" x14ac:dyDescent="0.3">
      <c r="A414" s="2" t="s">
        <v>342</v>
      </c>
      <c r="B414" s="18" t="s">
        <v>1015</v>
      </c>
      <c r="C414" s="13"/>
      <c r="F414" s="2">
        <v>3.45</v>
      </c>
      <c r="G414" s="2" t="s">
        <v>319</v>
      </c>
      <c r="H414" s="9">
        <v>-1</v>
      </c>
      <c r="I414">
        <v>-1</v>
      </c>
      <c r="J414"/>
      <c r="K414" s="2">
        <v>4</v>
      </c>
      <c r="L414" s="25">
        <v>0</v>
      </c>
      <c r="M414">
        <v>0</v>
      </c>
      <c r="N414">
        <v>0</v>
      </c>
      <c r="O414" s="2">
        <v>3.71</v>
      </c>
      <c r="P414" s="2">
        <v>3.71</v>
      </c>
      <c r="Q414" s="2">
        <v>44.5</v>
      </c>
      <c r="R414" s="2" t="s">
        <v>519</v>
      </c>
      <c r="T414" s="25">
        <v>0</v>
      </c>
      <c r="U414"/>
      <c r="V414"/>
      <c r="W414">
        <v>0</v>
      </c>
      <c r="Z414">
        <v>0</v>
      </c>
      <c r="AD414">
        <v>10</v>
      </c>
      <c r="AE414" s="55">
        <f t="shared" si="27"/>
        <v>612.50244999999995</v>
      </c>
      <c r="AF414" s="57">
        <v>0</v>
      </c>
      <c r="AG414" s="55">
        <v>0</v>
      </c>
      <c r="AH414" s="55">
        <v>0</v>
      </c>
      <c r="AI414" s="52">
        <f t="shared" si="29"/>
        <v>6.5305861225534695E-2</v>
      </c>
      <c r="AM414" s="28">
        <v>1.5</v>
      </c>
      <c r="AN414" s="28">
        <v>1.2727272727272729</v>
      </c>
      <c r="AO414" s="28">
        <v>9.0909090909090912E-2</v>
      </c>
      <c r="AP414" s="28">
        <v>0.1818181818181818</v>
      </c>
      <c r="AQ414" s="28">
        <v>0.49253731343283591</v>
      </c>
      <c r="AR414" s="28">
        <v>0.41791044776119401</v>
      </c>
      <c r="AS414" s="28">
        <v>2.9850746268656719E-2</v>
      </c>
      <c r="AT414" s="28">
        <v>5.9701492537313439E-2</v>
      </c>
      <c r="AU414" s="25">
        <v>1.1399999999999999</v>
      </c>
      <c r="AV414" s="25">
        <v>3.44</v>
      </c>
      <c r="AW414" s="25">
        <v>2.2999999999999998</v>
      </c>
      <c r="AX414" s="25">
        <v>2.4672727272727282</v>
      </c>
      <c r="AY414">
        <v>2.4672727272727268</v>
      </c>
      <c r="AZ414">
        <v>6.7248846555618629</v>
      </c>
      <c r="BD414">
        <v>3.2652930612767347E-2</v>
      </c>
      <c r="BH414">
        <v>6.5305861225534695E-2</v>
      </c>
      <c r="BI414">
        <v>3.2652930612767347E-2</v>
      </c>
      <c r="BJ414">
        <v>0</v>
      </c>
    </row>
    <row r="415" spans="1:62" x14ac:dyDescent="0.3">
      <c r="A415" s="2" t="s">
        <v>343</v>
      </c>
      <c r="B415" s="18" t="s">
        <v>1016</v>
      </c>
      <c r="C415" s="13"/>
      <c r="F415" s="2">
        <v>3.41</v>
      </c>
      <c r="G415" s="2" t="s">
        <v>319</v>
      </c>
      <c r="H415" s="9">
        <v>-1</v>
      </c>
      <c r="I415">
        <v>-1</v>
      </c>
      <c r="J415"/>
      <c r="K415" s="2">
        <v>4</v>
      </c>
      <c r="L415" s="25">
        <v>0</v>
      </c>
      <c r="M415">
        <v>0</v>
      </c>
      <c r="N415">
        <v>0</v>
      </c>
      <c r="O415" s="2">
        <v>3.71</v>
      </c>
      <c r="P415" s="2">
        <v>3.71</v>
      </c>
      <c r="Q415" s="2">
        <v>54.9</v>
      </c>
      <c r="R415" s="2" t="s">
        <v>519</v>
      </c>
      <c r="T415" s="25">
        <v>0</v>
      </c>
      <c r="U415" s="25"/>
      <c r="V415" s="25"/>
      <c r="W415">
        <v>0</v>
      </c>
      <c r="Z415">
        <v>0</v>
      </c>
      <c r="AD415">
        <v>10</v>
      </c>
      <c r="AE415" s="55">
        <f t="shared" si="27"/>
        <v>755.64908999999989</v>
      </c>
      <c r="AF415" s="57">
        <v>0</v>
      </c>
      <c r="AG415" s="55">
        <v>0</v>
      </c>
      <c r="AH415" s="55">
        <v>0</v>
      </c>
      <c r="AI415" s="52">
        <f t="shared" si="29"/>
        <v>5.2934623397746704E-2</v>
      </c>
      <c r="AJ415" s="51"/>
      <c r="AM415" s="28">
        <v>1.464285714285714</v>
      </c>
      <c r="AN415" s="28">
        <v>1.142857142857143</v>
      </c>
      <c r="AO415" s="28">
        <v>7.1428571428571425E-2</v>
      </c>
      <c r="AP415" s="28">
        <v>0.14285714285714279</v>
      </c>
      <c r="AQ415" s="28">
        <v>0.51898734177215178</v>
      </c>
      <c r="AR415" s="28">
        <v>0.40506329113924039</v>
      </c>
      <c r="AS415" s="28">
        <v>2.5316455696202531E-2</v>
      </c>
      <c r="AT415" s="28">
        <v>5.0632911392405063E-2</v>
      </c>
      <c r="AU415" s="25">
        <v>1.1399999999999999</v>
      </c>
      <c r="AV415" s="25">
        <v>3.44</v>
      </c>
      <c r="AW415" s="25">
        <v>2.2999999999999998</v>
      </c>
      <c r="AX415" s="25">
        <v>2.4350000000000001</v>
      </c>
      <c r="AY415">
        <v>2.4350000000000001</v>
      </c>
      <c r="AZ415">
        <v>6.7562831869201787</v>
      </c>
      <c r="BD415">
        <v>2.6467311698873348E-2</v>
      </c>
      <c r="BH415">
        <v>5.2934623397746697E-2</v>
      </c>
      <c r="BI415">
        <v>2.6467311698873348E-2</v>
      </c>
      <c r="BJ415">
        <v>0</v>
      </c>
    </row>
    <row r="416" spans="1:62" x14ac:dyDescent="0.3">
      <c r="A416" s="2" t="s">
        <v>344</v>
      </c>
      <c r="B416" s="18" t="s">
        <v>1017</v>
      </c>
      <c r="C416" s="13"/>
      <c r="F416" s="2">
        <v>3.41</v>
      </c>
      <c r="G416" s="2" t="s">
        <v>319</v>
      </c>
      <c r="H416" s="9">
        <v>-1</v>
      </c>
      <c r="I416">
        <v>-1</v>
      </c>
      <c r="J416"/>
      <c r="K416" s="2">
        <v>4</v>
      </c>
      <c r="L416" s="25">
        <v>0</v>
      </c>
      <c r="M416">
        <v>0</v>
      </c>
      <c r="N416">
        <v>0</v>
      </c>
      <c r="O416" s="2">
        <v>3.71</v>
      </c>
      <c r="P416" s="2">
        <v>3.71</v>
      </c>
      <c r="Q416" s="2">
        <v>58</v>
      </c>
      <c r="R416" s="2" t="s">
        <v>519</v>
      </c>
      <c r="T416" s="25">
        <v>0</v>
      </c>
      <c r="U416" s="25"/>
      <c r="V416" s="25"/>
      <c r="W416">
        <v>0</v>
      </c>
      <c r="Z416">
        <v>0</v>
      </c>
      <c r="AD416">
        <v>10</v>
      </c>
      <c r="AE416" s="55">
        <f t="shared" si="27"/>
        <v>798.31779999999992</v>
      </c>
      <c r="AF416" s="57">
        <v>0</v>
      </c>
      <c r="AG416" s="55">
        <v>0</v>
      </c>
      <c r="AH416" s="55">
        <v>0</v>
      </c>
      <c r="AI416" s="52">
        <f t="shared" si="29"/>
        <v>5.010535904372921E-2</v>
      </c>
      <c r="AJ416" s="51"/>
      <c r="AM416" s="28">
        <v>1.4411764705882351</v>
      </c>
      <c r="AN416" s="28">
        <v>1.0588235294117649</v>
      </c>
      <c r="AO416" s="28">
        <v>5.8823529411764712E-2</v>
      </c>
      <c r="AP416" s="28">
        <v>0.1176470588235294</v>
      </c>
      <c r="AQ416" s="28">
        <v>0.53846153846153855</v>
      </c>
      <c r="AR416" s="28">
        <v>0.39560439560439559</v>
      </c>
      <c r="AS416" s="28">
        <v>2.197802197802198E-2</v>
      </c>
      <c r="AT416" s="28">
        <v>4.3956043956043959E-2</v>
      </c>
      <c r="AU416" s="25">
        <v>1.1399999999999999</v>
      </c>
      <c r="AV416" s="25">
        <v>3.44</v>
      </c>
      <c r="AW416" s="25">
        <v>2.2999999999999998</v>
      </c>
      <c r="AX416" s="25">
        <v>2.4141176470588239</v>
      </c>
      <c r="AY416">
        <v>2.4141176470588239</v>
      </c>
      <c r="AZ416">
        <v>6.776599883681441</v>
      </c>
      <c r="BD416">
        <v>2.5052679521864601E-2</v>
      </c>
      <c r="BH416">
        <v>5.010535904372921E-2</v>
      </c>
      <c r="BI416">
        <v>2.5052679521864601E-2</v>
      </c>
      <c r="BJ416">
        <v>0</v>
      </c>
    </row>
    <row r="417" spans="1:62" x14ac:dyDescent="0.3">
      <c r="A417" s="2" t="s">
        <v>151</v>
      </c>
      <c r="B417" s="13" t="s">
        <v>774</v>
      </c>
      <c r="C417" s="13"/>
      <c r="F417" s="2">
        <v>3.26</v>
      </c>
      <c r="G417" s="2" t="s">
        <v>345</v>
      </c>
      <c r="H417" s="9">
        <v>-1</v>
      </c>
      <c r="I417">
        <v>-1</v>
      </c>
      <c r="J417"/>
      <c r="L417" s="25">
        <v>0</v>
      </c>
      <c r="M417">
        <v>0</v>
      </c>
      <c r="N417">
        <v>0</v>
      </c>
      <c r="O417" s="2">
        <v>3.89</v>
      </c>
      <c r="P417" s="2">
        <v>3.89</v>
      </c>
      <c r="Q417" s="2">
        <v>16.399999999999999</v>
      </c>
      <c r="T417" s="25">
        <v>0</v>
      </c>
      <c r="U417" s="25"/>
      <c r="V417" s="25"/>
      <c r="W417">
        <v>0</v>
      </c>
      <c r="Z417">
        <v>0</v>
      </c>
      <c r="AD417">
        <v>20</v>
      </c>
      <c r="AE417" s="55">
        <f t="shared" si="27"/>
        <v>248.16643999999999</v>
      </c>
      <c r="AF417" s="57">
        <v>0</v>
      </c>
      <c r="AG417" s="55">
        <v>0</v>
      </c>
      <c r="AH417" s="55">
        <v>0</v>
      </c>
      <c r="AJ417" s="51"/>
      <c r="AM417" s="28">
        <v>1.75</v>
      </c>
      <c r="AN417" s="28">
        <v>2.5</v>
      </c>
      <c r="AO417" s="28">
        <v>0.75</v>
      </c>
      <c r="AP417" s="28">
        <v>0</v>
      </c>
      <c r="AQ417" s="28">
        <v>0.35</v>
      </c>
      <c r="AR417" s="28">
        <v>0.5</v>
      </c>
      <c r="AS417" s="28">
        <v>0.15</v>
      </c>
      <c r="AT417" s="28">
        <v>0</v>
      </c>
      <c r="AU417" s="25">
        <v>0.95</v>
      </c>
      <c r="AV417" s="25">
        <v>3.44</v>
      </c>
      <c r="AW417" s="25">
        <v>2.4900000000000002</v>
      </c>
      <c r="AX417" s="25">
        <v>2.7062499999999998</v>
      </c>
      <c r="AY417">
        <v>2.7062499999999998</v>
      </c>
      <c r="AZ417">
        <v>6.2396022968656872</v>
      </c>
      <c r="BH417">
        <v>0</v>
      </c>
      <c r="BI417">
        <v>0</v>
      </c>
      <c r="BJ417">
        <v>0</v>
      </c>
    </row>
    <row r="418" spans="1:62" x14ac:dyDescent="0.3">
      <c r="A418" s="2" t="s">
        <v>63</v>
      </c>
      <c r="B418" s="13" t="s">
        <v>773</v>
      </c>
      <c r="C418" s="13"/>
      <c r="F418" s="2">
        <v>3.5</v>
      </c>
      <c r="G418" s="2" t="s">
        <v>345</v>
      </c>
      <c r="H418" s="9">
        <v>-1</v>
      </c>
      <c r="I418">
        <v>-1</v>
      </c>
      <c r="J418"/>
      <c r="K418" s="2">
        <v>1</v>
      </c>
      <c r="L418" s="25">
        <v>0</v>
      </c>
      <c r="M418">
        <v>0</v>
      </c>
      <c r="N418">
        <v>0</v>
      </c>
      <c r="O418" s="2">
        <v>3.82</v>
      </c>
      <c r="P418" s="2">
        <v>3.82</v>
      </c>
      <c r="Q418" s="2">
        <v>16</v>
      </c>
      <c r="T418" s="25">
        <v>0</v>
      </c>
      <c r="U418" s="25"/>
      <c r="V418" s="25"/>
      <c r="W418">
        <v>0</v>
      </c>
      <c r="Z418">
        <v>0</v>
      </c>
      <c r="AD418">
        <v>20</v>
      </c>
      <c r="AE418" s="55">
        <f t="shared" si="27"/>
        <v>233.47839999999999</v>
      </c>
      <c r="AF418" s="57">
        <v>0</v>
      </c>
      <c r="AG418" s="55">
        <v>0</v>
      </c>
      <c r="AH418" s="55">
        <v>0</v>
      </c>
      <c r="AI418" s="52">
        <f t="shared" si="29"/>
        <v>8.5661029028809524E-2</v>
      </c>
      <c r="AJ418" s="51"/>
      <c r="AM418" s="28">
        <v>1.75</v>
      </c>
      <c r="AN418" s="28">
        <v>2.5</v>
      </c>
      <c r="AO418" s="28">
        <v>0.75</v>
      </c>
      <c r="AP418" s="28">
        <v>0</v>
      </c>
      <c r="AQ418" s="28">
        <v>0.35</v>
      </c>
      <c r="AR418" s="28">
        <v>0.5</v>
      </c>
      <c r="AS418" s="28">
        <v>0.15</v>
      </c>
      <c r="AT418" s="28">
        <v>0</v>
      </c>
      <c r="AU418" s="25">
        <v>1</v>
      </c>
      <c r="AV418" s="25">
        <v>3.44</v>
      </c>
      <c r="AW418" s="25">
        <v>2.44</v>
      </c>
      <c r="AX418" s="25">
        <v>2.7124999999999999</v>
      </c>
      <c r="AY418">
        <v>2.7124999999999999</v>
      </c>
      <c r="AZ418">
        <v>6.264025610615688</v>
      </c>
      <c r="BD418">
        <v>4.2830514514404762E-2</v>
      </c>
      <c r="BH418">
        <v>8.5661029028809524E-2</v>
      </c>
      <c r="BI418">
        <v>4.2830514514404762E-2</v>
      </c>
      <c r="BJ418">
        <v>0</v>
      </c>
    </row>
    <row r="419" spans="1:62" x14ac:dyDescent="0.3">
      <c r="A419" s="2" t="s">
        <v>4</v>
      </c>
      <c r="B419" s="13" t="s">
        <v>689</v>
      </c>
      <c r="C419" s="13"/>
      <c r="F419" s="2">
        <v>3.54</v>
      </c>
      <c r="G419" s="2" t="s">
        <v>352</v>
      </c>
      <c r="H419" s="9" t="s">
        <v>527</v>
      </c>
      <c r="I419" t="s">
        <v>609</v>
      </c>
      <c r="J419"/>
      <c r="K419" s="2">
        <v>2</v>
      </c>
      <c r="L419" s="25">
        <v>4</v>
      </c>
      <c r="M419">
        <v>4</v>
      </c>
      <c r="N419">
        <v>0</v>
      </c>
      <c r="O419" s="2">
        <v>3.86</v>
      </c>
      <c r="P419" s="2">
        <v>3.86</v>
      </c>
      <c r="Q419" s="2">
        <v>29.4</v>
      </c>
      <c r="T419" s="25">
        <v>7.8084429999999996</v>
      </c>
      <c r="U419" s="25">
        <v>7.8548809999999998</v>
      </c>
      <c r="V419" s="25">
        <v>15.19056011</v>
      </c>
      <c r="W419">
        <v>3.8801999999999999</v>
      </c>
      <c r="X419">
        <v>29.507999999999999</v>
      </c>
      <c r="Y419">
        <v>7.7140000000000004</v>
      </c>
      <c r="Z419">
        <v>0</v>
      </c>
      <c r="AD419">
        <v>20</v>
      </c>
      <c r="AE419" s="55">
        <f t="shared" si="27"/>
        <v>438.04823999999996</v>
      </c>
      <c r="AF419" s="57">
        <v>924.74694800021894</v>
      </c>
      <c r="AG419" s="55">
        <v>883.22940750240002</v>
      </c>
      <c r="AH419" s="55">
        <v>0</v>
      </c>
      <c r="AI419" s="52">
        <f t="shared" si="29"/>
        <v>9.1314143848631832E-2</v>
      </c>
      <c r="AJ419" s="51">
        <v>8.6510153045653584E-2</v>
      </c>
      <c r="AK419" s="52">
        <v>9.0576694254581439E-2</v>
      </c>
      <c r="AM419" s="28">
        <v>1.75</v>
      </c>
      <c r="AN419" s="28">
        <v>2.5</v>
      </c>
      <c r="AO419" s="28">
        <v>0.75</v>
      </c>
      <c r="AP419" s="28">
        <v>0</v>
      </c>
      <c r="AQ419" s="28">
        <v>0.35</v>
      </c>
      <c r="AR419" s="28">
        <v>0.5</v>
      </c>
      <c r="AS419" s="28">
        <v>0.15</v>
      </c>
      <c r="AT419" s="28">
        <v>0</v>
      </c>
      <c r="AU419" s="25">
        <v>0.82</v>
      </c>
      <c r="AV419" s="25">
        <v>3.44</v>
      </c>
      <c r="AW419" s="25">
        <v>2.62</v>
      </c>
      <c r="AX419" s="25">
        <v>2.6262500000000002</v>
      </c>
      <c r="AY419">
        <v>2.6262500000000002</v>
      </c>
      <c r="AZ419">
        <v>5.96680968125</v>
      </c>
      <c r="BA419" s="75">
        <v>0.50555206026575039</v>
      </c>
      <c r="BB419" s="75">
        <v>0</v>
      </c>
      <c r="BD419">
        <v>4.5657071924315923E-2</v>
      </c>
      <c r="BE419">
        <v>4.3255076522826792E-2</v>
      </c>
      <c r="BF419">
        <v>4.5288347127290719E-2</v>
      </c>
      <c r="BH419">
        <v>8.9466997049622285E-2</v>
      </c>
      <c r="BI419">
        <v>4.4733498524811142E-2</v>
      </c>
      <c r="BJ419">
        <v>0.2527760301328752</v>
      </c>
    </row>
    <row r="420" spans="1:62" x14ac:dyDescent="0.3">
      <c r="A420" s="2" t="s">
        <v>63</v>
      </c>
      <c r="B420" s="13" t="s">
        <v>773</v>
      </c>
      <c r="C420" s="13"/>
      <c r="F420" s="2">
        <v>3.5</v>
      </c>
      <c r="G420" s="2" t="s">
        <v>352</v>
      </c>
      <c r="H420" s="9">
        <v>-1</v>
      </c>
      <c r="I420">
        <v>-1</v>
      </c>
      <c r="J420"/>
      <c r="K420" s="2">
        <v>1</v>
      </c>
      <c r="L420" s="25">
        <v>0</v>
      </c>
      <c r="M420">
        <v>0</v>
      </c>
      <c r="N420">
        <v>0</v>
      </c>
      <c r="O420" s="2">
        <v>3.82</v>
      </c>
      <c r="P420" s="2">
        <v>3.82</v>
      </c>
      <c r="Q420" s="2">
        <v>16</v>
      </c>
      <c r="T420" s="25">
        <v>0</v>
      </c>
      <c r="U420" s="25"/>
      <c r="V420" s="25"/>
      <c r="W420">
        <v>0</v>
      </c>
      <c r="Z420">
        <v>0</v>
      </c>
      <c r="AD420">
        <v>20</v>
      </c>
      <c r="AE420" s="55">
        <f t="shared" si="27"/>
        <v>233.47839999999999</v>
      </c>
      <c r="AF420" s="57">
        <v>0</v>
      </c>
      <c r="AG420" s="55">
        <v>0</v>
      </c>
      <c r="AH420" s="55">
        <v>0</v>
      </c>
      <c r="AI420" s="52">
        <f t="shared" si="29"/>
        <v>8.5661029028809524E-2</v>
      </c>
      <c r="AJ420" s="51"/>
      <c r="AM420" s="28">
        <v>1.75</v>
      </c>
      <c r="AN420" s="28">
        <v>2.5</v>
      </c>
      <c r="AO420" s="28">
        <v>0.75</v>
      </c>
      <c r="AP420" s="28">
        <v>0</v>
      </c>
      <c r="AQ420" s="28">
        <v>0.35</v>
      </c>
      <c r="AR420" s="28">
        <v>0.5</v>
      </c>
      <c r="AS420" s="28">
        <v>0.15</v>
      </c>
      <c r="AT420" s="28">
        <v>0</v>
      </c>
      <c r="AU420" s="25">
        <v>1</v>
      </c>
      <c r="AV420" s="25">
        <v>3.44</v>
      </c>
      <c r="AW420" s="25">
        <v>2.44</v>
      </c>
      <c r="AX420" s="25">
        <v>2.7124999999999999</v>
      </c>
      <c r="AY420">
        <v>2.7124999999999999</v>
      </c>
      <c r="AZ420">
        <v>6.264025610615688</v>
      </c>
      <c r="BD420">
        <v>4.2830514514404762E-2</v>
      </c>
      <c r="BH420">
        <v>8.5661029028809524E-2</v>
      </c>
      <c r="BI420">
        <v>4.2830514514404762E-2</v>
      </c>
      <c r="BJ420">
        <v>0</v>
      </c>
    </row>
    <row r="421" spans="1:62" x14ac:dyDescent="0.3">
      <c r="A421" s="2" t="s">
        <v>346</v>
      </c>
      <c r="B421" s="18" t="s">
        <v>1018</v>
      </c>
      <c r="C421" s="13"/>
      <c r="F421" s="2">
        <v>3.45</v>
      </c>
      <c r="G421" s="2" t="s">
        <v>352</v>
      </c>
      <c r="H421" s="9">
        <v>-1</v>
      </c>
      <c r="I421">
        <v>-1</v>
      </c>
      <c r="J421"/>
      <c r="K421" s="2">
        <v>1</v>
      </c>
      <c r="L421" s="25">
        <v>0</v>
      </c>
      <c r="M421">
        <v>0</v>
      </c>
      <c r="N421">
        <v>0</v>
      </c>
      <c r="O421" s="2">
        <v>3.86</v>
      </c>
      <c r="P421" s="2">
        <v>3.86</v>
      </c>
      <c r="Q421" s="2">
        <v>20.9</v>
      </c>
      <c r="T421" s="25">
        <v>0</v>
      </c>
      <c r="U421" s="25"/>
      <c r="V421" s="25"/>
      <c r="W421">
        <v>0</v>
      </c>
      <c r="Z421">
        <v>0</v>
      </c>
      <c r="AD421">
        <v>20</v>
      </c>
      <c r="AE421" s="55">
        <f t="shared" si="27"/>
        <v>311.40163999999999</v>
      </c>
      <c r="AF421" s="57">
        <v>0</v>
      </c>
      <c r="AG421" s="55">
        <v>0</v>
      </c>
      <c r="AH421" s="55">
        <v>0</v>
      </c>
      <c r="AI421" s="52">
        <f t="shared" si="29"/>
        <v>6.4225737539468322E-2</v>
      </c>
      <c r="AJ421" s="51"/>
      <c r="AM421" s="28">
        <v>1.6190476190476191</v>
      </c>
      <c r="AN421" s="28">
        <v>2</v>
      </c>
      <c r="AO421" s="28">
        <v>0.5714285714285714</v>
      </c>
      <c r="AP421" s="28">
        <v>0</v>
      </c>
      <c r="AQ421" s="28">
        <v>0.38636363636363641</v>
      </c>
      <c r="AR421" s="28">
        <v>0.47727272727272718</v>
      </c>
      <c r="AS421" s="28">
        <v>0.13636363636363641</v>
      </c>
      <c r="AT421" s="28">
        <v>0</v>
      </c>
      <c r="AU421" s="25">
        <v>1</v>
      </c>
      <c r="AV421" s="25">
        <v>3.44</v>
      </c>
      <c r="AW421" s="25">
        <v>2.44</v>
      </c>
      <c r="AX421" s="25">
        <v>2.6071428571428572</v>
      </c>
      <c r="AY421">
        <v>2.6071428571428572</v>
      </c>
      <c r="AZ421">
        <v>6.4376988464407141</v>
      </c>
      <c r="BD421">
        <v>3.2112868769734161E-2</v>
      </c>
      <c r="BH421">
        <v>6.4225737539468322E-2</v>
      </c>
      <c r="BI421">
        <v>3.2112868769734161E-2</v>
      </c>
      <c r="BJ421">
        <v>0</v>
      </c>
    </row>
    <row r="422" spans="1:62" x14ac:dyDescent="0.3">
      <c r="A422" s="2" t="s">
        <v>347</v>
      </c>
      <c r="B422" s="18" t="s">
        <v>1019</v>
      </c>
      <c r="C422" s="13"/>
      <c r="F422" s="2">
        <v>3.5</v>
      </c>
      <c r="G422" s="2" t="s">
        <v>352</v>
      </c>
      <c r="H422" s="9">
        <v>-1</v>
      </c>
      <c r="I422">
        <v>-1</v>
      </c>
      <c r="J422"/>
      <c r="K422" s="2">
        <v>1</v>
      </c>
      <c r="L422" s="25">
        <v>0</v>
      </c>
      <c r="M422">
        <v>0</v>
      </c>
      <c r="N422">
        <v>0</v>
      </c>
      <c r="O422" s="2">
        <v>3.86</v>
      </c>
      <c r="P422" s="2">
        <v>3.86</v>
      </c>
      <c r="Q422" s="2">
        <v>17.899999999999999</v>
      </c>
      <c r="T422" s="25">
        <v>0</v>
      </c>
      <c r="U422" s="25"/>
      <c r="V422" s="25"/>
      <c r="W422">
        <v>0</v>
      </c>
      <c r="Z422">
        <v>0</v>
      </c>
      <c r="AD422">
        <v>20</v>
      </c>
      <c r="AE422" s="55">
        <f t="shared" si="27"/>
        <v>266.70283999999998</v>
      </c>
      <c r="AF422" s="57">
        <v>0</v>
      </c>
      <c r="AG422" s="55">
        <v>0</v>
      </c>
      <c r="AH422" s="55">
        <v>0</v>
      </c>
      <c r="AI422" s="52">
        <f t="shared" si="29"/>
        <v>7.4989827629882017E-2</v>
      </c>
      <c r="AJ422" s="51"/>
      <c r="AM422" s="28">
        <v>1.583333333333333</v>
      </c>
      <c r="AN422" s="28">
        <v>1.833333333333333</v>
      </c>
      <c r="AO422" s="28">
        <v>0.5</v>
      </c>
      <c r="AP422" s="28">
        <v>0</v>
      </c>
      <c r="AQ422" s="28">
        <v>0.40425531914893609</v>
      </c>
      <c r="AR422" s="28">
        <v>0.46808510638297868</v>
      </c>
      <c r="AS422" s="28">
        <v>0.1276595744680851</v>
      </c>
      <c r="AT422" s="28">
        <v>0</v>
      </c>
      <c r="AU422" s="25">
        <v>1</v>
      </c>
      <c r="AV422" s="25">
        <v>3.44</v>
      </c>
      <c r="AW422" s="25">
        <v>2.44</v>
      </c>
      <c r="AX422" s="25">
        <v>2.5708333333333329</v>
      </c>
      <c r="AY422">
        <v>2.5708333333333329</v>
      </c>
      <c r="AZ422">
        <v>6.4919128825398751</v>
      </c>
      <c r="BD422">
        <v>3.7494913814941008E-2</v>
      </c>
      <c r="BH422">
        <v>7.4989827629882017E-2</v>
      </c>
      <c r="BI422">
        <v>3.7494913814941008E-2</v>
      </c>
      <c r="BJ422">
        <v>0</v>
      </c>
    </row>
    <row r="423" spans="1:62" x14ac:dyDescent="0.3">
      <c r="A423" s="2" t="s">
        <v>348</v>
      </c>
      <c r="B423" s="18" t="s">
        <v>1020</v>
      </c>
      <c r="C423" s="13"/>
      <c r="F423" s="2">
        <v>3.53</v>
      </c>
      <c r="G423" s="2" t="s">
        <v>352</v>
      </c>
      <c r="H423" s="9">
        <v>-1</v>
      </c>
      <c r="I423">
        <v>-1</v>
      </c>
      <c r="J423"/>
      <c r="K423" s="2">
        <v>1</v>
      </c>
      <c r="L423" s="25">
        <v>0</v>
      </c>
      <c r="M423">
        <v>0</v>
      </c>
      <c r="N423">
        <v>0</v>
      </c>
      <c r="O423" s="2">
        <v>3.86</v>
      </c>
      <c r="P423" s="2">
        <v>3.86</v>
      </c>
      <c r="Q423" s="2">
        <v>19.899999999999999</v>
      </c>
      <c r="T423" s="25">
        <v>0</v>
      </c>
      <c r="U423" s="25"/>
      <c r="V423" s="25"/>
      <c r="W423">
        <v>0</v>
      </c>
      <c r="Z423">
        <v>0</v>
      </c>
      <c r="AD423">
        <v>20</v>
      </c>
      <c r="AE423" s="55">
        <f t="shared" si="27"/>
        <v>296.50203999999997</v>
      </c>
      <c r="AF423" s="57">
        <v>0</v>
      </c>
      <c r="AG423" s="55">
        <v>0</v>
      </c>
      <c r="AH423" s="55">
        <v>0</v>
      </c>
      <c r="AI423" s="52">
        <f t="shared" si="29"/>
        <v>6.745316153642654E-2</v>
      </c>
      <c r="AJ423" s="51"/>
      <c r="AM423" s="28">
        <v>1.555555555555556</v>
      </c>
      <c r="AN423" s="28">
        <v>1.7037037037037039</v>
      </c>
      <c r="AO423" s="28">
        <v>0.44444444444444442</v>
      </c>
      <c r="AP423" s="28">
        <v>0</v>
      </c>
      <c r="AQ423" s="28">
        <v>0.42</v>
      </c>
      <c r="AR423" s="28">
        <v>0.46</v>
      </c>
      <c r="AS423" s="28">
        <v>0.12</v>
      </c>
      <c r="AT423" s="28">
        <v>0</v>
      </c>
      <c r="AU423" s="25">
        <v>1</v>
      </c>
      <c r="AV423" s="25">
        <v>3.44</v>
      </c>
      <c r="AW423" s="25">
        <v>2.44</v>
      </c>
      <c r="AX423" s="25">
        <v>2.5425925925925932</v>
      </c>
      <c r="AY423">
        <v>2.5425925925925932</v>
      </c>
      <c r="AZ423">
        <v>6.5340793550614444</v>
      </c>
      <c r="BD423">
        <v>3.372658076821327E-2</v>
      </c>
      <c r="BH423">
        <v>6.745316153642654E-2</v>
      </c>
      <c r="BI423">
        <v>3.372658076821327E-2</v>
      </c>
      <c r="BJ423">
        <v>0</v>
      </c>
    </row>
    <row r="424" spans="1:62" x14ac:dyDescent="0.3">
      <c r="A424" s="2" t="s">
        <v>349</v>
      </c>
      <c r="B424" s="18" t="s">
        <v>1021</v>
      </c>
      <c r="C424" s="13"/>
      <c r="F424" s="2">
        <v>3.5</v>
      </c>
      <c r="G424" s="2" t="s">
        <v>352</v>
      </c>
      <c r="H424" s="9">
        <v>-1</v>
      </c>
      <c r="I424">
        <v>-1</v>
      </c>
      <c r="J424"/>
      <c r="K424" s="2">
        <v>1</v>
      </c>
      <c r="L424" s="25">
        <v>0</v>
      </c>
      <c r="M424">
        <v>0</v>
      </c>
      <c r="N424">
        <v>0</v>
      </c>
      <c r="O424" s="2">
        <v>3.87</v>
      </c>
      <c r="P424" s="2">
        <v>3.87</v>
      </c>
      <c r="Q424" s="2">
        <v>22.1</v>
      </c>
      <c r="T424" s="25">
        <v>0</v>
      </c>
      <c r="U424" s="25"/>
      <c r="V424" s="25"/>
      <c r="W424">
        <v>0</v>
      </c>
      <c r="Z424">
        <v>0</v>
      </c>
      <c r="AD424">
        <v>20</v>
      </c>
      <c r="AE424" s="55">
        <f t="shared" si="27"/>
        <v>330.98949000000005</v>
      </c>
      <c r="AF424" s="57">
        <v>0</v>
      </c>
      <c r="AG424" s="55">
        <v>0</v>
      </c>
      <c r="AH424" s="55">
        <v>0</v>
      </c>
      <c r="AI424" s="52">
        <f t="shared" si="29"/>
        <v>6.0424879351909322E-2</v>
      </c>
      <c r="AJ424" s="51"/>
      <c r="AM424" s="28">
        <v>1.533333333333333</v>
      </c>
      <c r="AN424" s="28">
        <v>1.6</v>
      </c>
      <c r="AO424" s="28">
        <v>0.4</v>
      </c>
      <c r="AP424" s="28">
        <v>0</v>
      </c>
      <c r="AQ424" s="28">
        <v>0.43396226415094352</v>
      </c>
      <c r="AR424" s="28">
        <v>0.45283018867924529</v>
      </c>
      <c r="AS424" s="28">
        <v>0.1132075471698113</v>
      </c>
      <c r="AT424" s="28">
        <v>0</v>
      </c>
      <c r="AU424" s="25">
        <v>1</v>
      </c>
      <c r="AV424" s="25">
        <v>3.44</v>
      </c>
      <c r="AW424" s="25">
        <v>2.44</v>
      </c>
      <c r="AX424" s="25">
        <v>2.52</v>
      </c>
      <c r="AY424">
        <v>2.52</v>
      </c>
      <c r="AZ424">
        <v>6.5678125330786994</v>
      </c>
      <c r="BD424">
        <v>3.0212439675954661E-2</v>
      </c>
      <c r="BH424">
        <v>6.0424879351909322E-2</v>
      </c>
      <c r="BI424">
        <v>3.0212439675954661E-2</v>
      </c>
      <c r="BJ424">
        <v>0</v>
      </c>
    </row>
    <row r="425" spans="1:62" x14ac:dyDescent="0.3">
      <c r="A425" s="2" t="s">
        <v>350</v>
      </c>
      <c r="B425" s="18" t="s">
        <v>1022</v>
      </c>
      <c r="C425" s="13"/>
      <c r="F425" s="2">
        <v>3.47</v>
      </c>
      <c r="G425" s="2" t="s">
        <v>352</v>
      </c>
      <c r="H425" s="9">
        <v>-1</v>
      </c>
      <c r="I425">
        <v>-1</v>
      </c>
      <c r="J425"/>
      <c r="K425" s="2">
        <v>1</v>
      </c>
      <c r="L425" s="25">
        <v>0</v>
      </c>
      <c r="M425">
        <v>0</v>
      </c>
      <c r="N425">
        <v>0</v>
      </c>
      <c r="O425" s="2">
        <v>3.87</v>
      </c>
      <c r="P425" s="2">
        <v>3.87</v>
      </c>
      <c r="Q425" s="2">
        <v>26.4</v>
      </c>
      <c r="T425" s="25">
        <v>0</v>
      </c>
      <c r="U425" s="25"/>
      <c r="V425" s="25"/>
      <c r="W425">
        <v>0</v>
      </c>
      <c r="Z425">
        <v>0</v>
      </c>
      <c r="AD425">
        <v>20</v>
      </c>
      <c r="AE425" s="55">
        <f t="shared" si="27"/>
        <v>395.39015999999998</v>
      </c>
      <c r="AF425" s="57">
        <v>0</v>
      </c>
      <c r="AG425" s="55">
        <v>0</v>
      </c>
      <c r="AH425" s="55">
        <v>0</v>
      </c>
      <c r="AI425" s="52">
        <f t="shared" si="29"/>
        <v>5.0582948245348341E-2</v>
      </c>
      <c r="AJ425" s="51"/>
      <c r="AM425" s="28">
        <v>1.5</v>
      </c>
      <c r="AN425" s="28">
        <v>1.444444444444444</v>
      </c>
      <c r="AO425" s="28">
        <v>0.33333333333333331</v>
      </c>
      <c r="AP425" s="28">
        <v>0</v>
      </c>
      <c r="AQ425" s="28">
        <v>0.4576271186440678</v>
      </c>
      <c r="AR425" s="28">
        <v>0.44067796610169491</v>
      </c>
      <c r="AS425" s="28">
        <v>0.10169491525423729</v>
      </c>
      <c r="AT425" s="28">
        <v>0</v>
      </c>
      <c r="AU425" s="25">
        <v>1</v>
      </c>
      <c r="AV425" s="25">
        <v>3.44</v>
      </c>
      <c r="AW425" s="25">
        <v>2.44</v>
      </c>
      <c r="AX425" s="25">
        <v>2.4861111111111112</v>
      </c>
      <c r="AY425">
        <v>2.4861111111111112</v>
      </c>
      <c r="AZ425">
        <v>6.6184123001045831</v>
      </c>
      <c r="BD425">
        <v>2.5291474122674171E-2</v>
      </c>
      <c r="BH425">
        <v>5.0582948245348341E-2</v>
      </c>
      <c r="BI425">
        <v>2.5291474122674171E-2</v>
      </c>
      <c r="BJ425">
        <v>0</v>
      </c>
    </row>
    <row r="426" spans="1:62" x14ac:dyDescent="0.3">
      <c r="A426" s="2" t="s">
        <v>351</v>
      </c>
      <c r="B426" s="18" t="s">
        <v>1023</v>
      </c>
      <c r="C426" s="13"/>
      <c r="F426" s="2">
        <v>3.51</v>
      </c>
      <c r="G426" s="2" t="s">
        <v>352</v>
      </c>
      <c r="H426" s="9">
        <v>-1</v>
      </c>
      <c r="I426">
        <v>-1</v>
      </c>
      <c r="J426"/>
      <c r="K426" s="2">
        <v>1</v>
      </c>
      <c r="L426" s="25">
        <v>0</v>
      </c>
      <c r="M426">
        <v>0</v>
      </c>
      <c r="N426">
        <v>0</v>
      </c>
      <c r="O426" s="2">
        <v>3.87</v>
      </c>
      <c r="P426" s="2">
        <v>3.87</v>
      </c>
      <c r="Q426" s="2">
        <v>34.799999999999997</v>
      </c>
      <c r="T426" s="25">
        <v>0</v>
      </c>
      <c r="U426" s="25"/>
      <c r="V426" s="25"/>
      <c r="W426">
        <v>0</v>
      </c>
      <c r="Z426">
        <v>0</v>
      </c>
      <c r="AD426">
        <v>20</v>
      </c>
      <c r="AE426" s="55">
        <f t="shared" si="27"/>
        <v>521.19611999999995</v>
      </c>
      <c r="AF426" s="57">
        <v>0</v>
      </c>
      <c r="AG426" s="55">
        <v>0</v>
      </c>
      <c r="AH426" s="55">
        <v>0</v>
      </c>
      <c r="AI426" s="52">
        <f t="shared" si="29"/>
        <v>3.8373271082678052E-2</v>
      </c>
      <c r="AJ426" s="51"/>
      <c r="AM426" s="28">
        <v>1.4761904761904761</v>
      </c>
      <c r="AN426" s="28">
        <v>1.333333333333333</v>
      </c>
      <c r="AO426" s="28">
        <v>0.2857142857142857</v>
      </c>
      <c r="AP426" s="28">
        <v>0</v>
      </c>
      <c r="AQ426" s="28">
        <v>0.47692307692307689</v>
      </c>
      <c r="AR426" s="28">
        <v>0.43076923076923068</v>
      </c>
      <c r="AS426" s="28">
        <v>9.2307692307692299E-2</v>
      </c>
      <c r="AT426" s="28">
        <v>0</v>
      </c>
      <c r="AU426" s="25">
        <v>1</v>
      </c>
      <c r="AV426" s="25">
        <v>3.44</v>
      </c>
      <c r="AW426" s="25">
        <v>2.44</v>
      </c>
      <c r="AX426" s="25">
        <v>2.461904761904762</v>
      </c>
      <c r="AY426">
        <v>2.461904761904762</v>
      </c>
      <c r="AZ426">
        <v>6.6545549908373571</v>
      </c>
      <c r="BD426">
        <v>1.918663554133903E-2</v>
      </c>
      <c r="BH426">
        <v>3.8373271082678052E-2</v>
      </c>
      <c r="BI426">
        <v>1.918663554133903E-2</v>
      </c>
      <c r="BJ426">
        <v>0</v>
      </c>
    </row>
    <row r="427" spans="1:62" x14ac:dyDescent="0.3">
      <c r="A427" s="2" t="s">
        <v>180</v>
      </c>
      <c r="B427" s="13" t="s">
        <v>796</v>
      </c>
      <c r="C427" s="13"/>
      <c r="F427" s="2">
        <v>3.6</v>
      </c>
      <c r="G427" s="2" t="s">
        <v>354</v>
      </c>
      <c r="H427" s="9">
        <v>-1</v>
      </c>
      <c r="I427">
        <v>-1</v>
      </c>
      <c r="J427"/>
      <c r="K427" s="2">
        <v>2</v>
      </c>
      <c r="L427" s="25">
        <v>0</v>
      </c>
      <c r="M427">
        <v>0</v>
      </c>
      <c r="N427">
        <v>0</v>
      </c>
      <c r="O427" s="2">
        <v>3.895</v>
      </c>
      <c r="P427" s="2">
        <v>3.895</v>
      </c>
      <c r="Q427" s="2">
        <v>30.46</v>
      </c>
      <c r="R427" s="2" t="s">
        <v>440</v>
      </c>
      <c r="T427" s="25">
        <v>0</v>
      </c>
      <c r="U427" s="25"/>
      <c r="V427" s="25"/>
      <c r="W427">
        <v>0</v>
      </c>
      <c r="Z427">
        <v>0</v>
      </c>
      <c r="AD427">
        <v>20</v>
      </c>
      <c r="AE427" s="55">
        <f t="shared" si="27"/>
        <v>462.1094215</v>
      </c>
      <c r="AF427" s="57">
        <v>0</v>
      </c>
      <c r="AG427" s="55">
        <v>0</v>
      </c>
      <c r="AH427" s="55">
        <v>0</v>
      </c>
      <c r="AI427" s="52">
        <f t="shared" si="29"/>
        <v>8.655958554179792E-2</v>
      </c>
      <c r="AJ427" s="51"/>
      <c r="AM427" s="28">
        <v>1.882352941176471</v>
      </c>
      <c r="AN427" s="28">
        <v>2.3529411764705879</v>
      </c>
      <c r="AO427" s="28">
        <v>0.47058823529411759</v>
      </c>
      <c r="AP427" s="28">
        <v>0</v>
      </c>
      <c r="AQ427" s="28">
        <v>0.4</v>
      </c>
      <c r="AR427" s="28">
        <v>0.5</v>
      </c>
      <c r="AS427" s="28">
        <v>9.9999999999999992E-2</v>
      </c>
      <c r="AT427" s="28">
        <v>0</v>
      </c>
      <c r="AU427" s="25">
        <v>0.82</v>
      </c>
      <c r="AV427" s="25">
        <v>3.44</v>
      </c>
      <c r="AW427" s="25">
        <v>2.62</v>
      </c>
      <c r="AX427" s="25">
        <v>2.5211764705882351</v>
      </c>
      <c r="AY427">
        <v>2.521176470588236</v>
      </c>
      <c r="AZ427">
        <v>5.6793405594117647</v>
      </c>
      <c r="BD427">
        <v>4.327979277089896E-2</v>
      </c>
      <c r="BH427">
        <v>8.655958554179792E-2</v>
      </c>
      <c r="BI427">
        <v>4.327979277089896E-2</v>
      </c>
      <c r="BJ427">
        <v>0</v>
      </c>
    </row>
    <row r="428" spans="1:62" x14ac:dyDescent="0.3">
      <c r="A428" s="2" t="s">
        <v>952</v>
      </c>
      <c r="B428" s="17" t="s">
        <v>954</v>
      </c>
      <c r="C428" s="13"/>
      <c r="F428" s="2">
        <v>3.65</v>
      </c>
      <c r="G428" s="2" t="s">
        <v>354</v>
      </c>
      <c r="H428" s="9">
        <v>-1</v>
      </c>
      <c r="I428">
        <v>-1</v>
      </c>
      <c r="J428"/>
      <c r="K428" s="2">
        <v>2</v>
      </c>
      <c r="L428" s="25">
        <v>0</v>
      </c>
      <c r="M428">
        <v>0</v>
      </c>
      <c r="N428">
        <v>0</v>
      </c>
      <c r="O428" s="2">
        <v>3.84</v>
      </c>
      <c r="P428" s="2">
        <v>3.84</v>
      </c>
      <c r="Q428" s="2">
        <v>32.520000000000003</v>
      </c>
      <c r="R428" s="2" t="s">
        <v>1131</v>
      </c>
      <c r="T428" s="25">
        <v>0</v>
      </c>
      <c r="U428" s="25"/>
      <c r="V428" s="25"/>
      <c r="W428">
        <v>0</v>
      </c>
      <c r="Z428">
        <v>0</v>
      </c>
      <c r="AD428">
        <v>20</v>
      </c>
      <c r="AE428" s="55">
        <f t="shared" si="27"/>
        <v>479.52691200000004</v>
      </c>
      <c r="AF428" s="57">
        <v>0</v>
      </c>
      <c r="AG428" s="55">
        <v>0</v>
      </c>
      <c r="AH428" s="55">
        <v>0</v>
      </c>
      <c r="AI428" s="52">
        <f t="shared" si="29"/>
        <v>8.3415547697143627E-2</v>
      </c>
      <c r="AJ428" s="51"/>
      <c r="AM428" s="28">
        <v>1.882352941176471</v>
      </c>
      <c r="AN428" s="28">
        <v>2.3529411764705879</v>
      </c>
      <c r="AO428" s="28">
        <v>0.47058823529411759</v>
      </c>
      <c r="AP428" s="28">
        <v>0</v>
      </c>
      <c r="AQ428" s="28">
        <v>0.4</v>
      </c>
      <c r="AR428" s="28">
        <v>0.5</v>
      </c>
      <c r="AS428" s="28">
        <v>9.9999999999999992E-2</v>
      </c>
      <c r="AT428" s="28">
        <v>0</v>
      </c>
      <c r="AU428" s="25">
        <v>0.82</v>
      </c>
      <c r="AV428" s="25">
        <v>3.44</v>
      </c>
      <c r="AW428" s="25">
        <v>2.62</v>
      </c>
      <c r="AX428" s="25">
        <v>2.6023529411764699</v>
      </c>
      <c r="AY428">
        <v>2.6023529411764712</v>
      </c>
      <c r="AZ428">
        <v>5.9643402149912346</v>
      </c>
      <c r="BD428">
        <v>4.1707773848571807E-2</v>
      </c>
      <c r="BH428">
        <v>8.3415547697143627E-2</v>
      </c>
      <c r="BI428">
        <v>4.1707773848571807E-2</v>
      </c>
      <c r="BJ428">
        <v>0</v>
      </c>
    </row>
    <row r="429" spans="1:62" x14ac:dyDescent="0.3">
      <c r="A429" s="2" t="s">
        <v>953</v>
      </c>
      <c r="B429" s="17" t="s">
        <v>955</v>
      </c>
      <c r="C429" s="13"/>
      <c r="F429" s="2">
        <v>3.58</v>
      </c>
      <c r="G429" s="2" t="s">
        <v>354</v>
      </c>
      <c r="H429" s="9">
        <v>-1</v>
      </c>
      <c r="I429">
        <v>-1</v>
      </c>
      <c r="J429"/>
      <c r="K429" s="2">
        <v>1</v>
      </c>
      <c r="L429" s="25">
        <v>0</v>
      </c>
      <c r="M429">
        <v>0</v>
      </c>
      <c r="N429">
        <v>0</v>
      </c>
      <c r="O429" s="2">
        <v>3.82</v>
      </c>
      <c r="P429" s="2">
        <v>3.82</v>
      </c>
      <c r="Q429" s="2">
        <v>14.9</v>
      </c>
      <c r="R429" s="2" t="s">
        <v>439</v>
      </c>
      <c r="T429" s="25">
        <v>0</v>
      </c>
      <c r="U429" s="25"/>
      <c r="V429" s="25"/>
      <c r="W429">
        <v>0</v>
      </c>
      <c r="Z429">
        <v>0</v>
      </c>
      <c r="AD429">
        <v>20</v>
      </c>
      <c r="AE429" s="55">
        <f t="shared" si="27"/>
        <v>217.42676</v>
      </c>
      <c r="AF429" s="57">
        <v>0</v>
      </c>
      <c r="AG429" s="55">
        <v>0</v>
      </c>
      <c r="AH429" s="55">
        <v>0</v>
      </c>
      <c r="AI429" s="52">
        <f t="shared" si="29"/>
        <v>9.1984997614829006E-2</v>
      </c>
      <c r="AJ429" s="51"/>
      <c r="AM429" s="28">
        <v>1.882352941176471</v>
      </c>
      <c r="AN429" s="28">
        <v>2.3529411764705879</v>
      </c>
      <c r="AO429" s="28">
        <v>0.47058823529411759</v>
      </c>
      <c r="AP429" s="28">
        <v>0</v>
      </c>
      <c r="AQ429" s="28">
        <v>0.4</v>
      </c>
      <c r="AR429" s="28">
        <v>0.5</v>
      </c>
      <c r="AS429" s="28">
        <v>9.9999999999999992E-2</v>
      </c>
      <c r="AT429" s="28">
        <v>0</v>
      </c>
      <c r="AU429" s="25">
        <v>0.82</v>
      </c>
      <c r="AV429" s="25">
        <v>3.44</v>
      </c>
      <c r="AW429" s="25">
        <v>2.62</v>
      </c>
      <c r="AX429" s="25">
        <v>2.6429411764705879</v>
      </c>
      <c r="AY429">
        <v>2.6429411764705879</v>
      </c>
      <c r="AZ429">
        <v>6.1068400427809717</v>
      </c>
      <c r="BD429">
        <v>4.5992498807414503E-2</v>
      </c>
      <c r="BH429">
        <v>9.1984997614829006E-2</v>
      </c>
      <c r="BI429">
        <v>4.5992498807414503E-2</v>
      </c>
      <c r="BJ429">
        <v>0</v>
      </c>
    </row>
    <row r="430" spans="1:62" x14ac:dyDescent="0.3">
      <c r="A430" s="2" t="s">
        <v>353</v>
      </c>
      <c r="B430" s="13" t="s">
        <v>834</v>
      </c>
      <c r="C430" s="13"/>
      <c r="F430" s="2">
        <v>3.55</v>
      </c>
      <c r="G430" s="2" t="s">
        <v>354</v>
      </c>
      <c r="H430" s="9">
        <v>-1</v>
      </c>
      <c r="I430">
        <v>-1</v>
      </c>
      <c r="J430"/>
      <c r="K430" s="2">
        <v>2</v>
      </c>
      <c r="L430" s="25">
        <v>0</v>
      </c>
      <c r="M430">
        <v>0</v>
      </c>
      <c r="N430">
        <v>0</v>
      </c>
      <c r="O430" s="2">
        <v>3.8050000000000002</v>
      </c>
      <c r="P430" s="2">
        <v>3.8050000000000002</v>
      </c>
      <c r="Q430" s="2">
        <v>27.44</v>
      </c>
      <c r="R430" s="2" t="s">
        <v>1131</v>
      </c>
      <c r="T430" s="25">
        <v>0</v>
      </c>
      <c r="U430" s="25"/>
      <c r="V430" s="25"/>
      <c r="W430">
        <v>0</v>
      </c>
      <c r="Z430">
        <v>0</v>
      </c>
      <c r="AD430">
        <v>20</v>
      </c>
      <c r="AE430" s="55">
        <f t="shared" si="27"/>
        <v>397.27700600000003</v>
      </c>
      <c r="AF430" s="57">
        <v>0</v>
      </c>
      <c r="AG430" s="55">
        <v>0</v>
      </c>
      <c r="AH430" s="55">
        <v>0</v>
      </c>
      <c r="AI430" s="52">
        <f t="shared" si="29"/>
        <v>0.10068541444857747</v>
      </c>
      <c r="AJ430" s="51"/>
      <c r="AM430" s="28">
        <v>1.882352941176471</v>
      </c>
      <c r="AN430" s="28">
        <v>2.3529411764705879</v>
      </c>
      <c r="AO430" s="28">
        <v>0.47058823529411759</v>
      </c>
      <c r="AP430" s="28">
        <v>0</v>
      </c>
      <c r="AQ430" s="28">
        <v>0.4</v>
      </c>
      <c r="AR430" s="28">
        <v>0.5</v>
      </c>
      <c r="AS430" s="28">
        <v>9.9999999999999992E-2</v>
      </c>
      <c r="AT430" s="28">
        <v>0</v>
      </c>
      <c r="AU430" s="25">
        <v>1.1000000000000001</v>
      </c>
      <c r="AV430" s="25">
        <v>3.44</v>
      </c>
      <c r="AW430" s="25">
        <v>2.34</v>
      </c>
      <c r="AX430" s="25">
        <v>2.6835294117647059</v>
      </c>
      <c r="AY430">
        <v>2.6835294117647059</v>
      </c>
      <c r="AZ430">
        <v>6.2493398705707062</v>
      </c>
      <c r="BD430">
        <v>5.0342707224288727E-2</v>
      </c>
      <c r="BH430">
        <v>0.1006854144485775</v>
      </c>
      <c r="BI430">
        <v>5.0342707224288727E-2</v>
      </c>
      <c r="BJ430">
        <v>0</v>
      </c>
    </row>
    <row r="431" spans="1:62" x14ac:dyDescent="0.3">
      <c r="A431" s="2" t="s">
        <v>142</v>
      </c>
      <c r="B431" s="34" t="s">
        <v>766</v>
      </c>
      <c r="C431" s="34"/>
      <c r="F431" s="2">
        <v>4.3600000000000003</v>
      </c>
      <c r="G431" s="2" t="s">
        <v>357</v>
      </c>
      <c r="H431" s="35">
        <v>-1</v>
      </c>
      <c r="I431" s="2">
        <v>-1</v>
      </c>
      <c r="J431" s="2" t="s">
        <v>1164</v>
      </c>
      <c r="K431" s="2">
        <v>1</v>
      </c>
      <c r="L431" s="29">
        <v>0</v>
      </c>
      <c r="M431">
        <v>0</v>
      </c>
      <c r="N431">
        <v>1</v>
      </c>
      <c r="O431" s="2">
        <v>3.89</v>
      </c>
      <c r="P431" s="2">
        <v>3.89</v>
      </c>
      <c r="Q431" s="2">
        <v>10.48</v>
      </c>
      <c r="R431" s="2" t="s">
        <v>440</v>
      </c>
      <c r="T431" s="29">
        <v>0</v>
      </c>
      <c r="W431">
        <v>0</v>
      </c>
      <c r="Z431">
        <v>3.88</v>
      </c>
      <c r="AA431">
        <v>3.88</v>
      </c>
      <c r="AB431">
        <v>10.66</v>
      </c>
      <c r="AD431" s="2">
        <v>14</v>
      </c>
      <c r="AE431" s="55">
        <f t="shared" si="27"/>
        <v>158.58440800000002</v>
      </c>
      <c r="AF431" s="57">
        <v>0</v>
      </c>
      <c r="AG431" s="55">
        <v>0</v>
      </c>
      <c r="AH431" s="55">
        <v>160.479904</v>
      </c>
      <c r="AI431" s="52">
        <f t="shared" si="29"/>
        <v>8.8281062284509063E-2</v>
      </c>
      <c r="AL431" s="67">
        <f t="shared" ref="AL431:AL436" si="30">N431*AD431/AH431</f>
        <v>8.7238337331009372E-2</v>
      </c>
      <c r="AM431" s="2">
        <v>1.9090909090909089</v>
      </c>
      <c r="AN431" s="2">
        <v>2.545454545454545</v>
      </c>
      <c r="AO431" s="2">
        <v>0.54545454545454541</v>
      </c>
      <c r="AP431" s="2">
        <v>2.9090909090909092</v>
      </c>
      <c r="AQ431" s="2">
        <v>0.2413793103448276</v>
      </c>
      <c r="AR431" s="2">
        <v>0.32183908045977011</v>
      </c>
      <c r="AS431" s="2">
        <v>6.8965517241379309E-2</v>
      </c>
      <c r="AT431" s="2">
        <v>0.36781609195402298</v>
      </c>
      <c r="AU431" s="29">
        <v>1.1399999999999999</v>
      </c>
      <c r="AV431" s="29">
        <v>3.44</v>
      </c>
      <c r="AW431" s="29">
        <v>2.2999999999999998</v>
      </c>
      <c r="AX431" s="29">
        <v>2.7654545454545452</v>
      </c>
      <c r="AY431" s="2">
        <v>2.7654545454545461</v>
      </c>
      <c r="AZ431" s="2">
        <v>6.4215922727137267</v>
      </c>
      <c r="BC431" s="75">
        <v>0</v>
      </c>
      <c r="BD431">
        <v>4.4140531142254531E-2</v>
      </c>
      <c r="BG431">
        <v>4.3619168665504693E-2</v>
      </c>
      <c r="BH431">
        <v>8.7759699807759217E-2</v>
      </c>
      <c r="BI431">
        <v>4.3879849903879609E-2</v>
      </c>
      <c r="BJ431">
        <v>0</v>
      </c>
    </row>
    <row r="432" spans="1:62" x14ac:dyDescent="0.3">
      <c r="A432" s="2" t="s">
        <v>355</v>
      </c>
      <c r="B432" s="13" t="s">
        <v>835</v>
      </c>
      <c r="C432" s="13"/>
      <c r="F432" s="2">
        <v>4.49</v>
      </c>
      <c r="G432" s="2" t="s">
        <v>357</v>
      </c>
      <c r="H432" s="9">
        <v>-1</v>
      </c>
      <c r="I432">
        <v>-1</v>
      </c>
      <c r="J432" t="s">
        <v>1180</v>
      </c>
      <c r="L432" s="25">
        <v>0</v>
      </c>
      <c r="M432">
        <v>0</v>
      </c>
      <c r="N432">
        <v>4</v>
      </c>
      <c r="O432" s="2">
        <v>-1</v>
      </c>
      <c r="T432" s="25">
        <v>0</v>
      </c>
      <c r="U432"/>
      <c r="V432"/>
      <c r="W432">
        <v>0</v>
      </c>
      <c r="Z432">
        <v>5.4092000000000002</v>
      </c>
      <c r="AA432">
        <v>20.501100000000001</v>
      </c>
      <c r="AB432">
        <v>5.4427000000000003</v>
      </c>
      <c r="AD432">
        <v>14</v>
      </c>
      <c r="AE432" s="55">
        <f t="shared" si="27"/>
        <v>0</v>
      </c>
      <c r="AF432" s="57">
        <v>0</v>
      </c>
      <c r="AG432" s="55">
        <v>0</v>
      </c>
      <c r="AH432" s="55">
        <v>603.57000000000005</v>
      </c>
      <c r="AL432" s="67">
        <f t="shared" si="30"/>
        <v>9.2781284689431212E-2</v>
      </c>
      <c r="AM432" s="28">
        <v>1.9090909090909089</v>
      </c>
      <c r="AN432" s="28">
        <v>2.545454545454545</v>
      </c>
      <c r="AO432" s="28">
        <v>0.54545454545454541</v>
      </c>
      <c r="AP432" s="28">
        <v>2.9090909090909092</v>
      </c>
      <c r="AQ432" s="28">
        <v>0.2413793103448276</v>
      </c>
      <c r="AR432" s="28">
        <v>0.32183908045977011</v>
      </c>
      <c r="AS432" s="28">
        <v>6.8965517241379309E-2</v>
      </c>
      <c r="AT432" s="28">
        <v>0.36781609195402298</v>
      </c>
      <c r="AU432" s="25">
        <v>0.98</v>
      </c>
      <c r="AV432" s="25">
        <v>3.44</v>
      </c>
      <c r="AW432" s="25">
        <v>2.46</v>
      </c>
      <c r="AX432" s="25">
        <v>2.6545454545454539</v>
      </c>
      <c r="AY432">
        <v>2.6545454545454539</v>
      </c>
      <c r="AZ432">
        <v>6.0423528007272722</v>
      </c>
      <c r="BC432" s="75">
        <v>0.47461723217425672</v>
      </c>
      <c r="BG432">
        <v>4.6390642344715613E-2</v>
      </c>
      <c r="BH432">
        <v>9.2781284689431212E-2</v>
      </c>
      <c r="BI432">
        <v>4.6390642344715613E-2</v>
      </c>
      <c r="BJ432">
        <v>0.47461723217425672</v>
      </c>
    </row>
    <row r="433" spans="1:62" x14ac:dyDescent="0.3">
      <c r="A433" s="2" t="s">
        <v>143</v>
      </c>
      <c r="B433" s="13" t="s">
        <v>767</v>
      </c>
      <c r="C433" s="13"/>
      <c r="F433" s="2">
        <v>4.38</v>
      </c>
      <c r="G433" s="2" t="s">
        <v>357</v>
      </c>
      <c r="H433" s="9">
        <v>-1</v>
      </c>
      <c r="I433">
        <v>-1</v>
      </c>
      <c r="J433" t="s">
        <v>1181</v>
      </c>
      <c r="L433" s="25">
        <v>0</v>
      </c>
      <c r="M433">
        <v>0</v>
      </c>
      <c r="N433">
        <v>4</v>
      </c>
      <c r="O433" s="2">
        <v>-1</v>
      </c>
      <c r="Q433" s="2">
        <v>21.024000000000001</v>
      </c>
      <c r="T433" s="25">
        <v>0</v>
      </c>
      <c r="U433"/>
      <c r="V433"/>
      <c r="W433">
        <v>0</v>
      </c>
      <c r="Z433">
        <v>5.4686000000000003</v>
      </c>
      <c r="AA433">
        <v>5.4686000000000003</v>
      </c>
      <c r="AB433">
        <v>21.134499999999999</v>
      </c>
      <c r="AD433">
        <v>14</v>
      </c>
      <c r="AE433" s="55">
        <f t="shared" si="27"/>
        <v>0</v>
      </c>
      <c r="AF433" s="57">
        <v>0</v>
      </c>
      <c r="AG433" s="55">
        <v>0</v>
      </c>
      <c r="AH433" s="55">
        <v>632</v>
      </c>
      <c r="AL433" s="67">
        <f t="shared" si="30"/>
        <v>8.8607594936708861E-2</v>
      </c>
      <c r="AM433" s="28">
        <v>1.9090909090909089</v>
      </c>
      <c r="AN433" s="28">
        <v>2.545454545454545</v>
      </c>
      <c r="AO433" s="28">
        <v>0.54545454545454541</v>
      </c>
      <c r="AP433" s="28">
        <v>2.9090909090909092</v>
      </c>
      <c r="AQ433" s="28">
        <v>0.2413793103448276</v>
      </c>
      <c r="AR433" s="28">
        <v>0.32183908045977011</v>
      </c>
      <c r="AS433" s="28">
        <v>6.8965517241379309E-2</v>
      </c>
      <c r="AT433" s="28">
        <v>0.36781609195402298</v>
      </c>
      <c r="AU433" s="25">
        <v>0.93</v>
      </c>
      <c r="AV433" s="25">
        <v>3.44</v>
      </c>
      <c r="AW433" s="25">
        <v>2.5099999999999998</v>
      </c>
      <c r="AX433" s="25">
        <v>2.65</v>
      </c>
      <c r="AY433">
        <v>2.649999999999999</v>
      </c>
      <c r="AZ433">
        <v>6.0276818459090906</v>
      </c>
      <c r="BC433" s="75">
        <v>0.47528867242311779</v>
      </c>
      <c r="BG433">
        <v>4.4303797468354431E-2</v>
      </c>
      <c r="BH433">
        <v>8.8607594936708861E-2</v>
      </c>
      <c r="BI433">
        <v>4.4303797468354431E-2</v>
      </c>
      <c r="BJ433">
        <v>0.47528867242311779</v>
      </c>
    </row>
    <row r="434" spans="1:62" x14ac:dyDescent="0.3">
      <c r="A434" s="2" t="s">
        <v>356</v>
      </c>
      <c r="B434" s="13" t="s">
        <v>836</v>
      </c>
      <c r="C434" s="13"/>
      <c r="F434" s="2">
        <v>4.38</v>
      </c>
      <c r="G434" s="2" t="s">
        <v>357</v>
      </c>
      <c r="H434" s="9">
        <v>-1</v>
      </c>
      <c r="I434">
        <v>-1</v>
      </c>
      <c r="J434" t="s">
        <v>1182</v>
      </c>
      <c r="L434" s="25">
        <v>0</v>
      </c>
      <c r="M434">
        <v>0</v>
      </c>
      <c r="N434">
        <v>4</v>
      </c>
      <c r="O434" s="2">
        <v>-1</v>
      </c>
      <c r="T434" s="25">
        <v>0</v>
      </c>
      <c r="U434"/>
      <c r="V434"/>
      <c r="W434">
        <v>0</v>
      </c>
      <c r="Z434">
        <v>7.7018000000000004</v>
      </c>
      <c r="AA434">
        <v>21.768799999999999</v>
      </c>
      <c r="AB434">
        <v>3.8613</v>
      </c>
      <c r="AD434">
        <v>14</v>
      </c>
      <c r="AE434" s="55">
        <f t="shared" si="27"/>
        <v>0</v>
      </c>
      <c r="AF434" s="57">
        <v>0</v>
      </c>
      <c r="AG434" s="55">
        <v>0</v>
      </c>
      <c r="AH434" s="55">
        <v>647.38</v>
      </c>
      <c r="AL434" s="67">
        <f t="shared" si="30"/>
        <v>8.6502517841144308E-2</v>
      </c>
      <c r="AM434" s="28">
        <v>1.9090909090909089</v>
      </c>
      <c r="AN434" s="28">
        <v>2.545454545454545</v>
      </c>
      <c r="AO434" s="28">
        <v>0.54545454545454541</v>
      </c>
      <c r="AP434" s="28">
        <v>2.9090909090909092</v>
      </c>
      <c r="AQ434" s="28">
        <v>0.2413793103448276</v>
      </c>
      <c r="AR434" s="28">
        <v>0.32183908045977011</v>
      </c>
      <c r="AS434" s="28">
        <v>6.8965517241379309E-2</v>
      </c>
      <c r="AT434" s="28">
        <v>0.36781609195402298</v>
      </c>
      <c r="AU434" s="25">
        <v>0.82</v>
      </c>
      <c r="AV434" s="25">
        <v>3.44</v>
      </c>
      <c r="AW434" s="25">
        <v>2.62</v>
      </c>
      <c r="AX434" s="25">
        <v>2.64</v>
      </c>
      <c r="AY434">
        <v>2.64</v>
      </c>
      <c r="AZ434">
        <v>5.9892781936363626</v>
      </c>
      <c r="BC434" s="75">
        <v>0.51451751424865833</v>
      </c>
      <c r="BG434">
        <v>4.3251258920572147E-2</v>
      </c>
      <c r="BH434">
        <v>8.6502517841144308E-2</v>
      </c>
      <c r="BI434">
        <v>4.3251258920572147E-2</v>
      </c>
      <c r="BJ434">
        <v>0.51451751424865833</v>
      </c>
    </row>
    <row r="435" spans="1:62" x14ac:dyDescent="0.3">
      <c r="A435" s="2" t="s">
        <v>12</v>
      </c>
      <c r="B435" s="13" t="s">
        <v>697</v>
      </c>
      <c r="C435" s="13"/>
      <c r="F435" s="2">
        <v>4.54</v>
      </c>
      <c r="G435" s="2" t="s">
        <v>357</v>
      </c>
      <c r="H435" s="9">
        <v>-1</v>
      </c>
      <c r="I435">
        <v>-1</v>
      </c>
      <c r="J435" t="s">
        <v>1145</v>
      </c>
      <c r="L435" s="25">
        <v>0</v>
      </c>
      <c r="M435">
        <v>0</v>
      </c>
      <c r="N435">
        <v>1</v>
      </c>
      <c r="O435" s="2">
        <v>-1</v>
      </c>
      <c r="T435" s="25">
        <v>0</v>
      </c>
      <c r="U435"/>
      <c r="V435"/>
      <c r="W435">
        <v>0</v>
      </c>
      <c r="Z435">
        <v>3.8445</v>
      </c>
      <c r="AA435">
        <v>3.8445</v>
      </c>
      <c r="AB435">
        <v>11.03</v>
      </c>
      <c r="AD435">
        <v>14</v>
      </c>
      <c r="AE435" s="55">
        <f t="shared" si="27"/>
        <v>0</v>
      </c>
      <c r="AF435" s="57">
        <v>0</v>
      </c>
      <c r="AG435" s="55">
        <v>0</v>
      </c>
      <c r="AH435" s="55">
        <v>163.0253881575</v>
      </c>
      <c r="AL435" s="67">
        <f t="shared" si="30"/>
        <v>8.5876194856683907E-2</v>
      </c>
      <c r="AM435" s="28">
        <v>1.9090909090909089</v>
      </c>
      <c r="AN435" s="28">
        <v>2.545454545454545</v>
      </c>
      <c r="AO435" s="28">
        <v>0.54545454545454541</v>
      </c>
      <c r="AP435" s="28">
        <v>2.9090909090909092</v>
      </c>
      <c r="AQ435" s="28">
        <v>0.2413793103448276</v>
      </c>
      <c r="AR435" s="28">
        <v>0.32183908045977011</v>
      </c>
      <c r="AS435" s="28">
        <v>6.8965517241379309E-2</v>
      </c>
      <c r="AT435" s="28">
        <v>0.36781609195402298</v>
      </c>
      <c r="AU435" s="25">
        <v>0.82</v>
      </c>
      <c r="AV435" s="25">
        <v>3.44</v>
      </c>
      <c r="AW435" s="25">
        <v>2.62</v>
      </c>
      <c r="AX435" s="25">
        <v>2.64</v>
      </c>
      <c r="AY435">
        <v>2.64</v>
      </c>
      <c r="AZ435">
        <v>5.9811382595454541</v>
      </c>
      <c r="BC435" s="75">
        <v>0.53809297903977493</v>
      </c>
      <c r="BG435">
        <v>4.2938097428341947E-2</v>
      </c>
      <c r="BH435">
        <v>8.5876194856683907E-2</v>
      </c>
      <c r="BI435">
        <v>4.2938097428341947E-2</v>
      </c>
      <c r="BJ435">
        <v>0.53809297903977493</v>
      </c>
    </row>
    <row r="436" spans="1:62" x14ac:dyDescent="0.3">
      <c r="A436" s="2" t="s">
        <v>144</v>
      </c>
      <c r="B436" s="13" t="s">
        <v>768</v>
      </c>
      <c r="C436" s="13"/>
      <c r="F436" s="2">
        <v>4.4000000000000004</v>
      </c>
      <c r="G436" s="2" t="s">
        <v>357</v>
      </c>
      <c r="H436" s="9">
        <v>-1</v>
      </c>
      <c r="I436">
        <v>-1</v>
      </c>
      <c r="J436" t="s">
        <v>1183</v>
      </c>
      <c r="L436" s="25">
        <v>0</v>
      </c>
      <c r="M436">
        <v>0</v>
      </c>
      <c r="N436">
        <v>1</v>
      </c>
      <c r="O436" s="2">
        <v>-1</v>
      </c>
      <c r="T436" s="25">
        <v>0</v>
      </c>
      <c r="U436"/>
      <c r="V436"/>
      <c r="W436">
        <v>0</v>
      </c>
      <c r="Z436">
        <v>3.8898000000000001</v>
      </c>
      <c r="AA436">
        <v>3.8898000000000001</v>
      </c>
      <c r="AB436">
        <v>11.3665</v>
      </c>
      <c r="AD436">
        <v>14</v>
      </c>
      <c r="AE436" s="55">
        <f t="shared" si="27"/>
        <v>0</v>
      </c>
      <c r="AF436" s="57">
        <v>0</v>
      </c>
      <c r="AG436" s="55">
        <v>0</v>
      </c>
      <c r="AH436" s="55">
        <v>172</v>
      </c>
      <c r="AL436" s="67">
        <f t="shared" si="30"/>
        <v>8.1395348837209308E-2</v>
      </c>
      <c r="AM436" s="28">
        <v>1.9090909090909089</v>
      </c>
      <c r="AN436" s="28">
        <v>2.545454545454545</v>
      </c>
      <c r="AO436" s="28">
        <v>0.54545454545454541</v>
      </c>
      <c r="AP436" s="28">
        <v>2.9090909090909092</v>
      </c>
      <c r="AQ436" s="28">
        <v>0.2413793103448276</v>
      </c>
      <c r="AR436" s="28">
        <v>0.32183908045977011</v>
      </c>
      <c r="AS436" s="28">
        <v>6.8965517241379309E-2</v>
      </c>
      <c r="AT436" s="28">
        <v>0.36781609195402298</v>
      </c>
      <c r="AU436" s="25">
        <v>0.79</v>
      </c>
      <c r="AV436" s="25">
        <v>3.44</v>
      </c>
      <c r="AW436" s="25">
        <v>2.65</v>
      </c>
      <c r="AX436" s="25">
        <v>2.6372727272727272</v>
      </c>
      <c r="AY436">
        <v>2.6372727272727272</v>
      </c>
      <c r="AZ436">
        <v>5.967615153519545</v>
      </c>
      <c r="BC436" s="75">
        <v>0.54308506712305693</v>
      </c>
      <c r="BG436">
        <v>4.0697674418604647E-2</v>
      </c>
      <c r="BH436">
        <v>8.1395348837209308E-2</v>
      </c>
      <c r="BI436">
        <v>4.0697674418604647E-2</v>
      </c>
      <c r="BJ436">
        <v>0.54308506712305693</v>
      </c>
    </row>
    <row r="437" spans="1:62" x14ac:dyDescent="0.3">
      <c r="A437" s="2" t="s">
        <v>63</v>
      </c>
      <c r="B437" s="13" t="s">
        <v>773</v>
      </c>
      <c r="C437" s="13"/>
      <c r="F437" s="2">
        <v>3.5</v>
      </c>
      <c r="G437" s="2" t="s">
        <v>361</v>
      </c>
      <c r="H437" s="9">
        <v>-1</v>
      </c>
      <c r="I437">
        <v>-1</v>
      </c>
      <c r="J437"/>
      <c r="K437" s="2">
        <v>1</v>
      </c>
      <c r="L437" s="25">
        <v>0</v>
      </c>
      <c r="M437">
        <v>0</v>
      </c>
      <c r="N437">
        <v>0</v>
      </c>
      <c r="O437" s="2">
        <v>3.82</v>
      </c>
      <c r="P437" s="2">
        <v>3.82</v>
      </c>
      <c r="Q437" s="2">
        <v>16</v>
      </c>
      <c r="R437" s="2" t="s">
        <v>519</v>
      </c>
      <c r="S437" s="2">
        <v>16</v>
      </c>
      <c r="T437" s="25">
        <v>0</v>
      </c>
      <c r="U437"/>
      <c r="V437"/>
      <c r="W437">
        <v>0</v>
      </c>
      <c r="Z437">
        <v>0</v>
      </c>
      <c r="AD437">
        <v>20</v>
      </c>
      <c r="AE437" s="55">
        <f t="shared" si="27"/>
        <v>233.47839999999999</v>
      </c>
      <c r="AF437" s="57">
        <v>0</v>
      </c>
      <c r="AG437" s="55">
        <v>0</v>
      </c>
      <c r="AH437" s="55">
        <v>0</v>
      </c>
      <c r="AI437" s="52">
        <f t="shared" ref="AI437" si="31">K437*AD437/AE437</f>
        <v>8.5661029028809524E-2</v>
      </c>
      <c r="AM437" s="28">
        <v>1.75</v>
      </c>
      <c r="AN437" s="28">
        <v>2.5</v>
      </c>
      <c r="AO437" s="28">
        <v>0.75</v>
      </c>
      <c r="AP437" s="28">
        <v>0</v>
      </c>
      <c r="AQ437" s="28">
        <v>0.35</v>
      </c>
      <c r="AR437" s="28">
        <v>0.5</v>
      </c>
      <c r="AS437" s="28">
        <v>0.15</v>
      </c>
      <c r="AT437" s="28">
        <v>0</v>
      </c>
      <c r="AU437" s="25">
        <v>1</v>
      </c>
      <c r="AV437" s="25">
        <v>3.44</v>
      </c>
      <c r="AW437" s="25">
        <v>2.44</v>
      </c>
      <c r="AX437" s="25">
        <v>2.7124999999999999</v>
      </c>
      <c r="AY437">
        <v>2.7124999999999999</v>
      </c>
      <c r="AZ437">
        <v>6.264025610615688</v>
      </c>
      <c r="BD437">
        <v>4.2830514514404762E-2</v>
      </c>
      <c r="BH437">
        <v>8.5661029028809524E-2</v>
      </c>
      <c r="BI437">
        <v>4.2830514514404762E-2</v>
      </c>
      <c r="BJ437">
        <v>0</v>
      </c>
    </row>
    <row r="438" spans="1:62" x14ac:dyDescent="0.3">
      <c r="A438" s="2" t="s">
        <v>366</v>
      </c>
      <c r="B438" s="18" t="s">
        <v>1024</v>
      </c>
      <c r="C438" s="13"/>
      <c r="F438" s="2">
        <v>3.62</v>
      </c>
      <c r="G438" s="2" t="s">
        <v>361</v>
      </c>
      <c r="H438" s="9">
        <v>-1</v>
      </c>
      <c r="I438">
        <v>-1</v>
      </c>
      <c r="J438"/>
      <c r="K438" s="2">
        <v>1</v>
      </c>
      <c r="L438" s="25">
        <v>0</v>
      </c>
      <c r="M438">
        <v>0</v>
      </c>
      <c r="N438">
        <v>0</v>
      </c>
      <c r="O438" s="2">
        <v>3.86</v>
      </c>
      <c r="P438" s="2">
        <v>3.86</v>
      </c>
      <c r="Q438" s="2">
        <v>25.4</v>
      </c>
      <c r="R438" s="2" t="s">
        <v>519</v>
      </c>
      <c r="S438" s="2">
        <v>25.4</v>
      </c>
      <c r="T438" s="25">
        <v>0</v>
      </c>
      <c r="U438"/>
      <c r="V438"/>
      <c r="W438">
        <v>0</v>
      </c>
      <c r="Z438">
        <v>0</v>
      </c>
      <c r="AD438">
        <v>20</v>
      </c>
      <c r="AE438" s="55">
        <f t="shared" si="27"/>
        <v>378.44983999999999</v>
      </c>
      <c r="AF438" s="57">
        <v>0</v>
      </c>
      <c r="AG438" s="55">
        <v>0</v>
      </c>
      <c r="AH438" s="55">
        <v>0</v>
      </c>
      <c r="AM438" s="28">
        <v>1.53125</v>
      </c>
      <c r="AN438" s="28">
        <v>1.59375</v>
      </c>
      <c r="AO438" s="28">
        <v>0.375</v>
      </c>
      <c r="AP438" s="28">
        <v>0</v>
      </c>
      <c r="AQ438" s="28">
        <v>0.4375</v>
      </c>
      <c r="AR438" s="28">
        <v>0.45535714285714279</v>
      </c>
      <c r="AS438" s="28">
        <v>0.1071428571428571</v>
      </c>
      <c r="AT438" s="28">
        <v>0</v>
      </c>
      <c r="AU438" s="25">
        <v>1</v>
      </c>
      <c r="AV438" s="25">
        <v>3.44</v>
      </c>
      <c r="AW438" s="25">
        <v>2.44</v>
      </c>
      <c r="AX438" s="25">
        <v>2.5262500000000001</v>
      </c>
      <c r="AY438">
        <v>2.5262500000000001</v>
      </c>
      <c r="AZ438">
        <v>6.6075924153816246</v>
      </c>
      <c r="BD438">
        <v>2.6423580995568661E-2</v>
      </c>
      <c r="BH438">
        <v>0</v>
      </c>
      <c r="BI438">
        <v>2.6423580995568661E-2</v>
      </c>
      <c r="BJ438">
        <v>0</v>
      </c>
    </row>
    <row r="439" spans="1:62" x14ac:dyDescent="0.3">
      <c r="A439" s="2" t="s">
        <v>347</v>
      </c>
      <c r="B439" s="18" t="s">
        <v>1025</v>
      </c>
      <c r="C439" s="13"/>
      <c r="F439" s="2">
        <v>3.5</v>
      </c>
      <c r="G439" s="2" t="s">
        <v>361</v>
      </c>
      <c r="H439" s="9">
        <v>-1</v>
      </c>
      <c r="I439">
        <v>-1</v>
      </c>
      <c r="J439"/>
      <c r="K439" s="2">
        <v>2</v>
      </c>
      <c r="L439" s="25">
        <v>0</v>
      </c>
      <c r="M439">
        <v>0</v>
      </c>
      <c r="N439">
        <v>0</v>
      </c>
      <c r="O439" s="2">
        <v>3.86</v>
      </c>
      <c r="P439" s="2">
        <v>3.86</v>
      </c>
      <c r="Q439" s="2">
        <v>35.799999999999997</v>
      </c>
      <c r="R439" s="2" t="s">
        <v>519</v>
      </c>
      <c r="S439" s="2">
        <v>17.899999999999999</v>
      </c>
      <c r="T439" s="25">
        <v>0</v>
      </c>
      <c r="U439"/>
      <c r="V439"/>
      <c r="W439">
        <v>0</v>
      </c>
      <c r="Z439">
        <v>0</v>
      </c>
      <c r="AD439">
        <v>22</v>
      </c>
      <c r="AE439" s="55">
        <f t="shared" si="27"/>
        <v>533.40567999999996</v>
      </c>
      <c r="AF439" s="57">
        <v>0</v>
      </c>
      <c r="AG439" s="55">
        <v>0</v>
      </c>
      <c r="AH439" s="55">
        <v>0</v>
      </c>
      <c r="AM439" s="28">
        <v>1.6</v>
      </c>
      <c r="AN439" s="28">
        <v>1.92</v>
      </c>
      <c r="AO439" s="28">
        <v>0.48</v>
      </c>
      <c r="AP439" s="28">
        <v>0</v>
      </c>
      <c r="AQ439" s="28">
        <v>0.4</v>
      </c>
      <c r="AR439" s="28">
        <v>0.48</v>
      </c>
      <c r="AS439" s="28">
        <v>0.12</v>
      </c>
      <c r="AT439" s="28">
        <v>0</v>
      </c>
      <c r="AU439" s="25">
        <v>1</v>
      </c>
      <c r="AV439" s="25">
        <v>3.44</v>
      </c>
      <c r="AW439" s="25">
        <v>2.44</v>
      </c>
      <c r="AX439" s="25">
        <v>2.6055999999999999</v>
      </c>
      <c r="AY439">
        <v>2.6055999999999999</v>
      </c>
      <c r="AZ439">
        <v>6.5338195732382802</v>
      </c>
      <c r="BD439">
        <v>4.1244405196435109E-2</v>
      </c>
      <c r="BH439">
        <v>0</v>
      </c>
      <c r="BI439">
        <v>4.1244405196435109E-2</v>
      </c>
      <c r="BJ439">
        <v>0</v>
      </c>
    </row>
    <row r="440" spans="1:62" x14ac:dyDescent="0.3">
      <c r="A440" s="2" t="s">
        <v>353</v>
      </c>
      <c r="B440" s="13" t="s">
        <v>837</v>
      </c>
      <c r="C440" s="13"/>
      <c r="F440" s="2">
        <v>3.44</v>
      </c>
      <c r="G440" s="2" t="s">
        <v>361</v>
      </c>
      <c r="H440" s="9">
        <v>-1</v>
      </c>
      <c r="I440">
        <v>-1</v>
      </c>
      <c r="J440" t="s">
        <v>1242</v>
      </c>
      <c r="K440" s="2">
        <v>2</v>
      </c>
      <c r="L440" s="25">
        <v>0</v>
      </c>
      <c r="M440">
        <v>0</v>
      </c>
      <c r="N440">
        <v>0</v>
      </c>
      <c r="O440" s="2">
        <v>3.79</v>
      </c>
      <c r="P440" s="2">
        <v>3.79</v>
      </c>
      <c r="Q440" s="2">
        <v>27.2</v>
      </c>
      <c r="R440" s="2" t="s">
        <v>519</v>
      </c>
      <c r="S440" s="2">
        <v>13.6</v>
      </c>
      <c r="T440" s="25">
        <v>0</v>
      </c>
      <c r="U440"/>
      <c r="V440"/>
      <c r="W440">
        <v>0</v>
      </c>
      <c r="Z440">
        <v>3.8113999999999999</v>
      </c>
      <c r="AA440">
        <v>3.8113999999999999</v>
      </c>
      <c r="AB440">
        <v>27.478000000000002</v>
      </c>
      <c r="AD440">
        <v>20</v>
      </c>
      <c r="AE440" s="55">
        <f t="shared" si="27"/>
        <v>390.70352000000003</v>
      </c>
      <c r="AF440" s="57">
        <v>0</v>
      </c>
      <c r="AG440" s="55">
        <v>0</v>
      </c>
      <c r="AH440" s="55">
        <v>399.2</v>
      </c>
      <c r="AI440" s="52">
        <f t="shared" ref="AI440:AI448" si="32">K440*AD440/AE440</f>
        <v>0.10237942058981193</v>
      </c>
      <c r="AM440" s="28">
        <v>1.9375</v>
      </c>
      <c r="AN440" s="28">
        <v>2.5</v>
      </c>
      <c r="AO440" s="28">
        <v>0.5</v>
      </c>
      <c r="AP440" s="28">
        <v>0</v>
      </c>
      <c r="AQ440" s="28">
        <v>0.39240506329113922</v>
      </c>
      <c r="AR440" s="28">
        <v>0.50632911392405067</v>
      </c>
      <c r="AS440" s="28">
        <v>0.1012658227848101</v>
      </c>
      <c r="AT440" s="28">
        <v>0</v>
      </c>
      <c r="AU440" s="25">
        <v>1.1000000000000001</v>
      </c>
      <c r="AV440" s="25">
        <v>3.44</v>
      </c>
      <c r="AW440" s="25">
        <v>2.34</v>
      </c>
      <c r="AX440" s="25">
        <v>2.7137500000000001</v>
      </c>
      <c r="AY440">
        <v>2.7137500000000001</v>
      </c>
      <c r="AZ440">
        <v>6.1913913437406878</v>
      </c>
      <c r="BC440" s="75">
        <v>0</v>
      </c>
      <c r="BD440">
        <v>5.1189710294905967E-2</v>
      </c>
      <c r="BG440">
        <v>0</v>
      </c>
      <c r="BH440">
        <v>0.10237942058981191</v>
      </c>
      <c r="BI440">
        <v>2.559485514745298E-2</v>
      </c>
      <c r="BJ440">
        <v>0</v>
      </c>
    </row>
    <row r="441" spans="1:62" x14ac:dyDescent="0.3">
      <c r="A441" s="2" t="s">
        <v>370</v>
      </c>
      <c r="B441" s="18" t="s">
        <v>1026</v>
      </c>
      <c r="C441" s="13"/>
      <c r="F441" s="2">
        <v>3.39</v>
      </c>
      <c r="G441" s="2" t="s">
        <v>361</v>
      </c>
      <c r="H441" s="9">
        <v>-1</v>
      </c>
      <c r="I441">
        <v>-1</v>
      </c>
      <c r="J441"/>
      <c r="K441" s="2">
        <v>1</v>
      </c>
      <c r="L441" s="25">
        <v>0</v>
      </c>
      <c r="M441">
        <v>0</v>
      </c>
      <c r="N441">
        <v>0</v>
      </c>
      <c r="O441" s="2">
        <v>3.82</v>
      </c>
      <c r="P441" s="2">
        <v>3.82</v>
      </c>
      <c r="Q441" s="2">
        <v>20.2</v>
      </c>
      <c r="R441" s="2" t="s">
        <v>519</v>
      </c>
      <c r="S441" s="2">
        <v>20.2</v>
      </c>
      <c r="T441" s="25">
        <v>0</v>
      </c>
      <c r="U441"/>
      <c r="V441"/>
      <c r="W441">
        <v>0</v>
      </c>
      <c r="Z441">
        <v>0</v>
      </c>
      <c r="AD441">
        <v>20</v>
      </c>
      <c r="AE441" s="55">
        <f t="shared" si="27"/>
        <v>294.76648</v>
      </c>
      <c r="AF441" s="57">
        <v>0</v>
      </c>
      <c r="AG441" s="55">
        <v>0</v>
      </c>
      <c r="AH441" s="55">
        <v>0</v>
      </c>
      <c r="AI441" s="52">
        <f t="shared" si="32"/>
        <v>6.7850320022819419E-2</v>
      </c>
      <c r="AM441" s="28">
        <v>1.6923076923076921</v>
      </c>
      <c r="AN441" s="28">
        <v>1.8076923076923079</v>
      </c>
      <c r="AO441" s="28">
        <v>0.30769230769230771</v>
      </c>
      <c r="AP441" s="28">
        <v>0</v>
      </c>
      <c r="AQ441" s="28">
        <v>0.44444444444444448</v>
      </c>
      <c r="AR441" s="28">
        <v>0.47474747474747481</v>
      </c>
      <c r="AS441" s="28">
        <v>8.0808080808080815E-2</v>
      </c>
      <c r="AT441" s="28">
        <v>0</v>
      </c>
      <c r="AU441" s="25">
        <v>1.1000000000000001</v>
      </c>
      <c r="AV441" s="25">
        <v>3.44</v>
      </c>
      <c r="AW441" s="25">
        <v>2.34</v>
      </c>
      <c r="AX441" s="25">
        <v>2.5753846153846158</v>
      </c>
      <c r="AY441">
        <v>2.5753846153846149</v>
      </c>
      <c r="AZ441">
        <v>6.5020131619541548</v>
      </c>
      <c r="BD441">
        <v>3.3925160011409709E-2</v>
      </c>
      <c r="BH441">
        <v>6.7850320022819419E-2</v>
      </c>
      <c r="BI441">
        <v>3.3925160011409709E-2</v>
      </c>
      <c r="BJ441">
        <v>0</v>
      </c>
    </row>
    <row r="442" spans="1:62" x14ac:dyDescent="0.3">
      <c r="A442" s="2" t="s">
        <v>376</v>
      </c>
      <c r="B442" s="18" t="s">
        <v>1027</v>
      </c>
      <c r="C442" s="13"/>
      <c r="F442" s="2">
        <v>3.41</v>
      </c>
      <c r="G442" s="2" t="s">
        <v>361</v>
      </c>
      <c r="H442" s="9">
        <v>-1</v>
      </c>
      <c r="I442">
        <v>-1</v>
      </c>
      <c r="J442"/>
      <c r="K442" s="2">
        <v>2</v>
      </c>
      <c r="L442" s="25">
        <v>0</v>
      </c>
      <c r="M442">
        <v>0</v>
      </c>
      <c r="N442">
        <v>0</v>
      </c>
      <c r="O442" s="2">
        <v>3.83</v>
      </c>
      <c r="P442" s="2">
        <v>3.83</v>
      </c>
      <c r="Q442" s="2">
        <v>39.5</v>
      </c>
      <c r="R442" s="2" t="s">
        <v>519</v>
      </c>
      <c r="S442" s="2">
        <v>19.8</v>
      </c>
      <c r="T442" s="25">
        <v>0</v>
      </c>
      <c r="U442"/>
      <c r="V442"/>
      <c r="W442">
        <v>0</v>
      </c>
      <c r="Z442">
        <v>0</v>
      </c>
      <c r="AD442">
        <v>20</v>
      </c>
      <c r="AE442" s="55">
        <f t="shared" si="27"/>
        <v>579.42155000000002</v>
      </c>
      <c r="AF442" s="57">
        <v>0</v>
      </c>
      <c r="AG442" s="55">
        <v>0</v>
      </c>
      <c r="AH442" s="55">
        <v>0</v>
      </c>
      <c r="AI442" s="52">
        <f t="shared" si="32"/>
        <v>6.9034367120104523E-2</v>
      </c>
      <c r="AM442" s="28">
        <v>1.72</v>
      </c>
      <c r="AN442" s="28">
        <v>1.92</v>
      </c>
      <c r="AO442" s="28">
        <v>0.32</v>
      </c>
      <c r="AP442" s="28">
        <v>0</v>
      </c>
      <c r="AQ442" s="28">
        <v>0.43434343434343442</v>
      </c>
      <c r="AR442" s="28">
        <v>0.48484848484848492</v>
      </c>
      <c r="AS442" s="28">
        <v>8.0808080808080815E-2</v>
      </c>
      <c r="AT442" s="28">
        <v>0</v>
      </c>
      <c r="AU442" s="25">
        <v>1.1000000000000001</v>
      </c>
      <c r="AV442" s="25">
        <v>3.44</v>
      </c>
      <c r="AW442" s="25">
        <v>2.34</v>
      </c>
      <c r="AX442" s="25">
        <v>2.6063999999999998</v>
      </c>
      <c r="AY442">
        <v>2.6063999999999998</v>
      </c>
      <c r="AZ442">
        <v>6.4873336424382799</v>
      </c>
      <c r="BD442">
        <v>3.7968901916057493E-2</v>
      </c>
      <c r="BH442">
        <v>6.9034367120104523E-2</v>
      </c>
      <c r="BI442">
        <v>3.7968901916057493E-2</v>
      </c>
      <c r="BJ442">
        <v>0</v>
      </c>
    </row>
    <row r="443" spans="1:62" s="5" customFormat="1" x14ac:dyDescent="0.3">
      <c r="A443" s="2" t="s">
        <v>63</v>
      </c>
      <c r="B443" s="34" t="s">
        <v>773</v>
      </c>
      <c r="C443" s="34"/>
      <c r="D443" s="2"/>
      <c r="E443" s="2"/>
      <c r="F443" s="2">
        <v>3.49</v>
      </c>
      <c r="G443" s="2" t="s">
        <v>362</v>
      </c>
      <c r="H443" s="35">
        <v>-1</v>
      </c>
      <c r="I443" s="2">
        <v>-1</v>
      </c>
      <c r="J443" s="2"/>
      <c r="K443" s="2">
        <v>1</v>
      </c>
      <c r="L443" s="29">
        <v>0</v>
      </c>
      <c r="M443">
        <v>0</v>
      </c>
      <c r="N443">
        <v>0</v>
      </c>
      <c r="O443" s="2">
        <v>3.8531</v>
      </c>
      <c r="P443" s="2">
        <v>3.8531</v>
      </c>
      <c r="Q443" s="2">
        <v>16.2151</v>
      </c>
      <c r="R443" s="2" t="s">
        <v>519</v>
      </c>
      <c r="T443" s="41">
        <v>0</v>
      </c>
      <c r="W443">
        <v>0</v>
      </c>
      <c r="X443"/>
      <c r="Y443"/>
      <c r="Z443">
        <v>0</v>
      </c>
      <c r="AA443"/>
      <c r="AB443"/>
      <c r="AD443" s="5">
        <v>20</v>
      </c>
      <c r="AE443" s="55">
        <f t="shared" si="27"/>
        <v>240.73553001411099</v>
      </c>
      <c r="AF443" s="57">
        <v>0</v>
      </c>
      <c r="AG443" s="55">
        <v>0</v>
      </c>
      <c r="AH443" s="55">
        <v>0</v>
      </c>
      <c r="AI443" s="52">
        <f t="shared" si="32"/>
        <v>8.3078721279022161E-2</v>
      </c>
      <c r="AJ443" s="52"/>
      <c r="AK443" s="52"/>
      <c r="AL443" s="52"/>
      <c r="AM443" s="5">
        <v>1.75</v>
      </c>
      <c r="AN443" s="5">
        <v>2.5</v>
      </c>
      <c r="AO443" s="5">
        <v>0.75</v>
      </c>
      <c r="AP443" s="5">
        <v>0</v>
      </c>
      <c r="AQ443" s="5">
        <v>0.35</v>
      </c>
      <c r="AR443" s="5">
        <v>0.5</v>
      </c>
      <c r="AS443" s="5">
        <v>0.15</v>
      </c>
      <c r="AT443" s="5">
        <v>0</v>
      </c>
      <c r="AU443" s="41">
        <v>1</v>
      </c>
      <c r="AV443" s="41">
        <v>3.44</v>
      </c>
      <c r="AW443" s="41">
        <v>2.44</v>
      </c>
      <c r="AX443" s="41">
        <v>2.7124999999999999</v>
      </c>
      <c r="AY443" s="5">
        <v>2.7124999999999999</v>
      </c>
      <c r="AZ443" s="5">
        <v>6.264025610615688</v>
      </c>
      <c r="BA443" s="75"/>
      <c r="BB443" s="75"/>
      <c r="BC443" s="75"/>
      <c r="BD443">
        <v>4.153936063951108E-2</v>
      </c>
      <c r="BE443"/>
      <c r="BF443"/>
      <c r="BG443"/>
      <c r="BH443">
        <v>8.3078721279022161E-2</v>
      </c>
      <c r="BI443">
        <v>4.153936063951108E-2</v>
      </c>
      <c r="BJ443">
        <v>0</v>
      </c>
    </row>
    <row r="444" spans="1:62" s="5" customFormat="1" x14ac:dyDescent="0.3">
      <c r="A444" s="2" t="s">
        <v>363</v>
      </c>
      <c r="B444" s="48" t="s">
        <v>1028</v>
      </c>
      <c r="C444" s="34"/>
      <c r="D444" s="2"/>
      <c r="E444" s="2"/>
      <c r="F444" s="2">
        <v>3.56</v>
      </c>
      <c r="G444" s="2" t="s">
        <v>362</v>
      </c>
      <c r="H444" s="35">
        <v>-1</v>
      </c>
      <c r="I444" s="2">
        <v>-1</v>
      </c>
      <c r="J444" s="2"/>
      <c r="K444" s="2">
        <v>1</v>
      </c>
      <c r="L444" s="29">
        <v>0</v>
      </c>
      <c r="M444">
        <v>0</v>
      </c>
      <c r="N444">
        <v>0</v>
      </c>
      <c r="O444" s="2">
        <v>3.86</v>
      </c>
      <c r="P444" s="2">
        <v>3.86</v>
      </c>
      <c r="Q444" s="2">
        <v>16.079999999999998</v>
      </c>
      <c r="R444" s="2" t="s">
        <v>519</v>
      </c>
      <c r="T444" s="41">
        <v>0</v>
      </c>
      <c r="W444">
        <v>0</v>
      </c>
      <c r="X444"/>
      <c r="Y444"/>
      <c r="Z444">
        <v>0</v>
      </c>
      <c r="AA444"/>
      <c r="AB444"/>
      <c r="AD444" s="5">
        <v>20</v>
      </c>
      <c r="AE444" s="55">
        <f t="shared" si="27"/>
        <v>239.58556799999997</v>
      </c>
      <c r="AF444" s="57">
        <v>0</v>
      </c>
      <c r="AG444" s="55">
        <v>0</v>
      </c>
      <c r="AH444" s="55">
        <v>0</v>
      </c>
      <c r="AI444" s="52">
        <f t="shared" si="32"/>
        <v>8.34774822496821E-2</v>
      </c>
      <c r="AJ444" s="52"/>
      <c r="AK444" s="52"/>
      <c r="AL444" s="52"/>
      <c r="AM444" s="5">
        <v>1.5909090909090911</v>
      </c>
      <c r="AN444" s="5">
        <v>1.9090909090909089</v>
      </c>
      <c r="AO444" s="5">
        <v>0.54545454545454541</v>
      </c>
      <c r="AP444" s="5">
        <v>0</v>
      </c>
      <c r="AQ444" s="5">
        <v>0.3932584269662921</v>
      </c>
      <c r="AR444" s="5">
        <v>0.47191011235955049</v>
      </c>
      <c r="AS444" s="5">
        <v>0.1348314606741573</v>
      </c>
      <c r="AT444" s="5">
        <v>0</v>
      </c>
      <c r="AU444" s="41">
        <v>1</v>
      </c>
      <c r="AV444" s="41">
        <v>3.44</v>
      </c>
      <c r="AW444" s="41">
        <v>2.44</v>
      </c>
      <c r="AX444" s="41">
        <v>2.5886363636363638</v>
      </c>
      <c r="AY444" s="5">
        <v>2.588636363636363</v>
      </c>
      <c r="AZ444" s="5">
        <v>6.4712814579593632</v>
      </c>
      <c r="BA444" s="75"/>
      <c r="BB444" s="75"/>
      <c r="BC444" s="75"/>
      <c r="BD444">
        <v>4.173874112484105E-2</v>
      </c>
      <c r="BE444"/>
      <c r="BF444"/>
      <c r="BG444"/>
      <c r="BH444">
        <v>8.34774822496821E-2</v>
      </c>
      <c r="BI444">
        <v>4.173874112484105E-2</v>
      </c>
      <c r="BJ444">
        <v>0</v>
      </c>
    </row>
    <row r="445" spans="1:62" s="5" customFormat="1" x14ac:dyDescent="0.3">
      <c r="A445" s="2" t="s">
        <v>364</v>
      </c>
      <c r="B445" s="48" t="s">
        <v>1029</v>
      </c>
      <c r="C445" s="34"/>
      <c r="D445" s="2"/>
      <c r="E445" s="2"/>
      <c r="F445" s="2">
        <v>3.6</v>
      </c>
      <c r="G445" s="2" t="s">
        <v>362</v>
      </c>
      <c r="H445" s="35">
        <v>-1</v>
      </c>
      <c r="I445" s="2">
        <v>-1</v>
      </c>
      <c r="J445" s="2"/>
      <c r="K445" s="2">
        <v>1</v>
      </c>
      <c r="L445" s="29">
        <v>0</v>
      </c>
      <c r="M445">
        <v>0</v>
      </c>
      <c r="N445">
        <v>0</v>
      </c>
      <c r="O445" s="2">
        <v>3.87</v>
      </c>
      <c r="P445" s="2">
        <v>3.87</v>
      </c>
      <c r="Q445" s="2">
        <v>20.49</v>
      </c>
      <c r="R445" s="2" t="s">
        <v>519</v>
      </c>
      <c r="T445" s="41">
        <v>0</v>
      </c>
      <c r="W445">
        <v>0</v>
      </c>
      <c r="X445"/>
      <c r="Y445"/>
      <c r="Z445">
        <v>0</v>
      </c>
      <c r="AA445"/>
      <c r="AB445"/>
      <c r="AD445" s="5">
        <v>20</v>
      </c>
      <c r="AE445" s="55">
        <f t="shared" si="27"/>
        <v>306.87668099999996</v>
      </c>
      <c r="AF445" s="57">
        <v>0</v>
      </c>
      <c r="AG445" s="55">
        <v>0</v>
      </c>
      <c r="AH445" s="55">
        <v>0</v>
      </c>
      <c r="AI445" s="52">
        <f t="shared" si="32"/>
        <v>6.517275908624677E-2</v>
      </c>
      <c r="AJ445" s="52"/>
      <c r="AK445" s="52"/>
      <c r="AL445" s="52"/>
      <c r="AM445" s="5">
        <v>1.56</v>
      </c>
      <c r="AN445" s="5">
        <v>1.76</v>
      </c>
      <c r="AO445" s="5">
        <v>0.48</v>
      </c>
      <c r="AP445" s="5">
        <v>0</v>
      </c>
      <c r="AQ445" s="5">
        <v>0.41052631578947368</v>
      </c>
      <c r="AR445" s="5">
        <v>0.4631578947368421</v>
      </c>
      <c r="AS445" s="5">
        <v>0.12631578947368419</v>
      </c>
      <c r="AT445" s="5">
        <v>0</v>
      </c>
      <c r="AU445" s="41">
        <v>1</v>
      </c>
      <c r="AV445" s="41">
        <v>3.44</v>
      </c>
      <c r="AW445" s="41">
        <v>2.44</v>
      </c>
      <c r="AX445" s="41">
        <v>2.556</v>
      </c>
      <c r="AY445" s="5">
        <v>2.556</v>
      </c>
      <c r="AZ445" s="5">
        <v>6.5192970192323214</v>
      </c>
      <c r="BA445" s="75"/>
      <c r="BB445" s="75"/>
      <c r="BC445" s="75"/>
      <c r="BD445">
        <v>3.2586379543123392E-2</v>
      </c>
      <c r="BE445"/>
      <c r="BF445"/>
      <c r="BG445"/>
      <c r="BH445">
        <v>6.517275908624677E-2</v>
      </c>
      <c r="BI445">
        <v>3.2586379543123392E-2</v>
      </c>
      <c r="BJ445">
        <v>0</v>
      </c>
    </row>
    <row r="446" spans="1:62" s="5" customFormat="1" x14ac:dyDescent="0.3">
      <c r="A446" s="2" t="s">
        <v>365</v>
      </c>
      <c r="B446" s="48" t="s">
        <v>1030</v>
      </c>
      <c r="C446" s="34"/>
      <c r="D446" s="2"/>
      <c r="E446" s="2"/>
      <c r="F446" s="2">
        <v>3.55</v>
      </c>
      <c r="G446" s="2" t="s">
        <v>362</v>
      </c>
      <c r="H446" s="35">
        <v>-1</v>
      </c>
      <c r="I446" s="2">
        <v>-1</v>
      </c>
      <c r="J446" s="2"/>
      <c r="K446" s="2">
        <v>1</v>
      </c>
      <c r="L446" s="29">
        <v>0</v>
      </c>
      <c r="M446">
        <v>0</v>
      </c>
      <c r="N446">
        <v>0</v>
      </c>
      <c r="O446" s="2">
        <v>3.87</v>
      </c>
      <c r="P446" s="2">
        <v>3.87</v>
      </c>
      <c r="Q446" s="2">
        <v>22.22</v>
      </c>
      <c r="R446" s="2" t="s">
        <v>519</v>
      </c>
      <c r="T446" s="41">
        <v>0</v>
      </c>
      <c r="W446">
        <v>0</v>
      </c>
      <c r="X446"/>
      <c r="Y446"/>
      <c r="Z446">
        <v>0</v>
      </c>
      <c r="AA446"/>
      <c r="AB446"/>
      <c r="AD446" s="5">
        <v>20</v>
      </c>
      <c r="AE446" s="55">
        <f t="shared" si="27"/>
        <v>332.78671800000001</v>
      </c>
      <c r="AF446" s="57">
        <v>0</v>
      </c>
      <c r="AG446" s="55">
        <v>0</v>
      </c>
      <c r="AH446" s="55">
        <v>0</v>
      </c>
      <c r="AI446" s="52">
        <f t="shared" si="32"/>
        <v>6.0098552370710899E-2</v>
      </c>
      <c r="AJ446" s="52"/>
      <c r="AK446" s="52"/>
      <c r="AL446" s="52"/>
      <c r="AM446" s="5">
        <v>1.535714285714286</v>
      </c>
      <c r="AN446" s="5">
        <v>1.642857142857143</v>
      </c>
      <c r="AO446" s="5">
        <v>0.42857142857142849</v>
      </c>
      <c r="AP446" s="5">
        <v>0</v>
      </c>
      <c r="AQ446" s="5">
        <v>0.42574257425742579</v>
      </c>
      <c r="AR446" s="5">
        <v>0.45544554455445541</v>
      </c>
      <c r="AS446" s="5">
        <v>0.11881188118811881</v>
      </c>
      <c r="AT446" s="5">
        <v>0</v>
      </c>
      <c r="AU446" s="41">
        <v>1</v>
      </c>
      <c r="AV446" s="41">
        <v>3.44</v>
      </c>
      <c r="AW446" s="41">
        <v>2.44</v>
      </c>
      <c r="AX446" s="41">
        <v>2.530357142857143</v>
      </c>
      <c r="AY446" s="5">
        <v>2.530357142857143</v>
      </c>
      <c r="AZ446" s="5">
        <v>6.5570235316610717</v>
      </c>
      <c r="BA446" s="75"/>
      <c r="BB446" s="75"/>
      <c r="BC446" s="75"/>
      <c r="BD446">
        <v>3.004927618535545E-2</v>
      </c>
      <c r="BE446"/>
      <c r="BF446"/>
      <c r="BG446"/>
      <c r="BH446">
        <v>6.0098552370710899E-2</v>
      </c>
      <c r="BI446">
        <v>3.004927618535545E-2</v>
      </c>
      <c r="BJ446">
        <v>0</v>
      </c>
    </row>
    <row r="447" spans="1:62" s="5" customFormat="1" x14ac:dyDescent="0.3">
      <c r="A447" s="2" t="s">
        <v>366</v>
      </c>
      <c r="B447" s="48" t="s">
        <v>1031</v>
      </c>
      <c r="C447" s="34"/>
      <c r="D447" s="2"/>
      <c r="E447" s="2"/>
      <c r="F447" s="2">
        <v>3.62</v>
      </c>
      <c r="G447" s="2" t="s">
        <v>362</v>
      </c>
      <c r="H447" s="35">
        <v>-1</v>
      </c>
      <c r="I447" s="2">
        <v>-1</v>
      </c>
      <c r="J447" s="2"/>
      <c r="K447" s="2">
        <v>1</v>
      </c>
      <c r="L447" s="29">
        <v>0</v>
      </c>
      <c r="M447">
        <v>0</v>
      </c>
      <c r="N447">
        <v>0</v>
      </c>
      <c r="O447" s="2">
        <v>3.86</v>
      </c>
      <c r="P447" s="2">
        <v>3.86</v>
      </c>
      <c r="Q447" s="2">
        <v>25.35</v>
      </c>
      <c r="R447" s="2" t="s">
        <v>519</v>
      </c>
      <c r="T447" s="41">
        <v>0</v>
      </c>
      <c r="W447">
        <v>0</v>
      </c>
      <c r="X447"/>
      <c r="Y447"/>
      <c r="Z447">
        <v>0</v>
      </c>
      <c r="AA447"/>
      <c r="AB447"/>
      <c r="AD447" s="5">
        <v>20</v>
      </c>
      <c r="AE447" s="55">
        <f t="shared" si="27"/>
        <v>377.70486</v>
      </c>
      <c r="AF447" s="57">
        <v>0</v>
      </c>
      <c r="AG447" s="55">
        <v>0</v>
      </c>
      <c r="AH447" s="55">
        <v>0</v>
      </c>
      <c r="AI447" s="52">
        <f t="shared" si="32"/>
        <v>5.2951397024650411E-2</v>
      </c>
      <c r="AJ447" s="52"/>
      <c r="AK447" s="52"/>
      <c r="AL447" s="52"/>
      <c r="AM447" s="5">
        <v>1.5161290322580649</v>
      </c>
      <c r="AN447" s="5">
        <v>1.5483870967741939</v>
      </c>
      <c r="AO447" s="5">
        <v>0.38709677419354838</v>
      </c>
      <c r="AP447" s="5">
        <v>0</v>
      </c>
      <c r="AQ447" s="5">
        <v>0.43925233644859812</v>
      </c>
      <c r="AR447" s="5">
        <v>0.44859813084112149</v>
      </c>
      <c r="AS447" s="5">
        <v>0.1121495327102804</v>
      </c>
      <c r="AT447" s="5">
        <v>0</v>
      </c>
      <c r="AU447" s="41">
        <v>1</v>
      </c>
      <c r="AV447" s="41">
        <v>3.44</v>
      </c>
      <c r="AW447" s="41">
        <v>2.44</v>
      </c>
      <c r="AX447" s="41">
        <v>2.5096774193548388</v>
      </c>
      <c r="AY447" s="5">
        <v>2.5096774193548388</v>
      </c>
      <c r="AZ447" s="5">
        <v>6.587448138458452</v>
      </c>
      <c r="BA447" s="75"/>
      <c r="BB447" s="75"/>
      <c r="BC447" s="75"/>
      <c r="BD447">
        <v>2.6475698512325209E-2</v>
      </c>
      <c r="BE447"/>
      <c r="BF447"/>
      <c r="BG447"/>
      <c r="BH447">
        <v>5.2951397024650411E-2</v>
      </c>
      <c r="BI447">
        <v>2.6475698512325209E-2</v>
      </c>
      <c r="BJ447">
        <v>0</v>
      </c>
    </row>
    <row r="448" spans="1:62" s="5" customFormat="1" x14ac:dyDescent="0.3">
      <c r="A448" s="2" t="s">
        <v>367</v>
      </c>
      <c r="B448" s="48" t="s">
        <v>1032</v>
      </c>
      <c r="C448" s="34"/>
      <c r="D448" s="2"/>
      <c r="E448" s="2"/>
      <c r="F448" s="2">
        <v>3.55</v>
      </c>
      <c r="G448" s="2" t="s">
        <v>362</v>
      </c>
      <c r="H448" s="35">
        <v>-1</v>
      </c>
      <c r="I448" s="2">
        <v>-1</v>
      </c>
      <c r="J448" s="2"/>
      <c r="K448" s="2">
        <v>1</v>
      </c>
      <c r="L448" s="29">
        <v>0</v>
      </c>
      <c r="M448">
        <v>0</v>
      </c>
      <c r="N448">
        <v>0</v>
      </c>
      <c r="O448" s="2">
        <v>3.86</v>
      </c>
      <c r="P448" s="2">
        <v>3.86</v>
      </c>
      <c r="Q448" s="2">
        <v>29.53</v>
      </c>
      <c r="R448" s="2" t="s">
        <v>519</v>
      </c>
      <c r="T448" s="41">
        <v>0</v>
      </c>
      <c r="W448">
        <v>0</v>
      </c>
      <c r="X448"/>
      <c r="Y448"/>
      <c r="Z448">
        <v>0</v>
      </c>
      <c r="AA448"/>
      <c r="AB448"/>
      <c r="AD448" s="5">
        <v>20</v>
      </c>
      <c r="AE448" s="55">
        <f t="shared" si="27"/>
        <v>439.98518799999999</v>
      </c>
      <c r="AF448" s="57">
        <v>0</v>
      </c>
      <c r="AG448" s="55">
        <v>0</v>
      </c>
      <c r="AH448" s="55">
        <v>0</v>
      </c>
      <c r="AI448" s="52">
        <f t="shared" si="32"/>
        <v>4.5456075671347372E-2</v>
      </c>
      <c r="AJ448" s="52"/>
      <c r="AK448" s="52"/>
      <c r="AL448" s="52"/>
      <c r="AM448" s="5">
        <v>1.486486486486486</v>
      </c>
      <c r="AN448" s="5">
        <v>1.405405405405405</v>
      </c>
      <c r="AO448" s="5">
        <v>0.32432432432432429</v>
      </c>
      <c r="AP448" s="5">
        <v>0</v>
      </c>
      <c r="AQ448" s="5">
        <v>0.4621848739495798</v>
      </c>
      <c r="AR448" s="5">
        <v>0.43697478991596639</v>
      </c>
      <c r="AS448" s="5">
        <v>0.1008403361344538</v>
      </c>
      <c r="AT448" s="5">
        <v>0</v>
      </c>
      <c r="AU448" s="41">
        <v>1</v>
      </c>
      <c r="AV448" s="41">
        <v>3.44</v>
      </c>
      <c r="AW448" s="41">
        <v>2.44</v>
      </c>
      <c r="AX448" s="41">
        <v>2.4783783783783782</v>
      </c>
      <c r="AY448" s="5">
        <v>2.478378378378379</v>
      </c>
      <c r="AZ448" s="5">
        <v>6.6334961919896216</v>
      </c>
      <c r="BA448" s="75"/>
      <c r="BB448" s="75"/>
      <c r="BC448" s="75"/>
      <c r="BD448">
        <v>2.272803783567369E-2</v>
      </c>
      <c r="BE448"/>
      <c r="BF448"/>
      <c r="BG448"/>
      <c r="BH448">
        <v>4.5456075671347372E-2</v>
      </c>
      <c r="BI448">
        <v>2.272803783567369E-2</v>
      </c>
      <c r="BJ448">
        <v>0</v>
      </c>
    </row>
    <row r="449" spans="1:62" s="5" customFormat="1" x14ac:dyDescent="0.3">
      <c r="A449" s="2" t="s">
        <v>368</v>
      </c>
      <c r="B449" s="48" t="s">
        <v>1033</v>
      </c>
      <c r="C449" s="34"/>
      <c r="D449" s="2"/>
      <c r="E449" s="2"/>
      <c r="F449" s="2">
        <v>2.6</v>
      </c>
      <c r="G449" s="2" t="s">
        <v>362</v>
      </c>
      <c r="H449" s="35">
        <v>-1</v>
      </c>
      <c r="I449" s="2">
        <v>-1</v>
      </c>
      <c r="J449" s="2"/>
      <c r="K449" s="2">
        <v>1</v>
      </c>
      <c r="L449" s="29">
        <v>0</v>
      </c>
      <c r="M449">
        <v>0</v>
      </c>
      <c r="N449">
        <v>0</v>
      </c>
      <c r="O449" s="2">
        <v>3.86</v>
      </c>
      <c r="P449" s="2">
        <v>3.86</v>
      </c>
      <c r="Q449" s="2">
        <v>33.53</v>
      </c>
      <c r="R449" s="2" t="s">
        <v>519</v>
      </c>
      <c r="T449" s="41">
        <v>0</v>
      </c>
      <c r="W449">
        <v>0</v>
      </c>
      <c r="X449"/>
      <c r="Y449"/>
      <c r="Z449">
        <v>0</v>
      </c>
      <c r="AA449"/>
      <c r="AB449"/>
      <c r="AD449" s="5">
        <v>20</v>
      </c>
      <c r="AE449" s="55">
        <f t="shared" si="27"/>
        <v>499.58358800000002</v>
      </c>
      <c r="AF449" s="57">
        <v>0</v>
      </c>
      <c r="AG449" s="55">
        <v>0</v>
      </c>
      <c r="AH449" s="55">
        <v>0</v>
      </c>
      <c r="AI449" s="52">
        <f t="shared" ref="AI449:AI461" si="33">K449*AD449/AE449</f>
        <v>4.0033340726957585E-2</v>
      </c>
      <c r="AJ449" s="52"/>
      <c r="AK449" s="52"/>
      <c r="AL449" s="52"/>
      <c r="AM449" s="5">
        <v>1.4651162790697669</v>
      </c>
      <c r="AN449" s="5">
        <v>1.3023255813953489</v>
      </c>
      <c r="AO449" s="5">
        <v>0.27906976744186052</v>
      </c>
      <c r="AP449" s="5">
        <v>0</v>
      </c>
      <c r="AQ449" s="5">
        <v>0.48091603053435111</v>
      </c>
      <c r="AR449" s="5">
        <v>0.4274809160305344</v>
      </c>
      <c r="AS449" s="5">
        <v>9.1603053435114504E-2</v>
      </c>
      <c r="AT449" s="5">
        <v>0</v>
      </c>
      <c r="AU449" s="41">
        <v>1</v>
      </c>
      <c r="AV449" s="41">
        <v>3.44</v>
      </c>
      <c r="AW449" s="41">
        <v>2.44</v>
      </c>
      <c r="AX449" s="41">
        <v>2.4558139534883718</v>
      </c>
      <c r="AY449" s="5">
        <v>2.4558139534883718</v>
      </c>
      <c r="AZ449" s="5">
        <v>6.6666936259306979</v>
      </c>
      <c r="BA449" s="75"/>
      <c r="BB449" s="75"/>
      <c r="BC449" s="75"/>
      <c r="BD449">
        <v>2.0016670363478789E-2</v>
      </c>
      <c r="BE449"/>
      <c r="BF449"/>
      <c r="BG449"/>
      <c r="BH449">
        <v>4.0033340726957578E-2</v>
      </c>
      <c r="BI449">
        <v>2.0016670363478789E-2</v>
      </c>
      <c r="BJ449">
        <v>0</v>
      </c>
    </row>
    <row r="450" spans="1:62" x14ac:dyDescent="0.3">
      <c r="A450" s="2" t="s">
        <v>353</v>
      </c>
      <c r="B450" s="13" t="s">
        <v>834</v>
      </c>
      <c r="C450" s="13"/>
      <c r="F450" s="2">
        <v>3.44</v>
      </c>
      <c r="G450" s="2" t="s">
        <v>380</v>
      </c>
      <c r="H450" s="9">
        <v>-1</v>
      </c>
      <c r="I450">
        <v>-1</v>
      </c>
      <c r="J450"/>
      <c r="K450" s="2">
        <v>2</v>
      </c>
      <c r="L450" s="25">
        <v>0</v>
      </c>
      <c r="M450">
        <v>0</v>
      </c>
      <c r="N450">
        <v>0</v>
      </c>
      <c r="O450" s="2">
        <v>3.79</v>
      </c>
      <c r="P450" s="2">
        <v>3.79</v>
      </c>
      <c r="Q450" s="2">
        <v>27.2</v>
      </c>
      <c r="R450" s="2" t="s">
        <v>519</v>
      </c>
      <c r="S450" s="2">
        <v>13.6</v>
      </c>
      <c r="T450" s="25">
        <v>0</v>
      </c>
      <c r="U450"/>
      <c r="V450"/>
      <c r="W450">
        <v>0</v>
      </c>
      <c r="Z450">
        <v>0</v>
      </c>
      <c r="AD450">
        <v>20</v>
      </c>
      <c r="AE450" s="55">
        <f t="shared" ref="AE450:AE513" si="34">O450*P450*Q450</f>
        <v>390.70352000000003</v>
      </c>
      <c r="AF450" s="57">
        <v>0</v>
      </c>
      <c r="AG450" s="55">
        <v>0</v>
      </c>
      <c r="AH450" s="55">
        <v>0</v>
      </c>
      <c r="AI450" s="52">
        <f t="shared" si="33"/>
        <v>0.10237942058981193</v>
      </c>
      <c r="AM450" s="28">
        <v>1.882352941176471</v>
      </c>
      <c r="AN450" s="28">
        <v>2.3529411764705879</v>
      </c>
      <c r="AO450" s="28">
        <v>0.47058823529411759</v>
      </c>
      <c r="AP450" s="28">
        <v>0</v>
      </c>
      <c r="AQ450" s="28">
        <v>0.4</v>
      </c>
      <c r="AR450" s="28">
        <v>0.5</v>
      </c>
      <c r="AS450" s="28">
        <v>9.9999999999999992E-2</v>
      </c>
      <c r="AT450" s="28">
        <v>0</v>
      </c>
      <c r="AU450" s="25">
        <v>1.1000000000000001</v>
      </c>
      <c r="AV450" s="25">
        <v>3.44</v>
      </c>
      <c r="AW450" s="25">
        <v>2.34</v>
      </c>
      <c r="AX450" s="25">
        <v>2.6835294117647059</v>
      </c>
      <c r="AY450">
        <v>2.6835294117647059</v>
      </c>
      <c r="AZ450">
        <v>6.2493398705707062</v>
      </c>
      <c r="BD450">
        <v>5.1189710294905967E-2</v>
      </c>
      <c r="BH450">
        <v>0.10237942058981191</v>
      </c>
      <c r="BI450">
        <v>5.1189710294905967E-2</v>
      </c>
      <c r="BJ450">
        <v>0</v>
      </c>
    </row>
    <row r="451" spans="1:62" x14ac:dyDescent="0.3">
      <c r="A451" s="2" t="s">
        <v>369</v>
      </c>
      <c r="B451" s="18" t="s">
        <v>1034</v>
      </c>
      <c r="C451" s="13"/>
      <c r="F451" s="2">
        <v>3.34</v>
      </c>
      <c r="G451" s="2" t="s">
        <v>380</v>
      </c>
      <c r="H451" s="9">
        <v>-1</v>
      </c>
      <c r="I451">
        <v>-1</v>
      </c>
      <c r="J451"/>
      <c r="K451" s="2">
        <v>2</v>
      </c>
      <c r="L451" s="25">
        <v>0</v>
      </c>
      <c r="M451">
        <v>0</v>
      </c>
      <c r="N451">
        <v>0</v>
      </c>
      <c r="O451" s="2">
        <v>3.83</v>
      </c>
      <c r="P451" s="2">
        <v>3.83</v>
      </c>
      <c r="Q451" s="2">
        <v>36.700000000000003</v>
      </c>
      <c r="R451" s="2" t="s">
        <v>519</v>
      </c>
      <c r="S451" s="2">
        <v>18.399999999999999</v>
      </c>
      <c r="T451" s="25">
        <v>0</v>
      </c>
      <c r="U451"/>
      <c r="V451"/>
      <c r="W451">
        <v>0</v>
      </c>
      <c r="Z451">
        <v>0</v>
      </c>
      <c r="AD451">
        <v>20</v>
      </c>
      <c r="AE451" s="55">
        <f t="shared" si="34"/>
        <v>538.34863000000007</v>
      </c>
      <c r="AF451" s="57">
        <v>0</v>
      </c>
      <c r="AG451" s="55">
        <v>0</v>
      </c>
      <c r="AH451" s="55">
        <v>0</v>
      </c>
      <c r="AI451" s="52">
        <f t="shared" si="33"/>
        <v>7.4301294311829108E-2</v>
      </c>
      <c r="AM451" s="28">
        <v>1.7391304347826091</v>
      </c>
      <c r="AN451" s="28">
        <v>1.956521739130435</v>
      </c>
      <c r="AO451" s="28">
        <v>0.34782608695652167</v>
      </c>
      <c r="AP451" s="28">
        <v>0</v>
      </c>
      <c r="AQ451" s="28">
        <v>0.43010752688172038</v>
      </c>
      <c r="AR451" s="28">
        <v>0.48387096774193539</v>
      </c>
      <c r="AS451" s="28">
        <v>8.6021505376344079E-2</v>
      </c>
      <c r="AT451" s="28">
        <v>0</v>
      </c>
      <c r="AU451" s="25">
        <v>1.1000000000000001</v>
      </c>
      <c r="AV451" s="25">
        <v>3.44</v>
      </c>
      <c r="AW451" s="25">
        <v>2.34</v>
      </c>
      <c r="AX451" s="25">
        <v>2.609130434782609</v>
      </c>
      <c r="AY451">
        <v>2.609130434782609</v>
      </c>
      <c r="AZ451">
        <v>6.4538308176133041</v>
      </c>
      <c r="BD451">
        <v>3.7150647155914547E-2</v>
      </c>
      <c r="BH451">
        <v>7.4301294311829108E-2</v>
      </c>
      <c r="BI451">
        <v>3.7150647155914547E-2</v>
      </c>
      <c r="BJ451">
        <v>0</v>
      </c>
    </row>
    <row r="452" spans="1:62" x14ac:dyDescent="0.3">
      <c r="A452" s="2" t="s">
        <v>370</v>
      </c>
      <c r="B452" s="18" t="s">
        <v>1026</v>
      </c>
      <c r="C452" s="13"/>
      <c r="F452" s="2">
        <v>3.39</v>
      </c>
      <c r="G452" s="2" t="s">
        <v>380</v>
      </c>
      <c r="H452" s="9">
        <v>-1</v>
      </c>
      <c r="I452">
        <v>-1</v>
      </c>
      <c r="J452"/>
      <c r="K452" s="2">
        <v>1</v>
      </c>
      <c r="L452" s="25">
        <v>0</v>
      </c>
      <c r="M452">
        <v>0</v>
      </c>
      <c r="N452">
        <v>0</v>
      </c>
      <c r="O452" s="2">
        <v>3.82</v>
      </c>
      <c r="P452" s="2">
        <v>3.82</v>
      </c>
      <c r="Q452" s="2">
        <v>20.2</v>
      </c>
      <c r="R452" s="2" t="s">
        <v>519</v>
      </c>
      <c r="S452" s="2">
        <v>20.2</v>
      </c>
      <c r="T452" s="25">
        <v>0</v>
      </c>
      <c r="U452"/>
      <c r="V452"/>
      <c r="W452">
        <v>0</v>
      </c>
      <c r="Z452">
        <v>0</v>
      </c>
      <c r="AD452">
        <v>20</v>
      </c>
      <c r="AE452" s="55">
        <f t="shared" si="34"/>
        <v>294.76648</v>
      </c>
      <c r="AF452" s="57">
        <v>0</v>
      </c>
      <c r="AG452" s="55">
        <v>0</v>
      </c>
      <c r="AH452" s="55">
        <v>0</v>
      </c>
      <c r="AI452" s="52">
        <f t="shared" si="33"/>
        <v>6.7850320022819419E-2</v>
      </c>
      <c r="AM452" s="28">
        <v>1.6923076923076921</v>
      </c>
      <c r="AN452" s="28">
        <v>1.8076923076923079</v>
      </c>
      <c r="AO452" s="28">
        <v>0.30769230769230771</v>
      </c>
      <c r="AP452" s="28">
        <v>0</v>
      </c>
      <c r="AQ452" s="28">
        <v>0.44444444444444448</v>
      </c>
      <c r="AR452" s="28">
        <v>0.47474747474747481</v>
      </c>
      <c r="AS452" s="28">
        <v>8.0808080808080815E-2</v>
      </c>
      <c r="AT452" s="28">
        <v>0</v>
      </c>
      <c r="AU452" s="25">
        <v>1.1000000000000001</v>
      </c>
      <c r="AV452" s="25">
        <v>3.44</v>
      </c>
      <c r="AW452" s="25">
        <v>2.34</v>
      </c>
      <c r="AX452" s="25">
        <v>2.5753846153846158</v>
      </c>
      <c r="AY452">
        <v>2.5753846153846149</v>
      </c>
      <c r="AZ452">
        <v>6.5020131619541548</v>
      </c>
      <c r="BD452">
        <v>3.3925160011409709E-2</v>
      </c>
      <c r="BH452">
        <v>6.7850320022819419E-2</v>
      </c>
      <c r="BI452">
        <v>3.3925160011409709E-2</v>
      </c>
      <c r="BJ452">
        <v>0</v>
      </c>
    </row>
    <row r="453" spans="1:62" x14ac:dyDescent="0.3">
      <c r="A453" s="2" t="s">
        <v>371</v>
      </c>
      <c r="B453" s="18" t="s">
        <v>1035</v>
      </c>
      <c r="C453" s="13"/>
      <c r="F453" s="2">
        <v>3.4</v>
      </c>
      <c r="G453" s="2" t="s">
        <v>380</v>
      </c>
      <c r="H453" s="9">
        <v>-1</v>
      </c>
      <c r="I453">
        <v>-1</v>
      </c>
      <c r="J453"/>
      <c r="K453" s="2">
        <v>1</v>
      </c>
      <c r="L453" s="25">
        <v>0</v>
      </c>
      <c r="M453">
        <v>0</v>
      </c>
      <c r="N453">
        <v>0</v>
      </c>
      <c r="O453" s="2">
        <v>3.82</v>
      </c>
      <c r="P453" s="2">
        <v>3.82</v>
      </c>
      <c r="Q453" s="2">
        <v>21.7</v>
      </c>
      <c r="R453" s="2" t="s">
        <v>519</v>
      </c>
      <c r="S453" s="2">
        <v>21.7</v>
      </c>
      <c r="T453" s="25">
        <v>0</v>
      </c>
      <c r="U453"/>
      <c r="V453"/>
      <c r="W453">
        <v>0</v>
      </c>
      <c r="Z453">
        <v>0</v>
      </c>
      <c r="AD453">
        <v>20</v>
      </c>
      <c r="AE453" s="55">
        <f t="shared" si="34"/>
        <v>316.65508</v>
      </c>
      <c r="AF453" s="57">
        <v>0</v>
      </c>
      <c r="AG453" s="55">
        <v>0</v>
      </c>
      <c r="AH453" s="55">
        <v>0</v>
      </c>
      <c r="AI453" s="52">
        <f t="shared" si="33"/>
        <v>6.3160205735527761E-2</v>
      </c>
      <c r="AM453" s="28">
        <v>1.655172413793103</v>
      </c>
      <c r="AN453" s="28">
        <v>1.6896551724137929</v>
      </c>
      <c r="AO453" s="28">
        <v>0.27586206896551718</v>
      </c>
      <c r="AP453" s="28">
        <v>0</v>
      </c>
      <c r="AQ453" s="28">
        <v>0.45714285714285707</v>
      </c>
      <c r="AR453" s="28">
        <v>0.46666666666666667</v>
      </c>
      <c r="AS453" s="28">
        <v>7.6190476190476197E-2</v>
      </c>
      <c r="AT453" s="28">
        <v>0</v>
      </c>
      <c r="AU453" s="25">
        <v>1.1000000000000001</v>
      </c>
      <c r="AV453" s="25">
        <v>3.44</v>
      </c>
      <c r="AW453" s="25">
        <v>2.34</v>
      </c>
      <c r="AX453" s="25">
        <v>2.5486206896551722</v>
      </c>
      <c r="AY453">
        <v>2.5486206896551722</v>
      </c>
      <c r="AZ453">
        <v>6.5402267453968976</v>
      </c>
      <c r="BD453">
        <v>3.158010286776388E-2</v>
      </c>
      <c r="BH453">
        <v>6.3160205735527761E-2</v>
      </c>
      <c r="BI453">
        <v>3.158010286776388E-2</v>
      </c>
      <c r="BJ453">
        <v>0</v>
      </c>
    </row>
    <row r="454" spans="1:62" x14ac:dyDescent="0.3">
      <c r="A454" s="2" t="s">
        <v>372</v>
      </c>
      <c r="B454" s="18" t="s">
        <v>1036</v>
      </c>
      <c r="C454" s="13"/>
      <c r="F454" s="2">
        <v>3.42</v>
      </c>
      <c r="G454" s="2" t="s">
        <v>380</v>
      </c>
      <c r="H454" s="9">
        <v>-1</v>
      </c>
      <c r="I454">
        <v>-1</v>
      </c>
      <c r="J454"/>
      <c r="K454" s="2">
        <v>1</v>
      </c>
      <c r="L454" s="25">
        <v>0</v>
      </c>
      <c r="M454">
        <v>0</v>
      </c>
      <c r="N454">
        <v>0</v>
      </c>
      <c r="O454" s="2">
        <v>3.81</v>
      </c>
      <c r="P454" s="2">
        <v>3.81</v>
      </c>
      <c r="Q454" s="2">
        <v>24.7</v>
      </c>
      <c r="R454" s="2" t="s">
        <v>519</v>
      </c>
      <c r="S454" s="2">
        <v>24.7</v>
      </c>
      <c r="T454" s="25">
        <v>0</v>
      </c>
      <c r="U454"/>
      <c r="V454"/>
      <c r="W454">
        <v>0</v>
      </c>
      <c r="Z454">
        <v>0</v>
      </c>
      <c r="AD454">
        <v>20</v>
      </c>
      <c r="AE454" s="55">
        <f t="shared" si="34"/>
        <v>358.54766999999998</v>
      </c>
      <c r="AF454" s="57">
        <v>0</v>
      </c>
      <c r="AG454" s="55">
        <v>0</v>
      </c>
      <c r="AH454" s="55">
        <v>0</v>
      </c>
      <c r="AI454" s="52">
        <f t="shared" si="33"/>
        <v>5.5780588394285201E-2</v>
      </c>
      <c r="AM454" s="28">
        <v>1.625</v>
      </c>
      <c r="AN454" s="28">
        <v>1.59375</v>
      </c>
      <c r="AO454" s="28">
        <v>0.25</v>
      </c>
      <c r="AP454" s="28">
        <v>0</v>
      </c>
      <c r="AQ454" s="28">
        <v>0.46846846846846851</v>
      </c>
      <c r="AR454" s="28">
        <v>0.45945945945945948</v>
      </c>
      <c r="AS454" s="28">
        <v>7.2072072072072071E-2</v>
      </c>
      <c r="AT454" s="28">
        <v>0</v>
      </c>
      <c r="AU454" s="25">
        <v>1.1000000000000001</v>
      </c>
      <c r="AV454" s="25">
        <v>3.44</v>
      </c>
      <c r="AW454" s="25">
        <v>2.34</v>
      </c>
      <c r="AX454" s="25">
        <v>2.526875</v>
      </c>
      <c r="AY454">
        <v>2.526875</v>
      </c>
      <c r="AZ454">
        <v>6.5712752819441249</v>
      </c>
      <c r="BD454">
        <v>2.78902941971426E-2</v>
      </c>
      <c r="BH454">
        <v>5.5780588394285201E-2</v>
      </c>
      <c r="BI454">
        <v>2.78902941971426E-2</v>
      </c>
      <c r="BJ454">
        <v>0</v>
      </c>
    </row>
    <row r="455" spans="1:62" x14ac:dyDescent="0.3">
      <c r="A455" s="2" t="s">
        <v>373</v>
      </c>
      <c r="B455" s="18" t="s">
        <v>1037</v>
      </c>
      <c r="C455" s="13"/>
      <c r="F455" s="2">
        <v>3.41</v>
      </c>
      <c r="G455" s="2" t="s">
        <v>380</v>
      </c>
      <c r="H455" s="9">
        <v>-1</v>
      </c>
      <c r="I455">
        <v>-1</v>
      </c>
      <c r="J455"/>
      <c r="K455" s="2">
        <v>1</v>
      </c>
      <c r="L455" s="25">
        <v>0</v>
      </c>
      <c r="M455">
        <v>0</v>
      </c>
      <c r="N455">
        <v>0</v>
      </c>
      <c r="O455" s="2">
        <v>3.87</v>
      </c>
      <c r="P455" s="2">
        <v>3.87</v>
      </c>
      <c r="Q455" s="2">
        <v>29.4</v>
      </c>
      <c r="R455" s="2" t="s">
        <v>519</v>
      </c>
      <c r="S455" s="2">
        <v>29.4</v>
      </c>
      <c r="T455" s="25">
        <v>0</v>
      </c>
      <c r="U455"/>
      <c r="V455"/>
      <c r="W455">
        <v>0</v>
      </c>
      <c r="Z455">
        <v>0</v>
      </c>
      <c r="AD455">
        <v>20</v>
      </c>
      <c r="AE455" s="55">
        <f t="shared" si="34"/>
        <v>440.32085999999998</v>
      </c>
      <c r="AF455" s="57">
        <v>0</v>
      </c>
      <c r="AG455" s="55">
        <v>0</v>
      </c>
      <c r="AH455" s="55">
        <v>0</v>
      </c>
      <c r="AI455" s="52">
        <f t="shared" si="33"/>
        <v>4.5421422914190351E-2</v>
      </c>
      <c r="AM455" s="28">
        <v>1.5789473684210531</v>
      </c>
      <c r="AN455" s="28">
        <v>1.4473684210526321</v>
      </c>
      <c r="AO455" s="28">
        <v>0.2105263157894737</v>
      </c>
      <c r="AP455" s="28">
        <v>0</v>
      </c>
      <c r="AQ455" s="28">
        <v>0.48780487804878048</v>
      </c>
      <c r="AR455" s="28">
        <v>0.44715447154471538</v>
      </c>
      <c r="AS455" s="28">
        <v>6.5040650406504058E-2</v>
      </c>
      <c r="AT455" s="28">
        <v>0</v>
      </c>
      <c r="AU455" s="25">
        <v>1.1000000000000001</v>
      </c>
      <c r="AV455" s="25">
        <v>3.44</v>
      </c>
      <c r="AW455" s="25">
        <v>2.34</v>
      </c>
      <c r="AX455" s="25">
        <v>2.4936842105263159</v>
      </c>
      <c r="AY455">
        <v>2.4936842105263159</v>
      </c>
      <c r="AZ455">
        <v>6.6186651535162104</v>
      </c>
      <c r="BD455">
        <v>2.2710711457095179E-2</v>
      </c>
      <c r="BH455">
        <v>4.5421422914190351E-2</v>
      </c>
      <c r="BI455">
        <v>2.2710711457095179E-2</v>
      </c>
      <c r="BJ455">
        <v>0</v>
      </c>
    </row>
    <row r="456" spans="1:62" x14ac:dyDescent="0.3">
      <c r="A456" s="2" t="s">
        <v>374</v>
      </c>
      <c r="B456" s="18" t="s">
        <v>1038</v>
      </c>
      <c r="C456" s="13"/>
      <c r="F456" s="2">
        <v>3.4</v>
      </c>
      <c r="G456" s="2" t="s">
        <v>380</v>
      </c>
      <c r="H456" s="9">
        <v>-1</v>
      </c>
      <c r="I456">
        <v>-1</v>
      </c>
      <c r="J456"/>
      <c r="K456" s="2">
        <v>1</v>
      </c>
      <c r="L456" s="25">
        <v>0</v>
      </c>
      <c r="M456">
        <v>0</v>
      </c>
      <c r="N456">
        <v>0</v>
      </c>
      <c r="O456" s="2">
        <v>3.85</v>
      </c>
      <c r="P456" s="2">
        <v>3.85</v>
      </c>
      <c r="Q456" s="2">
        <v>34.200000000000003</v>
      </c>
      <c r="R456" s="2" t="s">
        <v>519</v>
      </c>
      <c r="S456" s="2">
        <v>34.200000000000003</v>
      </c>
      <c r="T456" s="25">
        <v>0</v>
      </c>
      <c r="U456"/>
      <c r="V456"/>
      <c r="W456">
        <v>0</v>
      </c>
      <c r="Z456">
        <v>0</v>
      </c>
      <c r="AD456">
        <v>20</v>
      </c>
      <c r="AE456" s="55">
        <f t="shared" si="34"/>
        <v>506.92950000000008</v>
      </c>
      <c r="AF456" s="57">
        <v>0</v>
      </c>
      <c r="AG456" s="55">
        <v>0</v>
      </c>
      <c r="AH456" s="55">
        <v>0</v>
      </c>
      <c r="AI456" s="52">
        <f t="shared" si="33"/>
        <v>3.9453217853764669E-2</v>
      </c>
      <c r="AM456" s="28">
        <v>1.545454545454545</v>
      </c>
      <c r="AN456" s="28">
        <v>1.3409090909090911</v>
      </c>
      <c r="AO456" s="28">
        <v>0.1818181818181818</v>
      </c>
      <c r="AP456" s="28">
        <v>0</v>
      </c>
      <c r="AQ456" s="28">
        <v>0.50370370370370365</v>
      </c>
      <c r="AR456" s="28">
        <v>0.437037037037037</v>
      </c>
      <c r="AS456" s="28">
        <v>5.9259259259259248E-2</v>
      </c>
      <c r="AT456" s="28">
        <v>0</v>
      </c>
      <c r="AU456" s="25">
        <v>1.1000000000000001</v>
      </c>
      <c r="AV456" s="25">
        <v>3.44</v>
      </c>
      <c r="AW456" s="25">
        <v>2.34</v>
      </c>
      <c r="AX456" s="25">
        <v>2.4695454545454552</v>
      </c>
      <c r="AY456">
        <v>2.4695454545454538</v>
      </c>
      <c r="AZ456">
        <v>6.6531305146595452</v>
      </c>
      <c r="BD456">
        <v>1.9726608926882331E-2</v>
      </c>
      <c r="BH456">
        <v>3.9453217853764669E-2</v>
      </c>
      <c r="BI456">
        <v>1.9726608926882331E-2</v>
      </c>
      <c r="BJ456">
        <v>0</v>
      </c>
    </row>
    <row r="457" spans="1:62" x14ac:dyDescent="0.3">
      <c r="A457" s="2" t="s">
        <v>375</v>
      </c>
      <c r="B457" s="18" t="s">
        <v>1039</v>
      </c>
      <c r="C457" s="13"/>
      <c r="F457" s="2">
        <v>3.33</v>
      </c>
      <c r="G457" s="2" t="s">
        <v>380</v>
      </c>
      <c r="H457" s="9">
        <v>-1</v>
      </c>
      <c r="I457">
        <v>-1</v>
      </c>
      <c r="J457"/>
      <c r="K457" s="2">
        <v>2</v>
      </c>
      <c r="L457" s="25">
        <v>0</v>
      </c>
      <c r="M457">
        <v>0</v>
      </c>
      <c r="N457">
        <v>0</v>
      </c>
      <c r="O457" s="2">
        <v>3.81</v>
      </c>
      <c r="P457" s="2">
        <v>3.81</v>
      </c>
      <c r="Q457" s="2">
        <v>35.1</v>
      </c>
      <c r="R457" s="2" t="s">
        <v>519</v>
      </c>
      <c r="S457" s="2">
        <v>17.600000000000001</v>
      </c>
      <c r="T457" s="25">
        <v>0</v>
      </c>
      <c r="U457"/>
      <c r="V457"/>
      <c r="W457">
        <v>0</v>
      </c>
      <c r="Z457">
        <v>0</v>
      </c>
      <c r="AD457">
        <v>20</v>
      </c>
      <c r="AE457" s="55">
        <f t="shared" si="34"/>
        <v>509.51510999999999</v>
      </c>
      <c r="AF457" s="57">
        <v>0</v>
      </c>
      <c r="AG457" s="55">
        <v>0</v>
      </c>
      <c r="AH457" s="55">
        <v>0</v>
      </c>
      <c r="AI457" s="52">
        <f t="shared" si="33"/>
        <v>7.8506013295660648E-2</v>
      </c>
      <c r="AM457" s="28">
        <v>1.7727272727272729</v>
      </c>
      <c r="AN457" s="28">
        <v>2.0909090909090908</v>
      </c>
      <c r="AO457" s="28">
        <v>0.36363636363636359</v>
      </c>
      <c r="AP457" s="28">
        <v>0</v>
      </c>
      <c r="AQ457" s="28">
        <v>0.41935483870967738</v>
      </c>
      <c r="AR457" s="28">
        <v>0.49462365591397839</v>
      </c>
      <c r="AS457" s="28">
        <v>8.6021505376344079E-2</v>
      </c>
      <c r="AT457" s="28">
        <v>0</v>
      </c>
      <c r="AU457" s="25">
        <v>1.1000000000000001</v>
      </c>
      <c r="AV457" s="25">
        <v>3.44</v>
      </c>
      <c r="AW457" s="25">
        <v>2.34</v>
      </c>
      <c r="AX457" s="25">
        <v>2.645909090909091</v>
      </c>
      <c r="AY457">
        <v>2.645909090909091</v>
      </c>
      <c r="AZ457">
        <v>6.4349594388752269</v>
      </c>
      <c r="BD457">
        <v>4.3178307312613358E-2</v>
      </c>
      <c r="BH457">
        <v>7.8506013295660648E-2</v>
      </c>
      <c r="BI457">
        <v>4.3178307312613358E-2</v>
      </c>
      <c r="BJ457">
        <v>0</v>
      </c>
    </row>
    <row r="458" spans="1:62" x14ac:dyDescent="0.3">
      <c r="A458" s="2" t="s">
        <v>376</v>
      </c>
      <c r="B458" s="18" t="s">
        <v>1027</v>
      </c>
      <c r="C458" s="13"/>
      <c r="F458" s="2">
        <v>3.41</v>
      </c>
      <c r="G458" s="2" t="s">
        <v>380</v>
      </c>
      <c r="H458" s="9">
        <v>-1</v>
      </c>
      <c r="I458">
        <v>-1</v>
      </c>
      <c r="J458"/>
      <c r="K458" s="2">
        <v>2</v>
      </c>
      <c r="L458" s="25">
        <v>0</v>
      </c>
      <c r="M458">
        <v>0</v>
      </c>
      <c r="N458">
        <v>0</v>
      </c>
      <c r="O458" s="2">
        <v>3.83</v>
      </c>
      <c r="P458" s="2">
        <v>3.83</v>
      </c>
      <c r="Q458" s="2">
        <v>39.5</v>
      </c>
      <c r="R458" s="2" t="s">
        <v>519</v>
      </c>
      <c r="S458" s="2">
        <v>19.8</v>
      </c>
      <c r="T458" s="25">
        <v>0</v>
      </c>
      <c r="U458"/>
      <c r="V458"/>
      <c r="W458">
        <v>0</v>
      </c>
      <c r="Z458">
        <v>0</v>
      </c>
      <c r="AD458">
        <v>20</v>
      </c>
      <c r="AE458" s="55">
        <f t="shared" si="34"/>
        <v>579.42155000000002</v>
      </c>
      <c r="AF458" s="57">
        <v>0</v>
      </c>
      <c r="AG458" s="55">
        <v>0</v>
      </c>
      <c r="AH458" s="55">
        <v>0</v>
      </c>
      <c r="AI458" s="52">
        <f t="shared" si="33"/>
        <v>6.9034367120104523E-2</v>
      </c>
      <c r="AM458" s="28">
        <v>1.72</v>
      </c>
      <c r="AN458" s="28">
        <v>1.92</v>
      </c>
      <c r="AO458" s="28">
        <v>0.32</v>
      </c>
      <c r="AP458" s="28">
        <v>0</v>
      </c>
      <c r="AQ458" s="28">
        <v>0.43434343434343442</v>
      </c>
      <c r="AR458" s="28">
        <v>0.48484848484848492</v>
      </c>
      <c r="AS458" s="28">
        <v>8.0808080808080815E-2</v>
      </c>
      <c r="AT458" s="28">
        <v>0</v>
      </c>
      <c r="AU458" s="25">
        <v>1.1000000000000001</v>
      </c>
      <c r="AV458" s="25">
        <v>3.44</v>
      </c>
      <c r="AW458" s="25">
        <v>2.34</v>
      </c>
      <c r="AX458" s="25">
        <v>2.6063999999999998</v>
      </c>
      <c r="AY458">
        <v>2.6063999999999998</v>
      </c>
      <c r="AZ458">
        <v>6.4873336424382799</v>
      </c>
      <c r="BD458">
        <v>3.7968901916057493E-2</v>
      </c>
      <c r="BH458">
        <v>6.9034367120104523E-2</v>
      </c>
      <c r="BI458">
        <v>3.7968901916057493E-2</v>
      </c>
      <c r="BJ458">
        <v>0</v>
      </c>
    </row>
    <row r="459" spans="1:62" x14ac:dyDescent="0.3">
      <c r="A459" s="2" t="s">
        <v>377</v>
      </c>
      <c r="B459" s="18" t="s">
        <v>1040</v>
      </c>
      <c r="C459" s="13"/>
      <c r="F459" s="2">
        <v>3.38</v>
      </c>
      <c r="G459" s="2" t="s">
        <v>380</v>
      </c>
      <c r="H459" s="9">
        <v>-1</v>
      </c>
      <c r="I459">
        <v>-1</v>
      </c>
      <c r="J459"/>
      <c r="K459" s="2">
        <v>2</v>
      </c>
      <c r="L459" s="25">
        <v>0</v>
      </c>
      <c r="M459">
        <v>0</v>
      </c>
      <c r="N459">
        <v>0</v>
      </c>
      <c r="O459" s="2">
        <v>3.83</v>
      </c>
      <c r="P459" s="2">
        <v>3.83</v>
      </c>
      <c r="Q459" s="2">
        <v>44.2</v>
      </c>
      <c r="R459" s="2" t="s">
        <v>519</v>
      </c>
      <c r="S459" s="2">
        <v>22.1</v>
      </c>
      <c r="T459" s="25">
        <v>0</v>
      </c>
      <c r="U459"/>
      <c r="V459"/>
      <c r="W459">
        <v>0</v>
      </c>
      <c r="Z459">
        <v>0</v>
      </c>
      <c r="AD459">
        <v>20</v>
      </c>
      <c r="AE459" s="55">
        <f t="shared" si="34"/>
        <v>648.36538000000007</v>
      </c>
      <c r="AF459" s="57">
        <v>0</v>
      </c>
      <c r="AG459" s="55">
        <v>0</v>
      </c>
      <c r="AH459" s="55">
        <v>0</v>
      </c>
      <c r="AI459" s="52">
        <f t="shared" si="33"/>
        <v>6.1693608625432772E-2</v>
      </c>
      <c r="AM459" s="28">
        <v>1.678571428571429</v>
      </c>
      <c r="AN459" s="28">
        <v>1.785714285714286</v>
      </c>
      <c r="AO459" s="28">
        <v>0.2857142857142857</v>
      </c>
      <c r="AP459" s="28">
        <v>0</v>
      </c>
      <c r="AQ459" s="28">
        <v>0.44761904761904758</v>
      </c>
      <c r="AR459" s="28">
        <v>0.47619047619047622</v>
      </c>
      <c r="AS459" s="28">
        <v>7.6190476190476183E-2</v>
      </c>
      <c r="AT459" s="28">
        <v>0</v>
      </c>
      <c r="AU459" s="25">
        <v>1.1000000000000001</v>
      </c>
      <c r="AV459" s="25">
        <v>3.44</v>
      </c>
      <c r="AW459" s="25">
        <v>2.34</v>
      </c>
      <c r="AX459" s="25">
        <v>2.5753571428571429</v>
      </c>
      <c r="AY459">
        <v>2.5753571428571429</v>
      </c>
      <c r="AZ459">
        <v>6.5284848023806781</v>
      </c>
      <c r="BD459">
        <v>3.3931484743988022E-2</v>
      </c>
      <c r="BH459">
        <v>6.1693608625432772E-2</v>
      </c>
      <c r="BI459">
        <v>3.3931484743988022E-2</v>
      </c>
      <c r="BJ459">
        <v>0</v>
      </c>
    </row>
    <row r="460" spans="1:62" x14ac:dyDescent="0.3">
      <c r="A460" s="2" t="s">
        <v>378</v>
      </c>
      <c r="B460" s="18" t="s">
        <v>1041</v>
      </c>
      <c r="C460" s="13"/>
      <c r="F460" s="2">
        <v>3.4</v>
      </c>
      <c r="G460" s="2" t="s">
        <v>380</v>
      </c>
      <c r="H460" s="9">
        <v>-1</v>
      </c>
      <c r="I460">
        <v>-1</v>
      </c>
      <c r="J460"/>
      <c r="K460" s="2">
        <v>2</v>
      </c>
      <c r="L460" s="25">
        <v>0</v>
      </c>
      <c r="M460">
        <v>0</v>
      </c>
      <c r="N460">
        <v>0</v>
      </c>
      <c r="O460" s="2">
        <v>3.82</v>
      </c>
      <c r="P460" s="2">
        <v>3.82</v>
      </c>
      <c r="Q460" s="2">
        <v>48.5</v>
      </c>
      <c r="R460" s="2" t="s">
        <v>519</v>
      </c>
      <c r="S460" s="2">
        <v>24.3</v>
      </c>
      <c r="T460" s="25">
        <v>0</v>
      </c>
      <c r="U460"/>
      <c r="V460"/>
      <c r="W460">
        <v>0</v>
      </c>
      <c r="Z460">
        <v>0</v>
      </c>
      <c r="AD460">
        <v>20</v>
      </c>
      <c r="AE460" s="55">
        <f t="shared" si="34"/>
        <v>707.73140000000001</v>
      </c>
      <c r="AF460" s="57">
        <v>0</v>
      </c>
      <c r="AG460" s="55">
        <v>0</v>
      </c>
      <c r="AH460" s="55">
        <v>0</v>
      </c>
      <c r="AI460" s="52">
        <f t="shared" si="33"/>
        <v>5.6518617091173291E-2</v>
      </c>
      <c r="AM460" s="28">
        <v>1.645161290322581</v>
      </c>
      <c r="AN460" s="28">
        <v>1.67741935483871</v>
      </c>
      <c r="AO460" s="28">
        <v>0.25806451612903231</v>
      </c>
      <c r="AP460" s="28">
        <v>0</v>
      </c>
      <c r="AQ460" s="28">
        <v>0.45945945945945948</v>
      </c>
      <c r="AR460" s="28">
        <v>0.46846846846846851</v>
      </c>
      <c r="AS460" s="28">
        <v>7.2072072072072071E-2</v>
      </c>
      <c r="AT460" s="28">
        <v>0</v>
      </c>
      <c r="AU460" s="25">
        <v>1.1000000000000001</v>
      </c>
      <c r="AV460" s="25">
        <v>3.44</v>
      </c>
      <c r="AW460" s="25">
        <v>2.34</v>
      </c>
      <c r="AX460" s="25">
        <v>2.5503225806451608</v>
      </c>
      <c r="AY460">
        <v>2.5503225806451608</v>
      </c>
      <c r="AZ460">
        <v>6.5616712216890649</v>
      </c>
      <c r="BD460">
        <v>3.108523940014531E-2</v>
      </c>
      <c r="BH460">
        <v>5.6518617091173291E-2</v>
      </c>
      <c r="BI460">
        <v>3.108523940014531E-2</v>
      </c>
      <c r="BJ460">
        <v>0</v>
      </c>
    </row>
    <row r="461" spans="1:62" x14ac:dyDescent="0.3">
      <c r="A461" s="2" t="s">
        <v>379</v>
      </c>
      <c r="B461" s="18" t="s">
        <v>1042</v>
      </c>
      <c r="C461" s="13"/>
      <c r="F461" s="2">
        <v>3.4</v>
      </c>
      <c r="G461" s="2" t="s">
        <v>380</v>
      </c>
      <c r="H461" s="9">
        <v>-1</v>
      </c>
      <c r="I461">
        <v>-1</v>
      </c>
      <c r="J461"/>
      <c r="K461" s="2">
        <v>1</v>
      </c>
      <c r="L461" s="25">
        <v>0</v>
      </c>
      <c r="M461">
        <v>0</v>
      </c>
      <c r="N461">
        <v>0</v>
      </c>
      <c r="O461" s="2">
        <v>3.82</v>
      </c>
      <c r="P461" s="2">
        <v>3.82</v>
      </c>
      <c r="Q461" s="2">
        <v>29.2</v>
      </c>
      <c r="R461" s="2" t="s">
        <v>519</v>
      </c>
      <c r="S461" s="2">
        <v>29.2</v>
      </c>
      <c r="T461" s="25">
        <v>0</v>
      </c>
      <c r="U461"/>
      <c r="V461"/>
      <c r="W461">
        <v>0</v>
      </c>
      <c r="Z461">
        <v>0</v>
      </c>
      <c r="AD461">
        <v>20</v>
      </c>
      <c r="AE461" s="55">
        <f t="shared" si="34"/>
        <v>426.09807999999998</v>
      </c>
      <c r="AF461" s="57">
        <v>0</v>
      </c>
      <c r="AG461" s="55">
        <v>0</v>
      </c>
      <c r="AH461" s="55">
        <v>0</v>
      </c>
      <c r="AI461" s="52">
        <f t="shared" si="33"/>
        <v>4.6937550152772338E-2</v>
      </c>
      <c r="AM461" s="28">
        <v>1.594594594594595</v>
      </c>
      <c r="AN461" s="28">
        <v>1.513513513513514</v>
      </c>
      <c r="AO461" s="28">
        <v>0.2162162162162162</v>
      </c>
      <c r="AP461" s="28">
        <v>0</v>
      </c>
      <c r="AQ461" s="28">
        <v>0.47967479674796748</v>
      </c>
      <c r="AR461" s="28">
        <v>0.45528455284552849</v>
      </c>
      <c r="AS461" s="28">
        <v>6.5040650406504072E-2</v>
      </c>
      <c r="AT461" s="28">
        <v>0</v>
      </c>
      <c r="AU461" s="25">
        <v>1.1000000000000001</v>
      </c>
      <c r="AV461" s="25">
        <v>3.44</v>
      </c>
      <c r="AW461" s="25">
        <v>2.34</v>
      </c>
      <c r="AX461" s="25">
        <v>2.512432432432433</v>
      </c>
      <c r="AY461">
        <v>2.512432432432433</v>
      </c>
      <c r="AZ461">
        <v>6.6118993157774328</v>
      </c>
      <c r="BD461">
        <v>2.5815652584024788E-2</v>
      </c>
      <c r="BH461">
        <v>4.6937550152772338E-2</v>
      </c>
      <c r="BI461">
        <v>2.5815652584024788E-2</v>
      </c>
      <c r="BJ461">
        <v>0</v>
      </c>
    </row>
    <row r="462" spans="1:62" x14ac:dyDescent="0.3">
      <c r="A462" s="2" t="s">
        <v>1134</v>
      </c>
      <c r="B462" s="18" t="s">
        <v>1043</v>
      </c>
      <c r="C462" s="13"/>
      <c r="F462" s="2">
        <v>3.38</v>
      </c>
      <c r="G462" s="2" t="s">
        <v>380</v>
      </c>
      <c r="H462" s="9">
        <v>-1</v>
      </c>
      <c r="I462">
        <v>-1</v>
      </c>
      <c r="J462"/>
      <c r="K462" s="2">
        <v>1</v>
      </c>
      <c r="L462" s="25">
        <v>0</v>
      </c>
      <c r="M462">
        <v>0</v>
      </c>
      <c r="N462">
        <v>0</v>
      </c>
      <c r="O462" s="2">
        <v>3.82</v>
      </c>
      <c r="P462" s="2">
        <v>3.82</v>
      </c>
      <c r="Q462" s="2">
        <v>31.3</v>
      </c>
      <c r="R462" s="2" t="s">
        <v>519</v>
      </c>
      <c r="S462" s="2">
        <v>31.3</v>
      </c>
      <c r="T462" s="25">
        <v>0</v>
      </c>
      <c r="U462"/>
      <c r="V462"/>
      <c r="W462">
        <v>0</v>
      </c>
      <c r="Z462">
        <v>0</v>
      </c>
      <c r="AD462">
        <v>20</v>
      </c>
      <c r="AE462" s="55">
        <f t="shared" si="34"/>
        <v>456.74212</v>
      </c>
      <c r="AF462" s="57">
        <v>0</v>
      </c>
      <c r="AG462" s="55">
        <v>0</v>
      </c>
      <c r="AH462" s="55">
        <v>0</v>
      </c>
      <c r="AI462" s="52">
        <f t="shared" ref="AI462:AI484" si="35">K462*AD462/AE462</f>
        <v>4.3788385446036811E-2</v>
      </c>
      <c r="AM462" s="28">
        <v>1.558139534883721</v>
      </c>
      <c r="AN462" s="28">
        <v>1.3953488372093019</v>
      </c>
      <c r="AO462" s="28">
        <v>0.186046511627907</v>
      </c>
      <c r="AP462" s="28">
        <v>0</v>
      </c>
      <c r="AQ462" s="28">
        <v>0.49629629629629629</v>
      </c>
      <c r="AR462" s="28">
        <v>0.44444444444444448</v>
      </c>
      <c r="AS462" s="28">
        <v>5.9259259259259262E-2</v>
      </c>
      <c r="AT462" s="28">
        <v>0</v>
      </c>
      <c r="AU462" s="25">
        <v>1.1000000000000001</v>
      </c>
      <c r="AV462" s="25">
        <v>3.44</v>
      </c>
      <c r="AW462" s="25">
        <v>2.34</v>
      </c>
      <c r="AX462" s="25">
        <v>2.4851162790697678</v>
      </c>
      <c r="AY462">
        <v>2.485116279069767</v>
      </c>
      <c r="AZ462">
        <v>6.6481102673295114</v>
      </c>
      <c r="BD462">
        <v>2.4083611995320251E-2</v>
      </c>
      <c r="BH462">
        <v>4.3788385446036811E-2</v>
      </c>
      <c r="BI462">
        <v>2.4083611995320251E-2</v>
      </c>
      <c r="BJ462">
        <v>0</v>
      </c>
    </row>
    <row r="463" spans="1:62" x14ac:dyDescent="0.3">
      <c r="A463" s="2" t="s">
        <v>381</v>
      </c>
      <c r="B463" s="13" t="s">
        <v>838</v>
      </c>
      <c r="C463" s="13"/>
      <c r="F463" s="2">
        <v>3.47</v>
      </c>
      <c r="G463" s="2" t="s">
        <v>380</v>
      </c>
      <c r="H463" s="9">
        <v>-1</v>
      </c>
      <c r="I463">
        <v>-1</v>
      </c>
      <c r="J463"/>
      <c r="K463" s="2">
        <v>2</v>
      </c>
      <c r="L463" s="25">
        <v>0</v>
      </c>
      <c r="M463">
        <v>0</v>
      </c>
      <c r="N463">
        <v>0</v>
      </c>
      <c r="O463" s="2">
        <v>3.78</v>
      </c>
      <c r="P463" s="2">
        <v>3.78</v>
      </c>
      <c r="Q463" s="2">
        <v>27.2</v>
      </c>
      <c r="R463" s="2" t="s">
        <v>519</v>
      </c>
      <c r="S463" s="2">
        <v>13.6</v>
      </c>
      <c r="T463" s="25">
        <v>0</v>
      </c>
      <c r="U463"/>
      <c r="V463"/>
      <c r="W463">
        <v>0</v>
      </c>
      <c r="Z463">
        <v>0</v>
      </c>
      <c r="AD463">
        <v>20</v>
      </c>
      <c r="AE463" s="55">
        <f t="shared" si="34"/>
        <v>388.64447999999999</v>
      </c>
      <c r="AF463" s="57">
        <v>0</v>
      </c>
      <c r="AG463" s="55">
        <v>0</v>
      </c>
      <c r="AH463" s="55">
        <v>0</v>
      </c>
      <c r="AI463" s="52">
        <f t="shared" si="35"/>
        <v>0.10292182716708083</v>
      </c>
      <c r="AM463" s="28">
        <v>1.882352941176471</v>
      </c>
      <c r="AN463" s="28">
        <v>2.3529411764705879</v>
      </c>
      <c r="AO463" s="28">
        <v>0.35294117647058831</v>
      </c>
      <c r="AP463" s="28">
        <v>0.47058823529411759</v>
      </c>
      <c r="AQ463" s="28">
        <v>0.37209302325581389</v>
      </c>
      <c r="AR463" s="28">
        <v>0.46511627906976749</v>
      </c>
      <c r="AS463" s="28">
        <v>6.9767441860465129E-2</v>
      </c>
      <c r="AT463" s="28">
        <v>9.3023255813953487E-2</v>
      </c>
      <c r="AU463" s="25">
        <v>1.1399999999999999</v>
      </c>
      <c r="AV463" s="25">
        <v>3.44</v>
      </c>
      <c r="AW463" s="25">
        <v>2.2999999999999998</v>
      </c>
      <c r="AX463" s="25">
        <v>2.6882352941176468</v>
      </c>
      <c r="AY463">
        <v>2.6882352941176468</v>
      </c>
      <c r="AZ463">
        <v>6.2192249941001183</v>
      </c>
      <c r="BD463">
        <v>5.1460913583540407E-2</v>
      </c>
      <c r="BH463">
        <v>0.1029218271670808</v>
      </c>
      <c r="BI463">
        <v>5.1460913583540407E-2</v>
      </c>
      <c r="BJ463">
        <v>0</v>
      </c>
    </row>
    <row r="464" spans="1:62" x14ac:dyDescent="0.3">
      <c r="A464" s="2" t="s">
        <v>382</v>
      </c>
      <c r="B464" s="18" t="s">
        <v>1044</v>
      </c>
      <c r="C464" s="13"/>
      <c r="F464" s="2">
        <v>3.4</v>
      </c>
      <c r="G464" s="2" t="s">
        <v>380</v>
      </c>
      <c r="H464" s="9">
        <v>-1</v>
      </c>
      <c r="I464">
        <v>-1</v>
      </c>
      <c r="J464"/>
      <c r="K464" s="2">
        <v>2</v>
      </c>
      <c r="L464" s="25">
        <v>0</v>
      </c>
      <c r="M464">
        <v>0</v>
      </c>
      <c r="N464">
        <v>0</v>
      </c>
      <c r="O464" s="2">
        <v>3.81</v>
      </c>
      <c r="P464" s="2">
        <v>3.81</v>
      </c>
      <c r="Q464" s="2">
        <v>35.4</v>
      </c>
      <c r="R464" s="2" t="s">
        <v>519</v>
      </c>
      <c r="S464" s="2">
        <v>17.7</v>
      </c>
      <c r="T464" s="25">
        <v>0</v>
      </c>
      <c r="U464"/>
      <c r="V464"/>
      <c r="W464">
        <v>0</v>
      </c>
      <c r="Z464">
        <v>0</v>
      </c>
      <c r="AD464">
        <v>20</v>
      </c>
      <c r="AE464" s="55">
        <f t="shared" si="34"/>
        <v>513.86993999999993</v>
      </c>
      <c r="AF464" s="57">
        <v>0</v>
      </c>
      <c r="AG464" s="55">
        <v>0</v>
      </c>
      <c r="AH464" s="55">
        <v>0</v>
      </c>
      <c r="AI464" s="52">
        <f t="shared" si="35"/>
        <v>7.7840708098239814E-2</v>
      </c>
      <c r="AM464" s="28">
        <v>1.695652173913043</v>
      </c>
      <c r="AN464" s="28">
        <v>1.826086956521739</v>
      </c>
      <c r="AO464" s="28">
        <v>0.2608695652173913</v>
      </c>
      <c r="AP464" s="28">
        <v>0.34782608695652167</v>
      </c>
      <c r="AQ464" s="28">
        <v>0.41052631578947368</v>
      </c>
      <c r="AR464" s="28">
        <v>0.44210526315789472</v>
      </c>
      <c r="AS464" s="28">
        <v>6.3157894736842107E-2</v>
      </c>
      <c r="AT464" s="28">
        <v>8.4210526315789472E-2</v>
      </c>
      <c r="AU464" s="25">
        <v>1.1399999999999999</v>
      </c>
      <c r="AV464" s="25">
        <v>3.44</v>
      </c>
      <c r="AW464" s="25">
        <v>2.2999999999999998</v>
      </c>
      <c r="AX464" s="25">
        <v>2.5760869565217388</v>
      </c>
      <c r="AY464">
        <v>2.5760869565217388</v>
      </c>
      <c r="AZ464">
        <v>6.4291568349981301</v>
      </c>
      <c r="BD464">
        <v>3.8920354049119907E-2</v>
      </c>
      <c r="BH464">
        <v>7.7840708098239814E-2</v>
      </c>
      <c r="BI464">
        <v>3.8920354049119907E-2</v>
      </c>
      <c r="BJ464">
        <v>0</v>
      </c>
    </row>
    <row r="465" spans="1:62" x14ac:dyDescent="0.3">
      <c r="A465" s="2" t="s">
        <v>383</v>
      </c>
      <c r="B465" s="18" t="s">
        <v>1045</v>
      </c>
      <c r="C465" s="13"/>
      <c r="F465" s="2">
        <v>3.32</v>
      </c>
      <c r="G465" s="2" t="s">
        <v>380</v>
      </c>
      <c r="H465" s="9">
        <v>-1</v>
      </c>
      <c r="I465">
        <v>-1</v>
      </c>
      <c r="J465"/>
      <c r="K465" s="2">
        <v>1</v>
      </c>
      <c r="L465" s="25">
        <v>0</v>
      </c>
      <c r="M465">
        <v>0</v>
      </c>
      <c r="N465">
        <v>0</v>
      </c>
      <c r="O465" s="2">
        <v>3.8</v>
      </c>
      <c r="P465" s="2">
        <v>3.8</v>
      </c>
      <c r="Q465" s="2">
        <v>19.899999999999999</v>
      </c>
      <c r="R465" s="2" t="s">
        <v>519</v>
      </c>
      <c r="S465" s="2">
        <v>19.899999999999999</v>
      </c>
      <c r="T465" s="25">
        <v>0</v>
      </c>
      <c r="U465"/>
      <c r="V465"/>
      <c r="W465">
        <v>0</v>
      </c>
      <c r="Z465">
        <v>0</v>
      </c>
      <c r="AD465">
        <v>20</v>
      </c>
      <c r="AE465" s="55">
        <f t="shared" si="34"/>
        <v>287.35599999999999</v>
      </c>
      <c r="AF465" s="57">
        <v>0</v>
      </c>
      <c r="AG465" s="55">
        <v>0</v>
      </c>
      <c r="AH465" s="55">
        <v>0</v>
      </c>
      <c r="AI465" s="52">
        <f t="shared" si="35"/>
        <v>6.9600077952087308E-2</v>
      </c>
      <c r="AM465" s="28">
        <v>1.653846153846154</v>
      </c>
      <c r="AN465" s="28">
        <v>1.6923076923076921</v>
      </c>
      <c r="AO465" s="28">
        <v>0.23076923076923081</v>
      </c>
      <c r="AP465" s="28">
        <v>0.30769230769230771</v>
      </c>
      <c r="AQ465" s="28">
        <v>0.42574257425742568</v>
      </c>
      <c r="AR465" s="28">
        <v>0.43564356435643559</v>
      </c>
      <c r="AS465" s="28">
        <v>5.940594059405941E-2</v>
      </c>
      <c r="AT465" s="28">
        <v>7.9207920792079209E-2</v>
      </c>
      <c r="AU465" s="25">
        <v>1.1399999999999999</v>
      </c>
      <c r="AV465" s="25">
        <v>3.44</v>
      </c>
      <c r="AW465" s="25">
        <v>2.2999999999999998</v>
      </c>
      <c r="AX465" s="25">
        <v>2.546153846153846</v>
      </c>
      <c r="AY465">
        <v>2.546153846153846</v>
      </c>
      <c r="AZ465">
        <v>6.4801861773330387</v>
      </c>
      <c r="BD465">
        <v>3.4800038976043647E-2</v>
      </c>
      <c r="BH465">
        <v>6.9600077952087308E-2</v>
      </c>
      <c r="BI465">
        <v>3.4800038976043647E-2</v>
      </c>
      <c r="BJ465">
        <v>0</v>
      </c>
    </row>
    <row r="466" spans="1:62" x14ac:dyDescent="0.3">
      <c r="A466" s="2" t="s">
        <v>384</v>
      </c>
      <c r="B466" s="18" t="s">
        <v>1046</v>
      </c>
      <c r="C466" s="13"/>
      <c r="F466" s="2">
        <v>3.33</v>
      </c>
      <c r="G466" s="2" t="s">
        <v>380</v>
      </c>
      <c r="H466" s="9">
        <v>-1</v>
      </c>
      <c r="I466">
        <v>-1</v>
      </c>
      <c r="J466"/>
      <c r="K466" s="2">
        <v>1</v>
      </c>
      <c r="L466" s="25">
        <v>0</v>
      </c>
      <c r="M466">
        <v>0</v>
      </c>
      <c r="N466">
        <v>0</v>
      </c>
      <c r="O466" s="2">
        <v>3.78</v>
      </c>
      <c r="P466" s="2">
        <v>3.78</v>
      </c>
      <c r="Q466" s="2">
        <v>21.5</v>
      </c>
      <c r="R466" s="2" t="s">
        <v>519</v>
      </c>
      <c r="S466" s="2">
        <v>21.5</v>
      </c>
      <c r="T466" s="25">
        <v>0</v>
      </c>
      <c r="U466"/>
      <c r="V466"/>
      <c r="W466">
        <v>0</v>
      </c>
      <c r="Z466">
        <v>0</v>
      </c>
      <c r="AD466">
        <v>20</v>
      </c>
      <c r="AE466" s="55">
        <f t="shared" si="34"/>
        <v>307.20060000000001</v>
      </c>
      <c r="AF466" s="57">
        <v>0</v>
      </c>
      <c r="AG466" s="55">
        <v>0</v>
      </c>
      <c r="AH466" s="55">
        <v>0</v>
      </c>
      <c r="AI466" s="52">
        <f t="shared" si="35"/>
        <v>6.5104039510339495E-2</v>
      </c>
      <c r="AM466" s="28">
        <v>1.6206896551724139</v>
      </c>
      <c r="AN466" s="28">
        <v>1.586206896551724</v>
      </c>
      <c r="AO466" s="28">
        <v>0.2068965517241379</v>
      </c>
      <c r="AP466" s="28">
        <v>0.27586206896551718</v>
      </c>
      <c r="AQ466" s="28">
        <v>0.43925233644859812</v>
      </c>
      <c r="AR466" s="28">
        <v>0.42990654205607481</v>
      </c>
      <c r="AS466" s="28">
        <v>5.6074766355140193E-2</v>
      </c>
      <c r="AT466" s="28">
        <v>7.476635514018691E-2</v>
      </c>
      <c r="AU466" s="25">
        <v>1.1399999999999999</v>
      </c>
      <c r="AV466" s="25">
        <v>3.44</v>
      </c>
      <c r="AW466" s="25">
        <v>2.2999999999999998</v>
      </c>
      <c r="AX466" s="25">
        <v>2.522413793103448</v>
      </c>
      <c r="AY466">
        <v>2.522413793103448</v>
      </c>
      <c r="AZ466">
        <v>6.5206577247021036</v>
      </c>
      <c r="BD466">
        <v>3.2552019755169748E-2</v>
      </c>
      <c r="BH466">
        <v>6.5104039510339495E-2</v>
      </c>
      <c r="BI466">
        <v>3.2552019755169748E-2</v>
      </c>
      <c r="BJ466">
        <v>0</v>
      </c>
    </row>
    <row r="467" spans="1:62" x14ac:dyDescent="0.3">
      <c r="A467" s="2" t="s">
        <v>385</v>
      </c>
      <c r="B467" s="18" t="s">
        <v>1047</v>
      </c>
      <c r="C467" s="13"/>
      <c r="F467" s="2">
        <v>3.33</v>
      </c>
      <c r="G467" s="2" t="s">
        <v>380</v>
      </c>
      <c r="H467" s="9">
        <v>-1</v>
      </c>
      <c r="I467">
        <v>-1</v>
      </c>
      <c r="J467"/>
      <c r="K467" s="2">
        <v>1</v>
      </c>
      <c r="L467" s="25">
        <v>0</v>
      </c>
      <c r="M467">
        <v>0</v>
      </c>
      <c r="N467">
        <v>0</v>
      </c>
      <c r="O467" s="2">
        <v>3.78</v>
      </c>
      <c r="P467" s="2">
        <v>3.78</v>
      </c>
      <c r="Q467" s="2">
        <v>24.4</v>
      </c>
      <c r="R467" s="2" t="s">
        <v>519</v>
      </c>
      <c r="S467" s="2">
        <v>24.4</v>
      </c>
      <c r="T467" s="25">
        <v>0</v>
      </c>
      <c r="U467"/>
      <c r="V467"/>
      <c r="W467">
        <v>0</v>
      </c>
      <c r="Z467">
        <v>0</v>
      </c>
      <c r="AD467">
        <v>20</v>
      </c>
      <c r="AE467" s="55">
        <f t="shared" si="34"/>
        <v>348.63695999999999</v>
      </c>
      <c r="AF467" s="57">
        <v>0</v>
      </c>
      <c r="AG467" s="55">
        <v>0</v>
      </c>
      <c r="AH467" s="55">
        <v>0</v>
      </c>
      <c r="AI467" s="52">
        <f t="shared" si="35"/>
        <v>5.7366264322635217E-2</v>
      </c>
      <c r="AM467" s="28">
        <v>1.59375</v>
      </c>
      <c r="AN467" s="28">
        <v>1.5</v>
      </c>
      <c r="AO467" s="28">
        <v>0.1875</v>
      </c>
      <c r="AP467" s="28">
        <v>0.25</v>
      </c>
      <c r="AQ467" s="28">
        <v>0.45132743362831862</v>
      </c>
      <c r="AR467" s="28">
        <v>0.4247787610619469</v>
      </c>
      <c r="AS467" s="28">
        <v>5.3097345132743362E-2</v>
      </c>
      <c r="AT467" s="28">
        <v>7.0796460176991149E-2</v>
      </c>
      <c r="AU467" s="25">
        <v>1.1399999999999999</v>
      </c>
      <c r="AV467" s="25">
        <v>3.44</v>
      </c>
      <c r="AW467" s="25">
        <v>2.2999999999999998</v>
      </c>
      <c r="AX467" s="25">
        <v>2.5031249999999998</v>
      </c>
      <c r="AY467">
        <v>2.5031249999999998</v>
      </c>
      <c r="AZ467">
        <v>6.5535408569394704</v>
      </c>
      <c r="BD467">
        <v>2.8683132161317609E-2</v>
      </c>
      <c r="BH467">
        <v>5.7366264322635217E-2</v>
      </c>
      <c r="BI467">
        <v>2.8683132161317609E-2</v>
      </c>
      <c r="BJ467">
        <v>0</v>
      </c>
    </row>
    <row r="468" spans="1:62" x14ac:dyDescent="0.3">
      <c r="A468" s="2" t="s">
        <v>386</v>
      </c>
      <c r="B468" s="18" t="s">
        <v>1048</v>
      </c>
      <c r="C468" s="13"/>
      <c r="F468" s="2">
        <v>3.35</v>
      </c>
      <c r="G468" s="2" t="s">
        <v>380</v>
      </c>
      <c r="H468" s="9">
        <v>-1</v>
      </c>
      <c r="I468">
        <v>-1</v>
      </c>
      <c r="J468"/>
      <c r="K468" s="2">
        <v>1</v>
      </c>
      <c r="L468" s="25">
        <v>0</v>
      </c>
      <c r="M468">
        <v>0</v>
      </c>
      <c r="N468">
        <v>0</v>
      </c>
      <c r="O468" s="2">
        <v>3.8</v>
      </c>
      <c r="P468" s="2">
        <v>3.8</v>
      </c>
      <c r="Q468" s="2">
        <v>29.2</v>
      </c>
      <c r="R468" s="2" t="s">
        <v>519</v>
      </c>
      <c r="S468" s="2">
        <v>29.2</v>
      </c>
      <c r="T468" s="25">
        <v>0</v>
      </c>
      <c r="U468"/>
      <c r="V468"/>
      <c r="W468">
        <v>0</v>
      </c>
      <c r="Z468">
        <v>0</v>
      </c>
      <c r="AD468">
        <v>20</v>
      </c>
      <c r="AE468" s="55">
        <f t="shared" si="34"/>
        <v>421.64799999999997</v>
      </c>
      <c r="AF468" s="57">
        <v>0</v>
      </c>
      <c r="AG468" s="55">
        <v>0</v>
      </c>
      <c r="AH468" s="55">
        <v>0</v>
      </c>
      <c r="AI468" s="52">
        <f t="shared" si="35"/>
        <v>4.7432929837210189E-2</v>
      </c>
      <c r="AM468" s="28">
        <v>1.5526315789473679</v>
      </c>
      <c r="AN468" s="28">
        <v>1.368421052631579</v>
      </c>
      <c r="AO468" s="28">
        <v>0.15789473684210531</v>
      </c>
      <c r="AP468" s="28">
        <v>0.2105263157894737</v>
      </c>
      <c r="AQ468" s="28">
        <v>0.47199999999999998</v>
      </c>
      <c r="AR468" s="28">
        <v>0.41599999999999998</v>
      </c>
      <c r="AS468" s="28">
        <v>4.8000000000000001E-2</v>
      </c>
      <c r="AT468" s="28">
        <v>6.4000000000000001E-2</v>
      </c>
      <c r="AU468" s="25">
        <v>1.1399999999999999</v>
      </c>
      <c r="AV468" s="25">
        <v>3.44</v>
      </c>
      <c r="AW468" s="25">
        <v>2.2999999999999998</v>
      </c>
      <c r="AX468" s="25">
        <v>2.4736842105263159</v>
      </c>
      <c r="AY468">
        <v>2.473684210526315</v>
      </c>
      <c r="AZ468">
        <v>6.6037309008807101</v>
      </c>
      <c r="BD468">
        <v>2.3716464918605091E-2</v>
      </c>
      <c r="BH468">
        <v>4.7432929837210189E-2</v>
      </c>
      <c r="BI468">
        <v>2.3716464918605091E-2</v>
      </c>
      <c r="BJ468">
        <v>0</v>
      </c>
    </row>
    <row r="469" spans="1:62" x14ac:dyDescent="0.3">
      <c r="A469" s="2" t="s">
        <v>387</v>
      </c>
      <c r="B469" s="18" t="s">
        <v>1049</v>
      </c>
      <c r="C469" s="13"/>
      <c r="F469" s="2">
        <v>3.36</v>
      </c>
      <c r="G469" s="2" t="s">
        <v>380</v>
      </c>
      <c r="H469" s="9">
        <v>-1</v>
      </c>
      <c r="I469">
        <v>-1</v>
      </c>
      <c r="J469"/>
      <c r="K469" s="2">
        <v>1</v>
      </c>
      <c r="L469" s="25">
        <v>0</v>
      </c>
      <c r="M469">
        <v>0</v>
      </c>
      <c r="N469">
        <v>0</v>
      </c>
      <c r="O469" s="2">
        <v>3.8</v>
      </c>
      <c r="P469" s="2">
        <v>3.8</v>
      </c>
      <c r="Q469" s="2">
        <v>33.4</v>
      </c>
      <c r="R469" s="2" t="s">
        <v>519</v>
      </c>
      <c r="S469" s="2">
        <v>33.4</v>
      </c>
      <c r="T469" s="25">
        <v>0</v>
      </c>
      <c r="U469"/>
      <c r="V469"/>
      <c r="W469">
        <v>0</v>
      </c>
      <c r="Z469">
        <v>0</v>
      </c>
      <c r="AD469">
        <v>20</v>
      </c>
      <c r="AE469" s="55">
        <f t="shared" si="34"/>
        <v>482.29599999999994</v>
      </c>
      <c r="AF469" s="57">
        <v>0</v>
      </c>
      <c r="AG469" s="55">
        <v>0</v>
      </c>
      <c r="AH469" s="55">
        <v>0</v>
      </c>
      <c r="AI469" s="52">
        <f t="shared" si="35"/>
        <v>4.1468309917561008E-2</v>
      </c>
      <c r="AM469" s="28">
        <v>1.5227272727272729</v>
      </c>
      <c r="AN469" s="28">
        <v>1.2727272727272729</v>
      </c>
      <c r="AO469" s="28">
        <v>0.13636363636363641</v>
      </c>
      <c r="AP469" s="28">
        <v>0.1818181818181818</v>
      </c>
      <c r="AQ469" s="28">
        <v>0.48905109489051091</v>
      </c>
      <c r="AR469" s="28">
        <v>0.40875912408759119</v>
      </c>
      <c r="AS469" s="28">
        <v>4.3795620437956199E-2</v>
      </c>
      <c r="AT469" s="28">
        <v>5.8394160583941597E-2</v>
      </c>
      <c r="AU469" s="25">
        <v>1.1399999999999999</v>
      </c>
      <c r="AV469" s="25">
        <v>3.44</v>
      </c>
      <c r="AW469" s="25">
        <v>2.2999999999999998</v>
      </c>
      <c r="AX469" s="25">
        <v>2.452272727272728</v>
      </c>
      <c r="AY469">
        <v>2.4522727272727272</v>
      </c>
      <c r="AZ469">
        <v>6.6402327510197949</v>
      </c>
      <c r="BD469">
        <v>2.0734154958780501E-2</v>
      </c>
      <c r="BH469">
        <v>4.1468309917561008E-2</v>
      </c>
      <c r="BI469">
        <v>2.0734154958780501E-2</v>
      </c>
      <c r="BJ469">
        <v>0</v>
      </c>
    </row>
    <row r="470" spans="1:62" x14ac:dyDescent="0.3">
      <c r="A470" s="2" t="s">
        <v>388</v>
      </c>
      <c r="B470" s="18" t="s">
        <v>1050</v>
      </c>
      <c r="C470" s="13"/>
      <c r="F470" s="2">
        <v>3.33</v>
      </c>
      <c r="G470" s="2" t="s">
        <v>380</v>
      </c>
      <c r="H470" s="9">
        <v>-1</v>
      </c>
      <c r="I470">
        <v>-1</v>
      </c>
      <c r="J470"/>
      <c r="K470" s="2">
        <v>2</v>
      </c>
      <c r="L470" s="25">
        <v>0</v>
      </c>
      <c r="M470">
        <v>0</v>
      </c>
      <c r="N470">
        <v>0</v>
      </c>
      <c r="O470" s="2">
        <v>3.76</v>
      </c>
      <c r="P470" s="2">
        <v>3.76</v>
      </c>
      <c r="Q470" s="2">
        <v>34.1</v>
      </c>
      <c r="R470" s="2" t="s">
        <v>519</v>
      </c>
      <c r="S470" s="2">
        <v>17.100000000000001</v>
      </c>
      <c r="T470" s="25">
        <v>0</v>
      </c>
      <c r="U470"/>
      <c r="V470"/>
      <c r="W470">
        <v>0</v>
      </c>
      <c r="Z470">
        <v>0</v>
      </c>
      <c r="AD470">
        <v>22</v>
      </c>
      <c r="AE470" s="55">
        <f t="shared" si="34"/>
        <v>482.09215999999998</v>
      </c>
      <c r="AF470" s="57">
        <v>0</v>
      </c>
      <c r="AG470" s="55">
        <v>0</v>
      </c>
      <c r="AH470" s="55">
        <v>0</v>
      </c>
      <c r="AI470" s="52">
        <f t="shared" si="35"/>
        <v>9.12688561456797E-2</v>
      </c>
      <c r="AM470" s="28">
        <v>1.7391304347826091</v>
      </c>
      <c r="AN470" s="28">
        <v>2</v>
      </c>
      <c r="AO470" s="28">
        <v>0.2608695652173913</v>
      </c>
      <c r="AP470" s="28">
        <v>0.34782608695652167</v>
      </c>
      <c r="AQ470" s="28">
        <v>0.4</v>
      </c>
      <c r="AR470" s="28">
        <v>0.46</v>
      </c>
      <c r="AS470" s="28">
        <v>0.06</v>
      </c>
      <c r="AT470" s="28">
        <v>0.08</v>
      </c>
      <c r="AU470" s="25">
        <v>1.1399999999999999</v>
      </c>
      <c r="AV470" s="25">
        <v>3.44</v>
      </c>
      <c r="AW470" s="25">
        <v>2.2999999999999998</v>
      </c>
      <c r="AX470" s="25">
        <v>2.63</v>
      </c>
      <c r="AY470">
        <v>2.63</v>
      </c>
      <c r="AZ470">
        <v>6.444942219787217</v>
      </c>
      <c r="BD470">
        <v>4.563442807283985E-2</v>
      </c>
      <c r="BH470">
        <v>9.12688561456797E-2</v>
      </c>
      <c r="BI470">
        <v>4.563442807283985E-2</v>
      </c>
      <c r="BJ470">
        <v>0</v>
      </c>
    </row>
    <row r="471" spans="1:62" x14ac:dyDescent="0.3">
      <c r="A471" s="2" t="s">
        <v>389</v>
      </c>
      <c r="B471" s="18" t="s">
        <v>1051</v>
      </c>
      <c r="C471" s="13"/>
      <c r="F471" s="2">
        <v>3.33</v>
      </c>
      <c r="G471" s="2" t="s">
        <v>380</v>
      </c>
      <c r="H471" s="9">
        <v>-1</v>
      </c>
      <c r="I471">
        <v>-1</v>
      </c>
      <c r="J471"/>
      <c r="K471" s="2">
        <v>2</v>
      </c>
      <c r="L471" s="25">
        <v>0</v>
      </c>
      <c r="M471">
        <v>0</v>
      </c>
      <c r="N471">
        <v>0</v>
      </c>
      <c r="O471" s="2">
        <v>3.77</v>
      </c>
      <c r="P471" s="2">
        <v>3.77</v>
      </c>
      <c r="Q471" s="2">
        <v>40.9</v>
      </c>
      <c r="R471" s="2" t="s">
        <v>519</v>
      </c>
      <c r="S471" s="2">
        <v>20.5</v>
      </c>
      <c r="T471" s="25">
        <v>0</v>
      </c>
      <c r="U471"/>
      <c r="V471"/>
      <c r="W471">
        <v>0</v>
      </c>
      <c r="Z471">
        <v>0</v>
      </c>
      <c r="AD471">
        <v>22</v>
      </c>
      <c r="AE471" s="55">
        <f t="shared" si="34"/>
        <v>581.30760999999995</v>
      </c>
      <c r="AF471" s="57">
        <v>0</v>
      </c>
      <c r="AG471" s="55">
        <v>0</v>
      </c>
      <c r="AH471" s="55">
        <v>0</v>
      </c>
      <c r="AI471" s="52">
        <f t="shared" si="35"/>
        <v>7.5691422653145726E-2</v>
      </c>
      <c r="AM471" s="28">
        <v>1.6923076923076921</v>
      </c>
      <c r="AN471" s="28">
        <v>1.846153846153846</v>
      </c>
      <c r="AO471" s="28">
        <v>0.23076923076923081</v>
      </c>
      <c r="AP471" s="28">
        <v>0.30769230769230771</v>
      </c>
      <c r="AQ471" s="28">
        <v>0.41509433962264147</v>
      </c>
      <c r="AR471" s="28">
        <v>0.45283018867924529</v>
      </c>
      <c r="AS471" s="28">
        <v>5.6603773584905669E-2</v>
      </c>
      <c r="AT471" s="28">
        <v>7.5471698113207558E-2</v>
      </c>
      <c r="AU471" s="25">
        <v>1.1399999999999999</v>
      </c>
      <c r="AV471" s="25">
        <v>3.44</v>
      </c>
      <c r="AW471" s="25">
        <v>2.2999999999999998</v>
      </c>
      <c r="AX471" s="25">
        <v>2.5938461538461541</v>
      </c>
      <c r="AY471">
        <v>2.5938461538461541</v>
      </c>
      <c r="AZ471">
        <v>6.4941501715695384</v>
      </c>
      <c r="BD471">
        <v>3.7845711326572863E-2</v>
      </c>
      <c r="BH471">
        <v>7.5691422653145726E-2</v>
      </c>
      <c r="BI471">
        <v>3.7845711326572863E-2</v>
      </c>
      <c r="BJ471">
        <v>0</v>
      </c>
    </row>
    <row r="472" spans="1:62" x14ac:dyDescent="0.3">
      <c r="A472" s="2" t="s">
        <v>390</v>
      </c>
      <c r="B472" s="18" t="s">
        <v>1052</v>
      </c>
      <c r="C472" s="13"/>
      <c r="F472" s="2">
        <v>3.32</v>
      </c>
      <c r="G472" s="2" t="s">
        <v>380</v>
      </c>
      <c r="H472" s="9">
        <v>-1</v>
      </c>
      <c r="I472">
        <v>-1</v>
      </c>
      <c r="J472"/>
      <c r="K472" s="2">
        <v>2</v>
      </c>
      <c r="L472" s="25">
        <v>0</v>
      </c>
      <c r="M472">
        <v>0</v>
      </c>
      <c r="N472">
        <v>0</v>
      </c>
      <c r="O472" s="2">
        <v>3.79</v>
      </c>
      <c r="P472" s="2">
        <v>3.79</v>
      </c>
      <c r="Q472" s="2">
        <v>43.8</v>
      </c>
      <c r="R472" s="2" t="s">
        <v>519</v>
      </c>
      <c r="S472" s="2">
        <v>21.9</v>
      </c>
      <c r="T472" s="25">
        <v>0</v>
      </c>
      <c r="U472"/>
      <c r="V472"/>
      <c r="W472">
        <v>0</v>
      </c>
      <c r="Z472">
        <v>0</v>
      </c>
      <c r="AD472">
        <v>22</v>
      </c>
      <c r="AE472" s="55">
        <f t="shared" si="34"/>
        <v>629.14757999999995</v>
      </c>
      <c r="AF472" s="57">
        <v>0</v>
      </c>
      <c r="AG472" s="55">
        <v>0</v>
      </c>
      <c r="AH472" s="55">
        <v>0</v>
      </c>
      <c r="AI472" s="52">
        <f t="shared" si="35"/>
        <v>6.9935896439433182E-2</v>
      </c>
      <c r="AM472" s="28">
        <v>1.655172413793103</v>
      </c>
      <c r="AN472" s="28">
        <v>1.7241379310344831</v>
      </c>
      <c r="AO472" s="28">
        <v>0.2068965517241379</v>
      </c>
      <c r="AP472" s="28">
        <v>0.27586206896551718</v>
      </c>
      <c r="AQ472" s="28">
        <v>0.42857142857142849</v>
      </c>
      <c r="AR472" s="28">
        <v>0.4464285714285714</v>
      </c>
      <c r="AS472" s="28">
        <v>5.3571428571428568E-2</v>
      </c>
      <c r="AT472" s="28">
        <v>7.1428571428571425E-2</v>
      </c>
      <c r="AU472" s="25">
        <v>1.1399999999999999</v>
      </c>
      <c r="AV472" s="25">
        <v>3.44</v>
      </c>
      <c r="AW472" s="25">
        <v>2.2999999999999998</v>
      </c>
      <c r="AX472" s="25">
        <v>2.5651724137931029</v>
      </c>
      <c r="AY472">
        <v>2.5651724137931029</v>
      </c>
      <c r="AZ472">
        <v>6.53317716781069</v>
      </c>
      <c r="BD472">
        <v>3.4967948219716591E-2</v>
      </c>
      <c r="BH472">
        <v>6.9935896439433182E-2</v>
      </c>
      <c r="BI472">
        <v>3.4967948219716591E-2</v>
      </c>
      <c r="BJ472">
        <v>0</v>
      </c>
    </row>
    <row r="473" spans="1:62" x14ac:dyDescent="0.3">
      <c r="A473" s="2" t="s">
        <v>391</v>
      </c>
      <c r="B473" s="18" t="s">
        <v>1053</v>
      </c>
      <c r="C473" s="13"/>
      <c r="F473" s="2">
        <v>3.33</v>
      </c>
      <c r="G473" s="2" t="s">
        <v>380</v>
      </c>
      <c r="H473" s="9">
        <v>-1</v>
      </c>
      <c r="I473">
        <v>-1</v>
      </c>
      <c r="J473"/>
      <c r="K473" s="2">
        <v>2</v>
      </c>
      <c r="L473" s="25">
        <v>0</v>
      </c>
      <c r="M473">
        <v>0</v>
      </c>
      <c r="N473">
        <v>0</v>
      </c>
      <c r="O473" s="2">
        <v>3.78</v>
      </c>
      <c r="P473" s="2">
        <v>3.78</v>
      </c>
      <c r="Q473" s="2">
        <v>47.3</v>
      </c>
      <c r="R473" s="2" t="s">
        <v>519</v>
      </c>
      <c r="S473" s="2">
        <v>23.7</v>
      </c>
      <c r="T473" s="25">
        <v>0</v>
      </c>
      <c r="U473"/>
      <c r="V473"/>
      <c r="W473">
        <v>0</v>
      </c>
      <c r="Z473">
        <v>0</v>
      </c>
      <c r="AD473">
        <v>22</v>
      </c>
      <c r="AE473" s="55">
        <f t="shared" si="34"/>
        <v>675.84131999999988</v>
      </c>
      <c r="AF473" s="57">
        <v>0</v>
      </c>
      <c r="AG473" s="55">
        <v>0</v>
      </c>
      <c r="AH473" s="55">
        <v>0</v>
      </c>
      <c r="AI473" s="52">
        <f t="shared" si="35"/>
        <v>6.5104039510339509E-2</v>
      </c>
      <c r="AM473" s="28">
        <v>1.625</v>
      </c>
      <c r="AN473" s="28">
        <v>1.625</v>
      </c>
      <c r="AO473" s="28">
        <v>0.1875</v>
      </c>
      <c r="AP473" s="28">
        <v>0.25</v>
      </c>
      <c r="AQ473" s="28">
        <v>0.44067796610169491</v>
      </c>
      <c r="AR473" s="28">
        <v>0.44067796610169491</v>
      </c>
      <c r="AS473" s="28">
        <v>5.0847457627118647E-2</v>
      </c>
      <c r="AT473" s="28">
        <v>6.7796610169491525E-2</v>
      </c>
      <c r="AU473" s="25">
        <v>1.1399999999999999</v>
      </c>
      <c r="AV473" s="25">
        <v>3.44</v>
      </c>
      <c r="AW473" s="25">
        <v>2.2999999999999998</v>
      </c>
      <c r="AX473" s="25">
        <v>2.5418750000000001</v>
      </c>
      <c r="AY473">
        <v>2.5418750000000001</v>
      </c>
      <c r="AZ473">
        <v>6.5648866022566246</v>
      </c>
      <c r="BD473">
        <v>3.2552019755169748E-2</v>
      </c>
      <c r="BH473">
        <v>6.5104039510339509E-2</v>
      </c>
      <c r="BI473">
        <v>3.2552019755169748E-2</v>
      </c>
      <c r="BJ473">
        <v>0</v>
      </c>
    </row>
    <row r="474" spans="1:62" x14ac:dyDescent="0.3">
      <c r="A474" s="2" t="s">
        <v>392</v>
      </c>
      <c r="B474" s="18" t="s">
        <v>1054</v>
      </c>
      <c r="C474" s="13"/>
      <c r="F474" s="2">
        <v>3.35</v>
      </c>
      <c r="G474" s="2" t="s">
        <v>380</v>
      </c>
      <c r="H474" s="9">
        <v>-1</v>
      </c>
      <c r="I474">
        <v>-1</v>
      </c>
      <c r="J474"/>
      <c r="K474" s="2">
        <v>1</v>
      </c>
      <c r="L474" s="25">
        <v>0</v>
      </c>
      <c r="M474">
        <v>0</v>
      </c>
      <c r="N474">
        <v>0</v>
      </c>
      <c r="O474" s="2">
        <v>3.81</v>
      </c>
      <c r="P474" s="2">
        <v>3.81</v>
      </c>
      <c r="Q474" s="2">
        <v>28.3</v>
      </c>
      <c r="R474" s="2" t="s">
        <v>519</v>
      </c>
      <c r="S474" s="2">
        <v>28.3</v>
      </c>
      <c r="T474" s="25">
        <v>0</v>
      </c>
      <c r="U474"/>
      <c r="V474"/>
      <c r="W474">
        <v>0</v>
      </c>
      <c r="Z474">
        <v>0</v>
      </c>
      <c r="AD474">
        <v>22</v>
      </c>
      <c r="AE474" s="55">
        <f t="shared" si="34"/>
        <v>410.80563000000001</v>
      </c>
      <c r="AF474" s="57">
        <v>0</v>
      </c>
      <c r="AG474" s="55">
        <v>0</v>
      </c>
      <c r="AH474" s="55">
        <v>0</v>
      </c>
      <c r="AI474" s="52">
        <f t="shared" si="35"/>
        <v>5.3553306949566393E-2</v>
      </c>
      <c r="AM474" s="28">
        <v>1.5789473684210531</v>
      </c>
      <c r="AN474" s="28">
        <v>1.4736842105263159</v>
      </c>
      <c r="AO474" s="28">
        <v>0.15789473684210531</v>
      </c>
      <c r="AP474" s="28">
        <v>0.2105263157894737</v>
      </c>
      <c r="AQ474" s="28">
        <v>0.46153846153846162</v>
      </c>
      <c r="AR474" s="28">
        <v>0.43076923076923068</v>
      </c>
      <c r="AS474" s="28">
        <v>4.6153846153846149E-2</v>
      </c>
      <c r="AT474" s="28">
        <v>6.1538461538461528E-2</v>
      </c>
      <c r="AU474" s="25">
        <v>1.1399999999999999</v>
      </c>
      <c r="AV474" s="25">
        <v>3.44</v>
      </c>
      <c r="AW474" s="25">
        <v>2.2999999999999998</v>
      </c>
      <c r="AX474" s="25">
        <v>2.5063157894736841</v>
      </c>
      <c r="AY474">
        <v>2.5063157894736841</v>
      </c>
      <c r="AZ474">
        <v>6.6132852127267361</v>
      </c>
      <c r="BD474">
        <v>2.67766534747832E-2</v>
      </c>
      <c r="BH474">
        <v>5.3553306949566393E-2</v>
      </c>
      <c r="BI474">
        <v>2.67766534747832E-2</v>
      </c>
      <c r="BJ474">
        <v>0</v>
      </c>
    </row>
    <row r="475" spans="1:62" x14ac:dyDescent="0.3">
      <c r="A475" s="2" t="s">
        <v>1133</v>
      </c>
      <c r="B475" s="18" t="s">
        <v>1055</v>
      </c>
      <c r="C475" s="13"/>
      <c r="F475" s="2">
        <v>3.36</v>
      </c>
      <c r="G475" s="2" t="s">
        <v>380</v>
      </c>
      <c r="H475" s="9">
        <v>-1</v>
      </c>
      <c r="I475">
        <v>-1</v>
      </c>
      <c r="J475"/>
      <c r="K475" s="2">
        <v>1</v>
      </c>
      <c r="L475" s="25">
        <v>0</v>
      </c>
      <c r="M475">
        <v>0</v>
      </c>
      <c r="N475">
        <v>0</v>
      </c>
      <c r="O475" s="2">
        <v>3.74</v>
      </c>
      <c r="P475" s="2">
        <v>3.74</v>
      </c>
      <c r="Q475" s="2">
        <v>30.8</v>
      </c>
      <c r="R475" s="2" t="s">
        <v>519</v>
      </c>
      <c r="S475" s="2">
        <v>30.8</v>
      </c>
      <c r="T475" s="25">
        <v>0</v>
      </c>
      <c r="U475"/>
      <c r="V475"/>
      <c r="W475">
        <v>0</v>
      </c>
      <c r="Z475">
        <v>0</v>
      </c>
      <c r="AD475">
        <v>22</v>
      </c>
      <c r="AE475" s="55">
        <f t="shared" si="34"/>
        <v>430.81808000000007</v>
      </c>
      <c r="AF475" s="57">
        <v>0</v>
      </c>
      <c r="AG475" s="55">
        <v>0</v>
      </c>
      <c r="AH475" s="55">
        <v>0</v>
      </c>
      <c r="AI475" s="52">
        <f t="shared" si="35"/>
        <v>5.1065637728110194E-2</v>
      </c>
      <c r="AM475" s="28">
        <v>1.545454545454545</v>
      </c>
      <c r="AN475" s="28">
        <v>1.363636363636364</v>
      </c>
      <c r="AO475" s="28">
        <v>0.13636363636363641</v>
      </c>
      <c r="AP475" s="28">
        <v>0.1818181818181818</v>
      </c>
      <c r="AQ475" s="28">
        <v>0.47887323943661969</v>
      </c>
      <c r="AR475" s="28">
        <v>0.42253521126760563</v>
      </c>
      <c r="AS475" s="28">
        <v>4.2253521126760563E-2</v>
      </c>
      <c r="AT475" s="28">
        <v>5.6338028169014093E-2</v>
      </c>
      <c r="AU475" s="25">
        <v>1.1399999999999999</v>
      </c>
      <c r="AV475" s="25">
        <v>3.44</v>
      </c>
      <c r="AW475" s="25">
        <v>2.2999999999999998</v>
      </c>
      <c r="AX475" s="25">
        <v>2.4804545454545459</v>
      </c>
      <c r="AY475">
        <v>2.480454545454545</v>
      </c>
      <c r="AZ475">
        <v>6.6484842021595449</v>
      </c>
      <c r="BD475">
        <v>2.5532818864055101E-2</v>
      </c>
      <c r="BH475">
        <v>5.1065637728110187E-2</v>
      </c>
      <c r="BI475">
        <v>2.5532818864055101E-2</v>
      </c>
      <c r="BJ475">
        <v>0</v>
      </c>
    </row>
    <row r="476" spans="1:62" x14ac:dyDescent="0.3">
      <c r="A476" s="1" t="s">
        <v>394</v>
      </c>
      <c r="B476" s="18" t="s">
        <v>1056</v>
      </c>
      <c r="C476" s="13"/>
      <c r="F476" s="2">
        <v>3.29</v>
      </c>
      <c r="G476" s="2" t="s">
        <v>393</v>
      </c>
      <c r="H476" s="9">
        <v>-1</v>
      </c>
      <c r="I476">
        <v>-1</v>
      </c>
      <c r="J476" t="s">
        <v>1243</v>
      </c>
      <c r="K476" s="2">
        <v>1</v>
      </c>
      <c r="L476" s="25">
        <v>0</v>
      </c>
      <c r="M476">
        <v>0</v>
      </c>
      <c r="N476">
        <v>0</v>
      </c>
      <c r="O476" s="2">
        <v>3.85</v>
      </c>
      <c r="P476" s="2">
        <v>3.85</v>
      </c>
      <c r="Q476" s="2">
        <v>21.37</v>
      </c>
      <c r="R476" s="2" t="s">
        <v>1131</v>
      </c>
      <c r="T476" s="25">
        <v>0</v>
      </c>
      <c r="U476"/>
      <c r="V476"/>
      <c r="W476">
        <v>0</v>
      </c>
      <c r="Z476">
        <v>0</v>
      </c>
      <c r="AD476">
        <v>26</v>
      </c>
      <c r="AE476" s="55">
        <f t="shared" si="34"/>
        <v>316.75682500000005</v>
      </c>
      <c r="AF476" s="57">
        <v>0</v>
      </c>
      <c r="AG476" s="55">
        <v>0</v>
      </c>
      <c r="AH476" s="55">
        <v>0</v>
      </c>
      <c r="AI476" s="52">
        <f t="shared" si="35"/>
        <v>8.2081893578772921E-2</v>
      </c>
      <c r="AM476" s="28">
        <v>1.791666666666667</v>
      </c>
      <c r="AN476" s="28">
        <v>2.416666666666667</v>
      </c>
      <c r="AO476" s="28">
        <v>1.166666666666667</v>
      </c>
      <c r="AP476" s="28">
        <v>1.166666666666667</v>
      </c>
      <c r="AQ476" s="28">
        <v>0.27388535031847128</v>
      </c>
      <c r="AR476" s="28">
        <v>0.36942675159235672</v>
      </c>
      <c r="AS476" s="28">
        <v>0.178343949044586</v>
      </c>
      <c r="AT476" s="28">
        <v>0.178343949044586</v>
      </c>
      <c r="AU476" s="25">
        <v>0.82</v>
      </c>
      <c r="AV476" s="25">
        <v>3.44</v>
      </c>
      <c r="AW476" s="25">
        <v>2.62</v>
      </c>
      <c r="AX476" s="25">
        <v>2.689166666666666</v>
      </c>
      <c r="AY476">
        <v>2.6891666666666669</v>
      </c>
      <c r="AZ476">
        <v>6.2990365295585002</v>
      </c>
      <c r="BC476" s="75">
        <v>0</v>
      </c>
      <c r="BD476">
        <v>4.1040946789386461E-2</v>
      </c>
      <c r="BH476">
        <v>8.2081893578772921E-2</v>
      </c>
      <c r="BI476">
        <v>4.1040946789386461E-2</v>
      </c>
      <c r="BJ476">
        <v>0</v>
      </c>
    </row>
    <row r="477" spans="1:62" x14ac:dyDescent="0.3">
      <c r="A477" s="5" t="s">
        <v>395</v>
      </c>
      <c r="B477" s="43" t="s">
        <v>1057</v>
      </c>
      <c r="C477" s="39"/>
      <c r="D477" s="5"/>
      <c r="E477" s="5"/>
      <c r="F477" s="5">
        <v>3.17</v>
      </c>
      <c r="G477" s="5" t="s">
        <v>393</v>
      </c>
      <c r="H477" s="40">
        <v>-2</v>
      </c>
      <c r="I477" s="5">
        <v>-1</v>
      </c>
      <c r="J477" s="5"/>
      <c r="K477" s="5">
        <v>1</v>
      </c>
      <c r="L477" s="41">
        <v>0</v>
      </c>
      <c r="M477">
        <v>0</v>
      </c>
      <c r="N477">
        <v>0</v>
      </c>
      <c r="O477" s="2">
        <v>3.85</v>
      </c>
      <c r="P477" s="2">
        <v>3.85</v>
      </c>
      <c r="Q477" s="5">
        <v>21.88</v>
      </c>
      <c r="R477" s="5"/>
      <c r="S477" s="5"/>
      <c r="T477" s="41">
        <v>0</v>
      </c>
      <c r="U477" s="5"/>
      <c r="V477" s="5"/>
      <c r="W477">
        <v>0</v>
      </c>
      <c r="Z477">
        <v>0</v>
      </c>
      <c r="AC477" s="5"/>
      <c r="AD477" s="5">
        <v>26</v>
      </c>
      <c r="AE477" s="55">
        <f t="shared" si="34"/>
        <v>324.31630000000001</v>
      </c>
      <c r="AF477" s="57">
        <v>0</v>
      </c>
      <c r="AG477" s="55">
        <v>0</v>
      </c>
      <c r="AH477" s="55">
        <v>0</v>
      </c>
      <c r="AI477" s="52">
        <f t="shared" si="35"/>
        <v>8.0168650172686359E-2</v>
      </c>
      <c r="AM477" s="5">
        <v>1.7272727272727271</v>
      </c>
      <c r="AN477" s="5">
        <v>2.1818181818181821</v>
      </c>
      <c r="AO477" s="5">
        <v>1.0181818181818181</v>
      </c>
      <c r="AP477" s="5">
        <v>1.0181818181818181</v>
      </c>
      <c r="AQ477" s="5">
        <v>0.29051987767584098</v>
      </c>
      <c r="AR477" s="5">
        <v>0.36697247706422009</v>
      </c>
      <c r="AS477" s="5">
        <v>0.17125382262996941</v>
      </c>
      <c r="AT477" s="5">
        <v>0.17125382262996941</v>
      </c>
      <c r="AU477" s="41">
        <v>0.82</v>
      </c>
      <c r="AV477" s="41">
        <v>3.44</v>
      </c>
      <c r="AW477" s="41">
        <v>2.62</v>
      </c>
      <c r="AX477" s="41">
        <v>2.6647272727272728</v>
      </c>
      <c r="AY477" s="5">
        <v>2.6647272727272728</v>
      </c>
      <c r="AZ477" s="5">
        <v>6.4638943890893454</v>
      </c>
      <c r="BD477">
        <v>4.008432508634318E-2</v>
      </c>
      <c r="BH477">
        <v>8.0168650172686359E-2</v>
      </c>
      <c r="BI477">
        <v>4.008432508634318E-2</v>
      </c>
      <c r="BJ477">
        <v>0</v>
      </c>
    </row>
    <row r="478" spans="1:62" x14ac:dyDescent="0.3">
      <c r="A478" s="5" t="s">
        <v>396</v>
      </c>
      <c r="B478" s="43" t="s">
        <v>1058</v>
      </c>
      <c r="C478" s="39"/>
      <c r="D478" s="5"/>
      <c r="E478" s="5"/>
      <c r="F478" s="5">
        <v>3.19</v>
      </c>
      <c r="G478" s="5" t="s">
        <v>393</v>
      </c>
      <c r="H478" s="40">
        <v>-2</v>
      </c>
      <c r="I478" s="5">
        <v>-1</v>
      </c>
      <c r="J478" s="5"/>
      <c r="K478" s="5">
        <v>1</v>
      </c>
      <c r="L478" s="41">
        <v>0</v>
      </c>
      <c r="M478">
        <v>0</v>
      </c>
      <c r="N478">
        <v>0</v>
      </c>
      <c r="O478" s="2">
        <v>3.85</v>
      </c>
      <c r="P478" s="2">
        <v>3.85</v>
      </c>
      <c r="Q478" s="5">
        <v>23.3</v>
      </c>
      <c r="R478" s="5"/>
      <c r="S478" s="5"/>
      <c r="T478" s="41">
        <v>0</v>
      </c>
      <c r="U478" s="5"/>
      <c r="V478" s="5"/>
      <c r="W478">
        <v>0</v>
      </c>
      <c r="Z478">
        <v>0</v>
      </c>
      <c r="AC478" s="5"/>
      <c r="AD478" s="5">
        <v>26</v>
      </c>
      <c r="AE478" s="55">
        <f t="shared" si="34"/>
        <v>345.36425000000003</v>
      </c>
      <c r="AF478" s="57">
        <v>0</v>
      </c>
      <c r="AG478" s="55">
        <v>0</v>
      </c>
      <c r="AH478" s="55">
        <v>0</v>
      </c>
      <c r="AI478" s="52">
        <f t="shared" si="35"/>
        <v>7.5282835441132068E-2</v>
      </c>
      <c r="AM478" s="5">
        <v>1.693548387096774</v>
      </c>
      <c r="AN478" s="5">
        <v>2.0483870967741939</v>
      </c>
      <c r="AO478" s="5">
        <v>1.064516129032258</v>
      </c>
      <c r="AP478" s="5">
        <v>1.129032258064516</v>
      </c>
      <c r="AQ478" s="5">
        <v>0.28532608695652167</v>
      </c>
      <c r="AR478" s="5">
        <v>0.34510869565217389</v>
      </c>
      <c r="AS478" s="5">
        <v>0.17934782608695651</v>
      </c>
      <c r="AT478" s="5">
        <v>0.19021739130434781</v>
      </c>
      <c r="AU478" s="41">
        <v>0.82</v>
      </c>
      <c r="AV478" s="41">
        <v>3.44</v>
      </c>
      <c r="AW478" s="41">
        <v>2.62</v>
      </c>
      <c r="AX478" s="41">
        <v>2.620645161290323</v>
      </c>
      <c r="AY478" s="5">
        <v>2.620645161290323</v>
      </c>
      <c r="AZ478" s="5">
        <v>6.4654289883277096</v>
      </c>
      <c r="BD478">
        <v>3.7641417720566027E-2</v>
      </c>
      <c r="BH478">
        <v>7.5282835441132068E-2</v>
      </c>
      <c r="BI478">
        <v>3.7641417720566027E-2</v>
      </c>
      <c r="BJ478">
        <v>0</v>
      </c>
    </row>
    <row r="479" spans="1:62" x14ac:dyDescent="0.3">
      <c r="A479" s="5" t="s">
        <v>397</v>
      </c>
      <c r="B479" s="43" t="s">
        <v>1059</v>
      </c>
      <c r="C479" s="39"/>
      <c r="D479" s="5"/>
      <c r="E479" s="5"/>
      <c r="F479" s="5">
        <v>3.19</v>
      </c>
      <c r="G479" s="5" t="s">
        <v>393</v>
      </c>
      <c r="H479" s="40">
        <v>-2</v>
      </c>
      <c r="I479" s="5">
        <v>-1</v>
      </c>
      <c r="J479" s="5"/>
      <c r="K479" s="5">
        <v>1</v>
      </c>
      <c r="L479" s="41">
        <v>0</v>
      </c>
      <c r="M479">
        <v>0</v>
      </c>
      <c r="N479">
        <v>0</v>
      </c>
      <c r="O479" s="2">
        <v>3.85</v>
      </c>
      <c r="P479" s="2">
        <v>3.85</v>
      </c>
      <c r="Q479" s="5">
        <v>25.26</v>
      </c>
      <c r="R479" s="5"/>
      <c r="S479" s="5"/>
      <c r="T479" s="41">
        <v>0</v>
      </c>
      <c r="U479" s="41"/>
      <c r="V479" s="41"/>
      <c r="W479">
        <v>0</v>
      </c>
      <c r="Z479">
        <v>0</v>
      </c>
      <c r="AC479" s="5"/>
      <c r="AD479" s="5">
        <v>26</v>
      </c>
      <c r="AE479" s="55">
        <f t="shared" si="34"/>
        <v>374.41635000000008</v>
      </c>
      <c r="AF479" s="57">
        <v>0</v>
      </c>
      <c r="AG479" s="55">
        <v>0</v>
      </c>
      <c r="AH479" s="55">
        <v>0</v>
      </c>
      <c r="AI479" s="52">
        <f t="shared" si="35"/>
        <v>6.9441411946887452E-2</v>
      </c>
      <c r="AJ479" s="51"/>
      <c r="AM479" s="5">
        <v>1.661764705882353</v>
      </c>
      <c r="AN479" s="5">
        <v>1.9264705882352939</v>
      </c>
      <c r="AO479" s="5">
        <v>0.97058823529411764</v>
      </c>
      <c r="AP479" s="5">
        <v>1.029411764705882</v>
      </c>
      <c r="AQ479" s="5">
        <v>0.29736842105263162</v>
      </c>
      <c r="AR479" s="5">
        <v>0.34473684210526317</v>
      </c>
      <c r="AS479" s="5">
        <v>0.1736842105263158</v>
      </c>
      <c r="AT479" s="5">
        <v>0.18421052631578949</v>
      </c>
      <c r="AU479" s="41">
        <v>0.82</v>
      </c>
      <c r="AV479" s="41">
        <v>3.44</v>
      </c>
      <c r="AW479" s="41">
        <v>2.62</v>
      </c>
      <c r="AX479" s="41">
        <v>2.5938235294117651</v>
      </c>
      <c r="AY479" s="5">
        <v>2.5938235294117651</v>
      </c>
      <c r="AZ479" s="5">
        <v>6.5012509424665001</v>
      </c>
      <c r="BD479">
        <v>3.4720705973443733E-2</v>
      </c>
      <c r="BH479">
        <v>6.9441411946887452E-2</v>
      </c>
      <c r="BI479">
        <v>3.4720705973443733E-2</v>
      </c>
      <c r="BJ479">
        <v>0</v>
      </c>
    </row>
    <row r="480" spans="1:62" x14ac:dyDescent="0.3">
      <c r="A480" s="5" t="s">
        <v>398</v>
      </c>
      <c r="B480" s="43" t="s">
        <v>1060</v>
      </c>
      <c r="C480" s="39"/>
      <c r="D480" s="5"/>
      <c r="E480" s="5"/>
      <c r="F480" s="5">
        <v>3.17</v>
      </c>
      <c r="G480" s="5" t="s">
        <v>393</v>
      </c>
      <c r="H480" s="40">
        <v>-2</v>
      </c>
      <c r="I480" s="5">
        <v>-1</v>
      </c>
      <c r="J480" s="5"/>
      <c r="K480" s="5">
        <v>1</v>
      </c>
      <c r="L480" s="41">
        <v>0</v>
      </c>
      <c r="M480">
        <v>0</v>
      </c>
      <c r="N480">
        <v>0</v>
      </c>
      <c r="O480" s="2">
        <v>3.85</v>
      </c>
      <c r="P480" s="2">
        <v>3.85</v>
      </c>
      <c r="Q480" s="5">
        <v>27.23</v>
      </c>
      <c r="R480" s="5"/>
      <c r="S480" s="5"/>
      <c r="T480" s="41">
        <v>0</v>
      </c>
      <c r="U480" s="41"/>
      <c r="V480" s="41"/>
      <c r="W480">
        <v>0</v>
      </c>
      <c r="Z480">
        <v>0</v>
      </c>
      <c r="AC480" s="5"/>
      <c r="AD480" s="5">
        <v>26</v>
      </c>
      <c r="AE480" s="55">
        <f t="shared" si="34"/>
        <v>403.61667500000004</v>
      </c>
      <c r="AF480" s="57">
        <v>0</v>
      </c>
      <c r="AG480" s="55">
        <v>0</v>
      </c>
      <c r="AH480" s="55">
        <v>0</v>
      </c>
      <c r="AI480" s="52">
        <f t="shared" si="35"/>
        <v>6.4417556583855201E-2</v>
      </c>
      <c r="AJ480" s="51"/>
      <c r="AM480" s="5">
        <v>1.6351351351351351</v>
      </c>
      <c r="AN480" s="5">
        <v>1.8243243243243239</v>
      </c>
      <c r="AO480" s="5">
        <v>0.89189189189189189</v>
      </c>
      <c r="AP480" s="5">
        <v>0.94594594594594594</v>
      </c>
      <c r="AQ480" s="5">
        <v>0.30867346938775508</v>
      </c>
      <c r="AR480" s="5">
        <v>0.34438775510204078</v>
      </c>
      <c r="AS480" s="5">
        <v>0.1683673469387755</v>
      </c>
      <c r="AT480" s="5">
        <v>0.1785714285714286</v>
      </c>
      <c r="AU480" s="41">
        <v>0.82</v>
      </c>
      <c r="AV480" s="41">
        <v>3.44</v>
      </c>
      <c r="AW480" s="41">
        <v>2.62</v>
      </c>
      <c r="AX480" s="41">
        <v>2.5713513513513511</v>
      </c>
      <c r="AY480" s="5">
        <v>2.571351351351352</v>
      </c>
      <c r="AZ480" s="5">
        <v>6.5312639310692706</v>
      </c>
      <c r="BD480">
        <v>3.2208778291927601E-2</v>
      </c>
      <c r="BH480">
        <v>6.4417556583855201E-2</v>
      </c>
      <c r="BI480">
        <v>3.2208778291927601E-2</v>
      </c>
      <c r="BJ480">
        <v>0</v>
      </c>
    </row>
    <row r="481" spans="1:62" x14ac:dyDescent="0.3">
      <c r="A481" s="5" t="s">
        <v>399</v>
      </c>
      <c r="B481" s="43" t="s">
        <v>1061</v>
      </c>
      <c r="C481" s="39"/>
      <c r="D481" s="5"/>
      <c r="E481" s="5"/>
      <c r="F481" s="5">
        <v>3.15</v>
      </c>
      <c r="G481" s="5" t="s">
        <v>393</v>
      </c>
      <c r="H481" s="40">
        <v>-2</v>
      </c>
      <c r="I481" s="5">
        <v>-1</v>
      </c>
      <c r="J481" s="5"/>
      <c r="K481" s="5">
        <v>1</v>
      </c>
      <c r="L481" s="41">
        <v>0</v>
      </c>
      <c r="M481">
        <v>0</v>
      </c>
      <c r="N481">
        <v>0</v>
      </c>
      <c r="O481" s="2">
        <v>3.85</v>
      </c>
      <c r="P481" s="2">
        <v>3.85</v>
      </c>
      <c r="Q481" s="5">
        <v>33.19</v>
      </c>
      <c r="R481" s="5"/>
      <c r="S481" s="5"/>
      <c r="T481" s="41">
        <v>0</v>
      </c>
      <c r="U481" s="41"/>
      <c r="V481" s="41"/>
      <c r="W481">
        <v>0</v>
      </c>
      <c r="Z481">
        <v>0</v>
      </c>
      <c r="AC481" s="5"/>
      <c r="AD481" s="5">
        <v>26</v>
      </c>
      <c r="AE481" s="55">
        <f t="shared" si="34"/>
        <v>491.958775</v>
      </c>
      <c r="AF481" s="57">
        <v>0</v>
      </c>
      <c r="AG481" s="55">
        <v>0</v>
      </c>
      <c r="AH481" s="55">
        <v>0</v>
      </c>
      <c r="AI481" s="52">
        <f t="shared" si="35"/>
        <v>5.2849956787537733E-2</v>
      </c>
      <c r="AJ481" s="51"/>
      <c r="AM481" s="5">
        <v>1.593023255813953</v>
      </c>
      <c r="AN481" s="5">
        <v>1.6627906976744189</v>
      </c>
      <c r="AO481" s="5">
        <v>0.76744186046511631</v>
      </c>
      <c r="AP481" s="5">
        <v>0.81395348837209303</v>
      </c>
      <c r="AQ481" s="5">
        <v>0.32932692307692307</v>
      </c>
      <c r="AR481" s="5">
        <v>0.34375000000000011</v>
      </c>
      <c r="AS481" s="5">
        <v>0.1586538461538462</v>
      </c>
      <c r="AT481" s="5">
        <v>0.16826923076923081</v>
      </c>
      <c r="AU481" s="41">
        <v>0.82</v>
      </c>
      <c r="AV481" s="41">
        <v>3.44</v>
      </c>
      <c r="AW481" s="41">
        <v>2.62</v>
      </c>
      <c r="AX481" s="41">
        <v>2.5358139534883719</v>
      </c>
      <c r="AY481" s="5">
        <v>2.5358139534883719</v>
      </c>
      <c r="AZ481" s="5">
        <v>6.5787263316503957</v>
      </c>
      <c r="BD481">
        <v>2.642497839376887E-2</v>
      </c>
      <c r="BH481">
        <v>5.2849956787537733E-2</v>
      </c>
      <c r="BI481">
        <v>2.642497839376887E-2</v>
      </c>
      <c r="BJ481">
        <v>0</v>
      </c>
    </row>
    <row r="482" spans="1:62" x14ac:dyDescent="0.3">
      <c r="A482" s="5" t="s">
        <v>400</v>
      </c>
      <c r="B482" s="43" t="s">
        <v>1062</v>
      </c>
      <c r="C482" s="39"/>
      <c r="D482" s="5"/>
      <c r="E482" s="5"/>
      <c r="F482" s="5">
        <v>3.15</v>
      </c>
      <c r="G482" s="5" t="s">
        <v>393</v>
      </c>
      <c r="H482" s="49">
        <v>-2</v>
      </c>
      <c r="I482" s="5">
        <v>-1</v>
      </c>
      <c r="J482" s="5"/>
      <c r="K482" s="5">
        <v>1</v>
      </c>
      <c r="L482" s="41">
        <v>0</v>
      </c>
      <c r="M482">
        <v>0</v>
      </c>
      <c r="N482">
        <v>0</v>
      </c>
      <c r="O482" s="2">
        <v>3.85</v>
      </c>
      <c r="P482" s="2">
        <v>3.85</v>
      </c>
      <c r="Q482" s="5">
        <v>38.67</v>
      </c>
      <c r="R482" s="5"/>
      <c r="S482" s="5"/>
      <c r="T482" s="41">
        <v>0</v>
      </c>
      <c r="U482" s="41"/>
      <c r="V482" s="41"/>
      <c r="W482">
        <v>0</v>
      </c>
      <c r="Z482">
        <v>0</v>
      </c>
      <c r="AC482" s="5"/>
      <c r="AD482" s="5">
        <v>26</v>
      </c>
      <c r="AE482" s="55">
        <f t="shared" si="34"/>
        <v>573.18607500000007</v>
      </c>
      <c r="AF482" s="57">
        <v>0</v>
      </c>
      <c r="AG482" s="55">
        <v>0</v>
      </c>
      <c r="AH482" s="55">
        <v>0</v>
      </c>
      <c r="AI482" s="52">
        <f t="shared" si="35"/>
        <v>4.5360487866004065E-2</v>
      </c>
      <c r="AJ482" s="51"/>
      <c r="AM482" s="5">
        <v>1.561224489795918</v>
      </c>
      <c r="AN482" s="5">
        <v>1.5408163265306121</v>
      </c>
      <c r="AO482" s="5">
        <v>0.67346938775510201</v>
      </c>
      <c r="AP482" s="5">
        <v>0.7142857142857143</v>
      </c>
      <c r="AQ482" s="5">
        <v>0.34772727272727277</v>
      </c>
      <c r="AR482" s="5">
        <v>0.3431818181818182</v>
      </c>
      <c r="AS482" s="5">
        <v>0.15</v>
      </c>
      <c r="AT482" s="5">
        <v>0.15909090909090909</v>
      </c>
      <c r="AU482" s="41">
        <v>0.82</v>
      </c>
      <c r="AV482" s="41">
        <v>3.44</v>
      </c>
      <c r="AW482" s="41">
        <v>2.62</v>
      </c>
      <c r="AX482" s="41">
        <v>2.5089795918367348</v>
      </c>
      <c r="AY482" s="5">
        <v>2.5089795918367348</v>
      </c>
      <c r="AZ482" s="5">
        <v>6.6145652871912439</v>
      </c>
      <c r="BD482">
        <v>2.2680243933002029E-2</v>
      </c>
      <c r="BH482">
        <v>4.5360487866004072E-2</v>
      </c>
      <c r="BI482">
        <v>2.2680243933002029E-2</v>
      </c>
      <c r="BJ482">
        <v>0</v>
      </c>
    </row>
    <row r="483" spans="1:62" x14ac:dyDescent="0.3">
      <c r="A483" s="2" t="s">
        <v>381</v>
      </c>
      <c r="B483" s="13" t="s">
        <v>838</v>
      </c>
      <c r="C483" s="13"/>
      <c r="F483" s="2">
        <v>3.46</v>
      </c>
      <c r="G483" s="2" t="s">
        <v>401</v>
      </c>
      <c r="H483" s="9">
        <v>-1</v>
      </c>
      <c r="I483">
        <v>-1</v>
      </c>
      <c r="J483"/>
      <c r="K483" s="2">
        <v>2</v>
      </c>
      <c r="L483" s="25">
        <v>0</v>
      </c>
      <c r="M483">
        <v>0</v>
      </c>
      <c r="N483">
        <v>0</v>
      </c>
      <c r="O483" s="2">
        <v>3.7829999999999999</v>
      </c>
      <c r="P483" s="2">
        <v>3.7829999999999999</v>
      </c>
      <c r="Q483" s="2">
        <v>27.18</v>
      </c>
      <c r="R483" s="2" t="s">
        <v>1131</v>
      </c>
      <c r="T483" s="25">
        <v>0</v>
      </c>
      <c r="U483" s="25"/>
      <c r="V483" s="25"/>
      <c r="W483">
        <v>0</v>
      </c>
      <c r="Z483">
        <v>0</v>
      </c>
      <c r="AD483">
        <v>20</v>
      </c>
      <c r="AE483" s="55">
        <f t="shared" si="34"/>
        <v>388.97539902</v>
      </c>
      <c r="AF483" s="57">
        <v>0</v>
      </c>
      <c r="AG483" s="55">
        <v>0</v>
      </c>
      <c r="AH483" s="55">
        <v>0</v>
      </c>
      <c r="AI483" s="52">
        <f t="shared" si="35"/>
        <v>0.10283426689908304</v>
      </c>
      <c r="AJ483" s="51"/>
      <c r="AM483" s="28">
        <v>1.882352941176471</v>
      </c>
      <c r="AN483" s="28">
        <v>2.3529411764705879</v>
      </c>
      <c r="AO483" s="28">
        <v>0.35294117647058831</v>
      </c>
      <c r="AP483" s="28">
        <v>0.47058823529411759</v>
      </c>
      <c r="AQ483" s="28">
        <v>0.37209302325581389</v>
      </c>
      <c r="AR483" s="28">
        <v>0.46511627906976749</v>
      </c>
      <c r="AS483" s="28">
        <v>6.9767441860465129E-2</v>
      </c>
      <c r="AT483" s="28">
        <v>9.3023255813953487E-2</v>
      </c>
      <c r="AU483" s="25">
        <v>1.1399999999999999</v>
      </c>
      <c r="AV483" s="25">
        <v>3.44</v>
      </c>
      <c r="AW483" s="25">
        <v>2.2999999999999998</v>
      </c>
      <c r="AX483" s="25">
        <v>2.6882352941176468</v>
      </c>
      <c r="AY483">
        <v>2.6882352941176468</v>
      </c>
      <c r="AZ483">
        <v>6.2192249941001183</v>
      </c>
      <c r="BD483">
        <v>5.1417133449541519E-2</v>
      </c>
      <c r="BH483">
        <v>0.102834266899083</v>
      </c>
      <c r="BI483">
        <v>5.1417133449541519E-2</v>
      </c>
      <c r="BJ483">
        <v>0</v>
      </c>
    </row>
    <row r="484" spans="1:62" x14ac:dyDescent="0.3">
      <c r="A484" s="2" t="s">
        <v>385</v>
      </c>
      <c r="B484" s="18" t="s">
        <v>1063</v>
      </c>
      <c r="C484" s="13"/>
      <c r="F484" s="2">
        <v>3.58</v>
      </c>
      <c r="G484" s="2" t="s">
        <v>401</v>
      </c>
      <c r="H484" s="9">
        <v>-1</v>
      </c>
      <c r="I484">
        <v>-1</v>
      </c>
      <c r="J484"/>
      <c r="K484" s="2">
        <v>1</v>
      </c>
      <c r="L484" s="25">
        <v>0</v>
      </c>
      <c r="M484">
        <v>0</v>
      </c>
      <c r="N484">
        <v>0</v>
      </c>
      <c r="O484" s="2">
        <v>3.802</v>
      </c>
      <c r="P484" s="2">
        <v>3.802</v>
      </c>
      <c r="Q484" s="2">
        <v>24.7</v>
      </c>
      <c r="R484" s="2" t="s">
        <v>439</v>
      </c>
      <c r="T484" s="25">
        <v>0</v>
      </c>
      <c r="U484" s="25"/>
      <c r="V484" s="25"/>
      <c r="W484">
        <v>0</v>
      </c>
      <c r="Z484">
        <v>0</v>
      </c>
      <c r="AD484">
        <v>20</v>
      </c>
      <c r="AE484" s="55">
        <f t="shared" si="34"/>
        <v>357.04353880000002</v>
      </c>
      <c r="AF484" s="57">
        <v>0</v>
      </c>
      <c r="AG484" s="55">
        <v>0</v>
      </c>
      <c r="AH484" s="55">
        <v>0</v>
      </c>
      <c r="AI484" s="52">
        <f t="shared" si="35"/>
        <v>5.6015577448113731E-2</v>
      </c>
      <c r="AJ484" s="51"/>
      <c r="AM484" s="28">
        <v>1.606060606060606</v>
      </c>
      <c r="AN484" s="28">
        <v>1.545454545454545</v>
      </c>
      <c r="AO484" s="28">
        <v>0.1818181818181818</v>
      </c>
      <c r="AP484" s="28">
        <v>0.2424242424242424</v>
      </c>
      <c r="AQ484" s="28">
        <v>0.44915254237288132</v>
      </c>
      <c r="AR484" s="28">
        <v>0.43220338983050849</v>
      </c>
      <c r="AS484" s="28">
        <v>5.0847457627118647E-2</v>
      </c>
      <c r="AT484" s="28">
        <v>6.7796610169491525E-2</v>
      </c>
      <c r="AU484" s="25">
        <v>1.1399999999999999</v>
      </c>
      <c r="AV484" s="25">
        <v>3.44</v>
      </c>
      <c r="AW484" s="25">
        <v>2.2999999999999998</v>
      </c>
      <c r="AX484" s="25">
        <v>2.51939393939394</v>
      </c>
      <c r="AY484">
        <v>2.51939393939394</v>
      </c>
      <c r="AZ484">
        <v>6.5741021946079687</v>
      </c>
      <c r="BD484">
        <v>2.8007788724056869E-2</v>
      </c>
      <c r="BH484">
        <v>5.6015577448113731E-2</v>
      </c>
      <c r="BI484">
        <v>2.8007788724056869E-2</v>
      </c>
      <c r="BJ484">
        <v>0</v>
      </c>
    </row>
    <row r="485" spans="1:62" x14ac:dyDescent="0.3">
      <c r="A485" s="2" t="s">
        <v>51</v>
      </c>
      <c r="B485" s="13" t="s">
        <v>703</v>
      </c>
      <c r="C485" s="13"/>
      <c r="F485" s="2">
        <v>5.5</v>
      </c>
      <c r="G485" s="2" t="s">
        <v>52</v>
      </c>
      <c r="H485" s="70" t="s">
        <v>536</v>
      </c>
      <c r="I485" t="s">
        <v>617</v>
      </c>
      <c r="J485"/>
      <c r="L485" s="25">
        <v>1</v>
      </c>
      <c r="M485">
        <v>4</v>
      </c>
      <c r="N485">
        <v>0</v>
      </c>
      <c r="O485" s="2">
        <v>-1</v>
      </c>
      <c r="T485" s="25">
        <v>12.88926011</v>
      </c>
      <c r="U485" s="25">
        <v>12.88926011</v>
      </c>
      <c r="V485" s="25">
        <v>12.88926011</v>
      </c>
      <c r="W485">
        <v>5.5223699999999996</v>
      </c>
      <c r="X485">
        <v>5.5240799999999997</v>
      </c>
      <c r="Y485">
        <v>25.026399999999999</v>
      </c>
      <c r="Z485">
        <v>0</v>
      </c>
      <c r="AD485">
        <v>18</v>
      </c>
      <c r="AE485" s="55">
        <f t="shared" si="34"/>
        <v>0</v>
      </c>
      <c r="AF485" s="57">
        <v>195.03203980213701</v>
      </c>
      <c r="AG485" s="55">
        <v>763.45570050087724</v>
      </c>
      <c r="AH485" s="55">
        <v>0</v>
      </c>
      <c r="AJ485" s="51">
        <v>9.2292528029042184E-2</v>
      </c>
      <c r="AK485" s="52">
        <v>9.4308025930991482E-2</v>
      </c>
      <c r="AM485" s="28">
        <v>2</v>
      </c>
      <c r="AN485" s="28">
        <v>3</v>
      </c>
      <c r="AO485" s="28">
        <v>1.857142857142857</v>
      </c>
      <c r="AP485" s="28">
        <v>4</v>
      </c>
      <c r="AQ485" s="28">
        <v>0.18421052631578949</v>
      </c>
      <c r="AR485" s="28">
        <v>0.27631578947368418</v>
      </c>
      <c r="AS485" s="28">
        <v>0.1710526315789474</v>
      </c>
      <c r="AT485" s="28">
        <v>0.36842105263157893</v>
      </c>
      <c r="AU485" s="25">
        <v>0.95</v>
      </c>
      <c r="AV485" s="25">
        <v>3.44</v>
      </c>
      <c r="AW485" s="25">
        <v>2.4900000000000002</v>
      </c>
      <c r="AX485" s="25">
        <v>2.782142857142857</v>
      </c>
      <c r="AY485">
        <v>2.7821428571428579</v>
      </c>
      <c r="AZ485">
        <v>6.2021612289285706</v>
      </c>
      <c r="BA485" s="75">
        <v>0.52524560229640982</v>
      </c>
      <c r="BB485" s="75">
        <v>0.53671599358424449</v>
      </c>
      <c r="BE485">
        <v>4.6146264014521092E-2</v>
      </c>
      <c r="BF485">
        <v>4.7154012965495741E-2</v>
      </c>
      <c r="BH485">
        <v>9.3300276980016833E-2</v>
      </c>
      <c r="BI485">
        <v>4.6650138490008423E-2</v>
      </c>
      <c r="BJ485">
        <v>0.53098079794032715</v>
      </c>
    </row>
    <row r="486" spans="1:62" x14ac:dyDescent="0.3">
      <c r="A486" s="2" t="s">
        <v>403</v>
      </c>
      <c r="B486" s="17" t="s">
        <v>956</v>
      </c>
      <c r="C486" s="13"/>
      <c r="F486" s="2">
        <v>3.76</v>
      </c>
      <c r="G486" s="2" t="s">
        <v>402</v>
      </c>
      <c r="H486" s="9">
        <v>-1</v>
      </c>
      <c r="I486">
        <v>-1</v>
      </c>
      <c r="J486"/>
      <c r="K486" s="2">
        <v>2</v>
      </c>
      <c r="L486" s="25">
        <v>0</v>
      </c>
      <c r="M486">
        <v>0</v>
      </c>
      <c r="N486">
        <v>0</v>
      </c>
      <c r="O486" s="2">
        <v>3.9</v>
      </c>
      <c r="P486" s="2">
        <v>3.9</v>
      </c>
      <c r="Q486" s="2">
        <f>15.91*2</f>
        <v>31.82</v>
      </c>
      <c r="T486" s="25">
        <v>0</v>
      </c>
      <c r="U486" s="25"/>
      <c r="V486" s="25"/>
      <c r="W486">
        <v>0</v>
      </c>
      <c r="Z486">
        <v>0</v>
      </c>
      <c r="AD486">
        <v>20</v>
      </c>
      <c r="AE486" s="55">
        <f t="shared" si="34"/>
        <v>483.98219999999998</v>
      </c>
      <c r="AF486" s="57">
        <v>0</v>
      </c>
      <c r="AG486" s="55">
        <v>0</v>
      </c>
      <c r="AH486" s="55">
        <v>0</v>
      </c>
      <c r="AI486" s="52">
        <f>K486*AD486/AE486</f>
        <v>8.2647667620833989E-2</v>
      </c>
      <c r="AJ486" s="51"/>
      <c r="AM486" s="28">
        <v>1.882352941176471</v>
      </c>
      <c r="AN486" s="28">
        <v>2.3529411764705879</v>
      </c>
      <c r="AO486" s="28">
        <v>0.43529411764705878</v>
      </c>
      <c r="AP486" s="28">
        <v>0.82352941176470584</v>
      </c>
      <c r="AQ486" s="28">
        <v>0.34261241970021411</v>
      </c>
      <c r="AR486" s="28">
        <v>0.42826552462526768</v>
      </c>
      <c r="AS486" s="28">
        <v>7.922912205567452E-2</v>
      </c>
      <c r="AT486" s="28">
        <v>0.1498929336188437</v>
      </c>
      <c r="AU486" s="25">
        <v>0.82</v>
      </c>
      <c r="AV486" s="25">
        <v>3.44</v>
      </c>
      <c r="AW486" s="25">
        <v>2.62</v>
      </c>
      <c r="AX486" s="25">
        <v>2.5324117647058819</v>
      </c>
      <c r="AY486">
        <v>2.532941176470588</v>
      </c>
      <c r="AZ486">
        <v>5.690008021176471</v>
      </c>
      <c r="BD486">
        <v>4.1323833810416988E-2</v>
      </c>
      <c r="BH486">
        <v>8.2647667620833989E-2</v>
      </c>
      <c r="BI486">
        <v>4.1323833810416988E-2</v>
      </c>
      <c r="BJ486">
        <v>0</v>
      </c>
    </row>
    <row r="487" spans="1:62" x14ac:dyDescent="0.3">
      <c r="A487" s="2" t="s">
        <v>404</v>
      </c>
      <c r="B487" s="33" t="s">
        <v>957</v>
      </c>
      <c r="C487" s="34"/>
      <c r="F487" s="2">
        <v>3.88</v>
      </c>
      <c r="G487" s="2" t="s">
        <v>402</v>
      </c>
      <c r="H487" s="35">
        <v>-1</v>
      </c>
      <c r="I487" s="2">
        <v>-1</v>
      </c>
      <c r="K487" s="2">
        <v>2</v>
      </c>
      <c r="L487" s="29">
        <v>0</v>
      </c>
      <c r="M487">
        <v>0</v>
      </c>
      <c r="N487">
        <v>0</v>
      </c>
      <c r="O487" s="2">
        <v>3.8050000000000002</v>
      </c>
      <c r="P487" s="2">
        <v>3.8050000000000002</v>
      </c>
      <c r="Q487" s="2">
        <v>27.44</v>
      </c>
      <c r="R487" s="2" t="s">
        <v>1131</v>
      </c>
      <c r="T487" s="29">
        <v>0</v>
      </c>
      <c r="U487" s="29"/>
      <c r="V487" s="29"/>
      <c r="W487">
        <v>0</v>
      </c>
      <c r="Z487">
        <v>0</v>
      </c>
      <c r="AD487" s="2">
        <v>20</v>
      </c>
      <c r="AE487" s="55">
        <f t="shared" si="34"/>
        <v>397.27700600000003</v>
      </c>
      <c r="AF487" s="57">
        <v>0</v>
      </c>
      <c r="AG487" s="55">
        <v>0</v>
      </c>
      <c r="AH487" s="55">
        <v>0</v>
      </c>
      <c r="AI487" s="52">
        <f>K487*AD487/AE487</f>
        <v>0.10068541444857747</v>
      </c>
      <c r="AJ487" s="51"/>
      <c r="AM487" s="2">
        <v>1.882352941176471</v>
      </c>
      <c r="AN487" s="2">
        <v>2.3529411764705879</v>
      </c>
      <c r="AO487" s="2">
        <v>0.43529411764705878</v>
      </c>
      <c r="AP487" s="2">
        <v>0.82352941176470584</v>
      </c>
      <c r="AQ487" s="2">
        <v>0.34261241970021411</v>
      </c>
      <c r="AR487" s="2">
        <v>0.42826552462526768</v>
      </c>
      <c r="AS487" s="2">
        <v>7.922912205567452E-2</v>
      </c>
      <c r="AT487" s="2">
        <v>0.1498929336188437</v>
      </c>
      <c r="AU487" s="29">
        <v>1.1850000000000001</v>
      </c>
      <c r="AV487" s="29">
        <v>3.44</v>
      </c>
      <c r="AW487" s="29">
        <v>2.2549999999999999</v>
      </c>
      <c r="AX487" s="29">
        <v>2.6947647058823532</v>
      </c>
      <c r="AY487" s="2">
        <v>2.6952941176470588</v>
      </c>
      <c r="AZ487" s="2">
        <v>6.2494732999824709</v>
      </c>
      <c r="BD487">
        <v>5.0342707224288727E-2</v>
      </c>
      <c r="BH487">
        <v>0.1006854144485775</v>
      </c>
      <c r="BI487">
        <v>5.0342707224288727E-2</v>
      </c>
      <c r="BJ487">
        <v>0</v>
      </c>
    </row>
    <row r="488" spans="1:62" x14ac:dyDescent="0.3">
      <c r="A488" s="2" t="s">
        <v>405</v>
      </c>
      <c r="B488" s="17" t="s">
        <v>958</v>
      </c>
      <c r="C488" s="13"/>
      <c r="F488" s="2">
        <v>4.51</v>
      </c>
      <c r="G488" s="2" t="s">
        <v>402</v>
      </c>
      <c r="H488" s="9">
        <v>-1</v>
      </c>
      <c r="I488">
        <v>-1</v>
      </c>
      <c r="J488" s="1" t="s">
        <v>1184</v>
      </c>
      <c r="L488" s="25">
        <v>0</v>
      </c>
      <c r="M488">
        <v>0</v>
      </c>
      <c r="N488">
        <v>0</v>
      </c>
      <c r="O488" s="2">
        <v>-1</v>
      </c>
      <c r="T488" s="25">
        <v>0</v>
      </c>
      <c r="U488" s="25"/>
      <c r="V488" s="25"/>
      <c r="W488">
        <v>0</v>
      </c>
      <c r="Z488">
        <v>0</v>
      </c>
      <c r="AD488">
        <v>14</v>
      </c>
      <c r="AE488" s="55">
        <f t="shared" si="34"/>
        <v>0</v>
      </c>
      <c r="AF488" s="57">
        <v>0</v>
      </c>
      <c r="AG488" s="55">
        <v>0</v>
      </c>
      <c r="AH488" s="55">
        <v>0</v>
      </c>
      <c r="AJ488" s="51"/>
      <c r="AM488" s="28">
        <v>1.9090909090909089</v>
      </c>
      <c r="AN488" s="28">
        <v>2.545454545454545</v>
      </c>
      <c r="AO488" s="28">
        <v>0.60909090909090913</v>
      </c>
      <c r="AP488" s="28">
        <v>2.790909090909091</v>
      </c>
      <c r="AQ488" s="28">
        <v>0.24305555555555561</v>
      </c>
      <c r="AR488" s="28">
        <v>0.32407407407407413</v>
      </c>
      <c r="AS488" s="28">
        <v>7.7546296296296308E-2</v>
      </c>
      <c r="AT488" s="28">
        <v>0.35532407407407413</v>
      </c>
      <c r="AU488" s="25">
        <v>0.82</v>
      </c>
      <c r="AV488" s="25">
        <v>3.44</v>
      </c>
      <c r="AW488" s="25">
        <v>2.62</v>
      </c>
      <c r="AX488" s="25">
        <v>2.6393636363636359</v>
      </c>
      <c r="AY488">
        <v>2.6363636363636358</v>
      </c>
      <c r="AZ488">
        <v>6.0025089159090914</v>
      </c>
      <c r="BH488">
        <v>0</v>
      </c>
      <c r="BI488">
        <v>0</v>
      </c>
      <c r="BJ488">
        <v>0</v>
      </c>
    </row>
    <row r="489" spans="1:62" x14ac:dyDescent="0.3">
      <c r="A489" s="2" t="s">
        <v>1190</v>
      </c>
      <c r="B489" s="33" t="s">
        <v>959</v>
      </c>
      <c r="C489" s="34"/>
      <c r="F489" s="2">
        <v>5.4</v>
      </c>
      <c r="G489" s="2" t="s">
        <v>402</v>
      </c>
      <c r="H489" s="35">
        <v>-1</v>
      </c>
      <c r="I489" s="2">
        <v>-1</v>
      </c>
      <c r="J489" s="2" t="s">
        <v>1164</v>
      </c>
      <c r="L489" s="29">
        <v>0</v>
      </c>
      <c r="M489">
        <v>0</v>
      </c>
      <c r="N489">
        <v>1</v>
      </c>
      <c r="O489" s="2">
        <v>3.89</v>
      </c>
      <c r="P489" s="2">
        <v>3.89</v>
      </c>
      <c r="Q489" s="2">
        <v>10.34</v>
      </c>
      <c r="R489" s="2" t="s">
        <v>440</v>
      </c>
      <c r="T489" s="29">
        <v>0</v>
      </c>
      <c r="U489" s="29"/>
      <c r="V489" s="29"/>
      <c r="W489">
        <v>0</v>
      </c>
      <c r="Z489">
        <v>3.88</v>
      </c>
      <c r="AA489">
        <v>3.88</v>
      </c>
      <c r="AB489">
        <v>10.66</v>
      </c>
      <c r="AD489" s="2">
        <v>14</v>
      </c>
      <c r="AE489" s="55">
        <f t="shared" si="34"/>
        <v>156.465914</v>
      </c>
      <c r="AF489" s="57">
        <v>0</v>
      </c>
      <c r="AG489" s="55">
        <v>0</v>
      </c>
      <c r="AH489" s="55">
        <v>160.479904</v>
      </c>
      <c r="AJ489" s="51"/>
      <c r="AL489" s="67">
        <f>N489*AD489/AH489</f>
        <v>8.7238337331009372E-2</v>
      </c>
      <c r="AM489" s="2">
        <v>2</v>
      </c>
      <c r="AN489" s="2">
        <v>2.8</v>
      </c>
      <c r="AO489" s="2">
        <v>0.67</v>
      </c>
      <c r="AP489" s="2">
        <v>3.07</v>
      </c>
      <c r="AQ489" s="2">
        <v>0.23419203747072601</v>
      </c>
      <c r="AR489" s="2">
        <v>0.32786885245901642</v>
      </c>
      <c r="AS489" s="2">
        <v>7.8454332552693226E-2</v>
      </c>
      <c r="AT489" s="2">
        <v>0.35948477751756441</v>
      </c>
      <c r="AU489" s="29">
        <v>1.1000000000000001</v>
      </c>
      <c r="AV489" s="29">
        <v>3.44</v>
      </c>
      <c r="AW489" s="29">
        <v>2.34</v>
      </c>
      <c r="AX489" s="29">
        <v>2.8212999999999999</v>
      </c>
      <c r="AY489" s="2">
        <v>2.8180000000000001</v>
      </c>
      <c r="AZ489" s="2">
        <v>6.3696075919999986</v>
      </c>
      <c r="BC489" s="75">
        <v>0</v>
      </c>
      <c r="BG489">
        <v>4.3619168665504693E-2</v>
      </c>
      <c r="BH489">
        <v>8.7238337331009372E-2</v>
      </c>
      <c r="BI489">
        <v>4.3619168665504693E-2</v>
      </c>
      <c r="BJ489">
        <v>0</v>
      </c>
    </row>
    <row r="490" spans="1:62" x14ac:dyDescent="0.3">
      <c r="A490" s="2" t="s">
        <v>406</v>
      </c>
      <c r="B490" s="17" t="s">
        <v>960</v>
      </c>
      <c r="C490" s="13"/>
      <c r="F490" s="2">
        <v>0.01</v>
      </c>
      <c r="G490" s="2" t="s">
        <v>408</v>
      </c>
      <c r="H490" s="9">
        <v>-1</v>
      </c>
      <c r="I490">
        <v>4101345</v>
      </c>
      <c r="J490"/>
      <c r="L490" s="25">
        <v>0</v>
      </c>
      <c r="M490">
        <v>2</v>
      </c>
      <c r="N490">
        <v>2</v>
      </c>
      <c r="O490" s="2">
        <v>5.3959999999999999</v>
      </c>
      <c r="P490" s="2">
        <v>5.4489999999999998</v>
      </c>
      <c r="Q490" s="2">
        <v>20.521999999999998</v>
      </c>
      <c r="R490" s="2" t="s">
        <v>1135</v>
      </c>
      <c r="T490" s="25">
        <v>0</v>
      </c>
      <c r="U490" s="25"/>
      <c r="V490" s="25"/>
      <c r="W490">
        <v>3.9685999999999999</v>
      </c>
      <c r="X490">
        <v>3.9685999999999999</v>
      </c>
      <c r="Y490">
        <v>19.3154</v>
      </c>
      <c r="Z490">
        <v>0</v>
      </c>
      <c r="AD490">
        <v>13.84</v>
      </c>
      <c r="AE490" s="55">
        <f t="shared" si="34"/>
        <v>603.40434368799993</v>
      </c>
      <c r="AF490" s="57">
        <v>0</v>
      </c>
      <c r="AG490" s="55">
        <v>0</v>
      </c>
      <c r="AH490" s="55">
        <v>304.20999999999998</v>
      </c>
      <c r="AJ490" s="51"/>
      <c r="AL490" s="67">
        <f>N490*AD490/AH490</f>
        <v>9.0989776798921798E-2</v>
      </c>
      <c r="AM490" s="28">
        <v>2</v>
      </c>
      <c r="AN490" s="28">
        <v>2.3221476510067109</v>
      </c>
      <c r="AO490" s="28">
        <v>1.593959731543624</v>
      </c>
      <c r="AP490" s="28">
        <v>0</v>
      </c>
      <c r="AQ490" s="28">
        <v>0.33806012478729441</v>
      </c>
      <c r="AR490" s="28">
        <v>0.39251276233692572</v>
      </c>
      <c r="AS490" s="28">
        <v>0.26942711287577992</v>
      </c>
      <c r="AT490" s="28">
        <v>0</v>
      </c>
      <c r="AU490" s="25">
        <v>1.1000000000000001</v>
      </c>
      <c r="AV490" s="25">
        <v>3.44</v>
      </c>
      <c r="AW490" s="25">
        <v>2.34</v>
      </c>
      <c r="AX490" s="25">
        <v>2.5943624161073831</v>
      </c>
      <c r="AY490">
        <v>2.5943624161073831</v>
      </c>
      <c r="AZ490">
        <v>5.8869633505033558</v>
      </c>
      <c r="BB490" s="75">
        <v>0.46352185946891089</v>
      </c>
      <c r="BF490" t="s">
        <v>459</v>
      </c>
      <c r="BG490">
        <v>4.5494888399460899E-2</v>
      </c>
      <c r="BH490">
        <v>9.0989776798921798E-2</v>
      </c>
      <c r="BI490" t="s">
        <v>459</v>
      </c>
      <c r="BJ490">
        <v>0.46352185946891089</v>
      </c>
    </row>
    <row r="491" spans="1:62" x14ac:dyDescent="0.3">
      <c r="A491" s="2" t="s">
        <v>407</v>
      </c>
      <c r="B491" s="17" t="s">
        <v>961</v>
      </c>
      <c r="C491" s="13"/>
      <c r="F491" s="2">
        <v>0.15</v>
      </c>
      <c r="G491" s="2" t="s">
        <v>408</v>
      </c>
      <c r="H491" s="9">
        <v>-1</v>
      </c>
      <c r="I491" t="s">
        <v>673</v>
      </c>
      <c r="J491"/>
      <c r="L491" s="25">
        <v>0</v>
      </c>
      <c r="M491">
        <v>2</v>
      </c>
      <c r="N491">
        <v>2</v>
      </c>
      <c r="O491" s="2">
        <v>5.484</v>
      </c>
      <c r="P491" s="2">
        <v>5.4790000000000001</v>
      </c>
      <c r="Q491" s="2">
        <v>20.064</v>
      </c>
      <c r="R491" s="2" t="s">
        <v>1135</v>
      </c>
      <c r="T491" s="25">
        <v>0</v>
      </c>
      <c r="U491" s="25"/>
      <c r="V491" s="25"/>
      <c r="W491">
        <v>3.9685999999999999</v>
      </c>
      <c r="X491">
        <v>3.9685999999999999</v>
      </c>
      <c r="Y491">
        <v>19.3154</v>
      </c>
      <c r="Z491">
        <v>0</v>
      </c>
      <c r="AD491">
        <v>12.7</v>
      </c>
      <c r="AE491" s="55">
        <f t="shared" si="34"/>
        <v>602.85971750399995</v>
      </c>
      <c r="AF491" s="57">
        <v>0</v>
      </c>
      <c r="AG491" s="55">
        <v>304.21341573178398</v>
      </c>
      <c r="AJ491" s="51"/>
      <c r="AK491" s="52">
        <v>9.098875515866349E-2</v>
      </c>
      <c r="AM491" s="28">
        <v>2</v>
      </c>
      <c r="AN491" s="28">
        <v>2.2378854625550662</v>
      </c>
      <c r="AO491" s="28">
        <v>1.6740088105726869</v>
      </c>
      <c r="AP491" s="28">
        <v>0</v>
      </c>
      <c r="AQ491" s="28">
        <v>0.33830104321907611</v>
      </c>
      <c r="AR491" s="28">
        <v>0.37853949329359171</v>
      </c>
      <c r="AS491" s="28">
        <v>0.2831594634873324</v>
      </c>
      <c r="AT491" s="28">
        <v>0</v>
      </c>
      <c r="AU491" s="25">
        <v>1.1000000000000001</v>
      </c>
      <c r="AV491" s="25">
        <v>3.44</v>
      </c>
      <c r="AW491" s="25">
        <v>2.34</v>
      </c>
      <c r="AX491" s="25">
        <v>2.5518942731277532</v>
      </c>
      <c r="AY491">
        <v>2.5518942731277532</v>
      </c>
      <c r="AZ491">
        <v>5.8039684980176212</v>
      </c>
      <c r="BB491" s="75">
        <v>0.46352185946891089</v>
      </c>
      <c r="BF491">
        <v>4.1747008327855002E-2</v>
      </c>
      <c r="BH491">
        <v>9.098875515866349E-2</v>
      </c>
      <c r="BI491">
        <v>4.1747008327855002E-2</v>
      </c>
      <c r="BJ491">
        <v>0.46352185946891089</v>
      </c>
    </row>
    <row r="492" spans="1:62" x14ac:dyDescent="0.3">
      <c r="A492" s="2" t="s">
        <v>409</v>
      </c>
      <c r="B492" s="17" t="s">
        <v>962</v>
      </c>
      <c r="C492" s="13"/>
      <c r="F492" s="2">
        <v>3.22</v>
      </c>
      <c r="G492" s="2" t="s">
        <v>411</v>
      </c>
      <c r="H492" s="9">
        <v>-1</v>
      </c>
      <c r="I492">
        <v>-1</v>
      </c>
      <c r="J492"/>
      <c r="L492" s="25">
        <v>0</v>
      </c>
      <c r="M492">
        <v>2</v>
      </c>
      <c r="N492">
        <v>0</v>
      </c>
      <c r="O492" s="2">
        <v>7.8239999999999998</v>
      </c>
      <c r="P492" s="2">
        <v>7.8432000000000004</v>
      </c>
      <c r="Q492" s="2">
        <v>7.9165000000000001</v>
      </c>
      <c r="R492" s="2" t="s">
        <v>1136</v>
      </c>
      <c r="T492" s="25">
        <v>0</v>
      </c>
      <c r="U492" s="25"/>
      <c r="V492" s="25"/>
      <c r="W492">
        <v>3.9685999999999999</v>
      </c>
      <c r="X492">
        <v>3.9685999999999999</v>
      </c>
      <c r="Y492">
        <v>19.3154</v>
      </c>
      <c r="Z492">
        <v>0</v>
      </c>
      <c r="AD492">
        <v>6</v>
      </c>
      <c r="AE492" s="55">
        <f t="shared" si="34"/>
        <v>485.79758046720002</v>
      </c>
      <c r="AF492" s="57">
        <v>0</v>
      </c>
      <c r="AG492" s="55">
        <v>304.21341573178398</v>
      </c>
      <c r="AH492" s="55">
        <v>0</v>
      </c>
      <c r="AJ492" s="51"/>
      <c r="AK492" s="52">
        <v>8.3494016655709991E-2</v>
      </c>
      <c r="AM492" s="28">
        <v>1.7690531177829101</v>
      </c>
      <c r="AN492" s="28">
        <v>2.7713625866050808</v>
      </c>
      <c r="AO492" s="28">
        <v>1</v>
      </c>
      <c r="AP492" s="28">
        <v>0</v>
      </c>
      <c r="AQ492" s="28">
        <v>0.31929970821175491</v>
      </c>
      <c r="AR492" s="28">
        <v>0.50020842017507294</v>
      </c>
      <c r="AS492" s="28">
        <v>0.18049187161317221</v>
      </c>
      <c r="AT492" s="28">
        <v>0</v>
      </c>
      <c r="AU492" s="25">
        <v>1.1000000000000001</v>
      </c>
      <c r="AV492" s="25">
        <v>3.44</v>
      </c>
      <c r="AW492" s="25">
        <v>2.34</v>
      </c>
      <c r="AX492" s="25">
        <v>2.8367205542725169</v>
      </c>
      <c r="AY492">
        <v>2.8367205542725169</v>
      </c>
      <c r="AZ492">
        <v>6.3438920491916866</v>
      </c>
      <c r="BF492">
        <v>1.9722996060403931E-2</v>
      </c>
      <c r="BH492">
        <v>8.3494016655709991E-2</v>
      </c>
      <c r="BI492">
        <v>1.9722996060403931E-2</v>
      </c>
      <c r="BJ492">
        <v>0</v>
      </c>
    </row>
    <row r="493" spans="1:62" x14ac:dyDescent="0.3">
      <c r="A493" s="2" t="s">
        <v>90</v>
      </c>
      <c r="B493" s="17" t="s">
        <v>963</v>
      </c>
      <c r="C493" s="13"/>
      <c r="F493" s="2">
        <v>3.87</v>
      </c>
      <c r="G493" s="2" t="s">
        <v>411</v>
      </c>
      <c r="H493" s="9">
        <v>-1</v>
      </c>
      <c r="I493">
        <v>-1</v>
      </c>
      <c r="J493"/>
      <c r="L493" s="25">
        <v>0</v>
      </c>
      <c r="M493">
        <v>0</v>
      </c>
      <c r="N493">
        <v>0</v>
      </c>
      <c r="O493" s="2">
        <v>3.9186000000000001</v>
      </c>
      <c r="P493" s="2">
        <v>3.9186000000000001</v>
      </c>
      <c r="Q493" s="2">
        <v>7.9149000000000003</v>
      </c>
      <c r="R493" s="2" t="s">
        <v>439</v>
      </c>
      <c r="T493" s="25">
        <v>0</v>
      </c>
      <c r="U493" s="25"/>
      <c r="V493" s="25"/>
      <c r="W493">
        <v>0</v>
      </c>
      <c r="Z493">
        <v>0</v>
      </c>
      <c r="AD493">
        <v>6</v>
      </c>
      <c r="AE493" s="55">
        <f t="shared" si="34"/>
        <v>121.536660930804</v>
      </c>
      <c r="AF493" s="57">
        <v>0</v>
      </c>
      <c r="AG493" s="55">
        <v>0</v>
      </c>
      <c r="AH493" s="55">
        <v>0</v>
      </c>
      <c r="AJ493" s="51"/>
      <c r="AM493" s="28">
        <v>2</v>
      </c>
      <c r="AN493" s="28">
        <v>2.7713625866050808</v>
      </c>
      <c r="AO493" s="28">
        <v>0.76905311778290997</v>
      </c>
      <c r="AP493" s="28">
        <v>3.2332563510392611</v>
      </c>
      <c r="AQ493" s="28">
        <v>0.2279547249276126</v>
      </c>
      <c r="AR493" s="28">
        <v>0.31587259805211898</v>
      </c>
      <c r="AS493" s="28">
        <v>8.765464595946304E-2</v>
      </c>
      <c r="AT493" s="28">
        <v>0.36851803106080561</v>
      </c>
      <c r="AU493" s="25">
        <v>1.1000000000000001</v>
      </c>
      <c r="AV493" s="25">
        <v>3.44</v>
      </c>
      <c r="AW493" s="25">
        <v>2.34</v>
      </c>
      <c r="AX493" s="25">
        <v>2.813625866050808</v>
      </c>
      <c r="AY493">
        <v>2.8136258660508089</v>
      </c>
      <c r="AZ493">
        <v>6.3665749591224019</v>
      </c>
      <c r="BH493">
        <v>0</v>
      </c>
      <c r="BI493">
        <v>0</v>
      </c>
      <c r="BJ493">
        <v>0</v>
      </c>
    </row>
    <row r="494" spans="1:62" x14ac:dyDescent="0.3">
      <c r="A494" s="2" t="s">
        <v>410</v>
      </c>
      <c r="B494" s="13" t="s">
        <v>839</v>
      </c>
      <c r="C494" s="13"/>
      <c r="F494" s="2">
        <v>3.56</v>
      </c>
      <c r="G494" s="2" t="s">
        <v>411</v>
      </c>
      <c r="H494" s="9" t="s">
        <v>602</v>
      </c>
      <c r="I494" t="s">
        <v>674</v>
      </c>
      <c r="J494"/>
      <c r="L494" s="25">
        <v>2</v>
      </c>
      <c r="M494">
        <v>0</v>
      </c>
      <c r="N494">
        <v>0</v>
      </c>
      <c r="O494" s="2">
        <v>-1</v>
      </c>
      <c r="T494" s="25">
        <v>5.44114334</v>
      </c>
      <c r="U494" s="25">
        <v>5.44114334</v>
      </c>
      <c r="V494" s="25">
        <v>5.44114334</v>
      </c>
      <c r="W494">
        <v>0</v>
      </c>
      <c r="Z494">
        <v>0</v>
      </c>
      <c r="AD494">
        <v>6</v>
      </c>
      <c r="AE494" s="55">
        <f t="shared" si="34"/>
        <v>0</v>
      </c>
      <c r="AF494" s="57">
        <v>112.4131248985337</v>
      </c>
      <c r="AG494" s="55">
        <v>0</v>
      </c>
      <c r="AH494" s="55">
        <v>0</v>
      </c>
      <c r="AJ494" s="51">
        <v>0.106749100790779</v>
      </c>
      <c r="AM494" s="28">
        <v>2</v>
      </c>
      <c r="AN494" s="28">
        <v>2.4</v>
      </c>
      <c r="AO494" s="28">
        <v>0.4</v>
      </c>
      <c r="AP494" s="28">
        <v>0</v>
      </c>
      <c r="AQ494" s="28">
        <v>0.41666666666666669</v>
      </c>
      <c r="AR494" s="28">
        <v>0.5</v>
      </c>
      <c r="AS494" s="28">
        <v>8.3333333333333343E-2</v>
      </c>
      <c r="AT494" s="28">
        <v>0</v>
      </c>
      <c r="AU494" s="25">
        <v>1</v>
      </c>
      <c r="AV494" s="25">
        <v>3.44</v>
      </c>
      <c r="AW494" s="25">
        <v>2.44</v>
      </c>
      <c r="AX494" s="25">
        <v>2.5720000000000001</v>
      </c>
      <c r="AY494">
        <v>2.5720000000000001</v>
      </c>
      <c r="AZ494">
        <v>5.8278852370000003</v>
      </c>
      <c r="BA494" s="75">
        <v>0.58846120068676144</v>
      </c>
      <c r="BB494" s="75">
        <v>0.59176212397517092</v>
      </c>
      <c r="BE494">
        <v>5.3374550395389492E-2</v>
      </c>
      <c r="BH494">
        <v>0.106749100790779</v>
      </c>
      <c r="BI494">
        <v>5.3374550395389492E-2</v>
      </c>
      <c r="BJ494">
        <v>0.59011166233096612</v>
      </c>
    </row>
    <row r="495" spans="1:62" x14ac:dyDescent="0.3">
      <c r="A495" s="2" t="s">
        <v>413</v>
      </c>
      <c r="B495" s="13" t="s">
        <v>840</v>
      </c>
      <c r="C495" s="13"/>
      <c r="F495" s="2">
        <v>2.86</v>
      </c>
      <c r="G495" s="2" t="s">
        <v>412</v>
      </c>
      <c r="H495" s="9">
        <v>-1</v>
      </c>
      <c r="I495">
        <v>-1</v>
      </c>
      <c r="J495" s="69" t="s">
        <v>1244</v>
      </c>
      <c r="K495" s="2">
        <v>1</v>
      </c>
      <c r="L495" s="25">
        <v>0</v>
      </c>
      <c r="M495">
        <v>4</v>
      </c>
      <c r="N495">
        <v>0</v>
      </c>
      <c r="O495" s="2">
        <v>3.91</v>
      </c>
      <c r="P495" s="2">
        <v>3.91</v>
      </c>
      <c r="Q495" s="2">
        <v>18.495999999999999</v>
      </c>
      <c r="R495" s="2" t="s">
        <v>439</v>
      </c>
      <c r="T495" s="25">
        <v>0</v>
      </c>
      <c r="U495" s="25"/>
      <c r="V495" s="25"/>
      <c r="W495">
        <v>5.38</v>
      </c>
      <c r="X495">
        <v>5.44</v>
      </c>
      <c r="Y495">
        <v>7.6390000000000002</v>
      </c>
      <c r="Z495">
        <v>0</v>
      </c>
      <c r="AD495">
        <v>22</v>
      </c>
      <c r="AE495" s="55">
        <f t="shared" si="34"/>
        <v>282.7686976</v>
      </c>
      <c r="AF495" s="57">
        <v>0</v>
      </c>
      <c r="AG495" s="55">
        <v>223.5721408</v>
      </c>
      <c r="AH495" s="55">
        <v>0</v>
      </c>
      <c r="AJ495" s="51"/>
      <c r="AK495" s="52">
        <v>0.1073479008347001</v>
      </c>
      <c r="AM495" s="28">
        <v>2</v>
      </c>
      <c r="AN495" s="28">
        <v>3.052631578947369</v>
      </c>
      <c r="AO495" s="28">
        <v>1.8947368421052631</v>
      </c>
      <c r="AP495" s="28">
        <v>3.6842105263157889</v>
      </c>
      <c r="AQ495" s="28">
        <v>0.18811881188118809</v>
      </c>
      <c r="AR495" s="28">
        <v>0.28712871287128722</v>
      </c>
      <c r="AS495" s="28">
        <v>0.17821782178217821</v>
      </c>
      <c r="AT495" s="28">
        <v>0.34653465346534651</v>
      </c>
      <c r="AU495" s="25">
        <v>0.95</v>
      </c>
      <c r="AV495" s="25">
        <v>3.44</v>
      </c>
      <c r="AW495" s="25">
        <v>2.4900000000000002</v>
      </c>
      <c r="AX495" s="25">
        <v>2.7347368421052631</v>
      </c>
      <c r="AY495">
        <v>2.7347368421052631</v>
      </c>
      <c r="AZ495">
        <v>6.1677369702631566</v>
      </c>
      <c r="BC495" s="75">
        <v>0</v>
      </c>
      <c r="BD495">
        <v>3.8901052674367873E-2</v>
      </c>
      <c r="BF495">
        <v>0.19680448486361679</v>
      </c>
      <c r="BH495">
        <v>0.1073479008347001</v>
      </c>
      <c r="BI495">
        <v>0.1178527687689923</v>
      </c>
      <c r="BJ495">
        <v>0</v>
      </c>
    </row>
    <row r="496" spans="1:62" x14ac:dyDescent="0.3">
      <c r="A496" s="2" t="s">
        <v>414</v>
      </c>
      <c r="B496" s="13" t="s">
        <v>841</v>
      </c>
      <c r="C496" s="13"/>
      <c r="F496" s="2">
        <v>2.58</v>
      </c>
      <c r="G496" s="2" t="s">
        <v>412</v>
      </c>
      <c r="H496" s="9">
        <v>-1</v>
      </c>
      <c r="I496">
        <v>-1</v>
      </c>
      <c r="J496" s="69" t="s">
        <v>1244</v>
      </c>
      <c r="K496" s="2">
        <v>1</v>
      </c>
      <c r="L496" s="25">
        <v>0</v>
      </c>
      <c r="M496">
        <v>0</v>
      </c>
      <c r="N496">
        <v>0</v>
      </c>
      <c r="O496" s="2">
        <v>3.9119999999999999</v>
      </c>
      <c r="P496" s="2">
        <v>3.9119999999999999</v>
      </c>
      <c r="Q496" s="2">
        <v>18.582000000000001</v>
      </c>
      <c r="R496" s="2" t="s">
        <v>439</v>
      </c>
      <c r="T496" s="25">
        <v>0</v>
      </c>
      <c r="U496" s="25"/>
      <c r="V496" s="25"/>
      <c r="W496">
        <v>0</v>
      </c>
      <c r="Z496">
        <v>0</v>
      </c>
      <c r="AD496">
        <v>22</v>
      </c>
      <c r="AE496" s="55">
        <f t="shared" si="34"/>
        <v>284.37417100800002</v>
      </c>
      <c r="AF496" s="57">
        <v>0</v>
      </c>
      <c r="AG496" s="55">
        <v>0</v>
      </c>
      <c r="AH496" s="55">
        <v>0</v>
      </c>
      <c r="AI496" s="52">
        <f>K496*AD496/AE496</f>
        <v>7.7362862885958422E-2</v>
      </c>
      <c r="AJ496" s="51"/>
      <c r="AM496" s="28">
        <v>2</v>
      </c>
      <c r="AN496" s="28">
        <v>3.1578947368421049</v>
      </c>
      <c r="AO496" s="28">
        <v>2.4210526315789469</v>
      </c>
      <c r="AP496" s="28">
        <v>4.4210526315789478</v>
      </c>
      <c r="AQ496" s="28">
        <v>0.16666666666666671</v>
      </c>
      <c r="AR496" s="28">
        <v>0.26315789473684209</v>
      </c>
      <c r="AS496" s="28">
        <v>0.2017543859649123</v>
      </c>
      <c r="AT496" s="28">
        <v>0.36842105263157898</v>
      </c>
      <c r="AU496" s="25">
        <v>0.95</v>
      </c>
      <c r="AV496" s="25">
        <v>3.44</v>
      </c>
      <c r="AW496" s="25">
        <v>2.4900000000000002</v>
      </c>
      <c r="AX496" s="25">
        <v>2.8073684210526308</v>
      </c>
      <c r="AY496">
        <v>2.8073684210526308</v>
      </c>
      <c r="AZ496">
        <v>6.2210650663157896</v>
      </c>
      <c r="BC496" s="75">
        <v>0</v>
      </c>
      <c r="BD496">
        <v>3.8681431442979211E-2</v>
      </c>
      <c r="BH496">
        <v>7.7362862885958422E-2</v>
      </c>
      <c r="BI496">
        <v>3.8681431442979211E-2</v>
      </c>
      <c r="BJ496">
        <v>0</v>
      </c>
    </row>
    <row r="497" spans="1:62" x14ac:dyDescent="0.3">
      <c r="A497" s="2" t="s">
        <v>415</v>
      </c>
      <c r="B497" s="13" t="s">
        <v>842</v>
      </c>
      <c r="C497" s="13"/>
      <c r="F497" s="2">
        <v>2.57</v>
      </c>
      <c r="G497" s="2" t="s">
        <v>412</v>
      </c>
      <c r="H497" s="9">
        <v>-1</v>
      </c>
      <c r="I497">
        <v>-1</v>
      </c>
      <c r="J497" s="69" t="s">
        <v>1244</v>
      </c>
      <c r="K497" s="2">
        <v>1</v>
      </c>
      <c r="L497" s="25">
        <v>0</v>
      </c>
      <c r="M497">
        <v>0</v>
      </c>
      <c r="N497">
        <v>0</v>
      </c>
      <c r="O497" s="2">
        <v>3.9607600000000001</v>
      </c>
      <c r="P497" s="2">
        <v>3.9607600000000001</v>
      </c>
      <c r="Q497" s="2">
        <v>18.789100000000001</v>
      </c>
      <c r="R497" s="2" t="s">
        <v>439</v>
      </c>
      <c r="T497" s="25">
        <v>0</v>
      </c>
      <c r="U497" s="25"/>
      <c r="V497" s="25"/>
      <c r="W497">
        <v>0</v>
      </c>
      <c r="Z497">
        <v>0</v>
      </c>
      <c r="AD497">
        <v>22</v>
      </c>
      <c r="AE497" s="55">
        <f t="shared" si="34"/>
        <v>294.75625676330418</v>
      </c>
      <c r="AF497" s="57">
        <v>0</v>
      </c>
      <c r="AG497" s="55">
        <v>0</v>
      </c>
      <c r="AH497" s="55">
        <v>0</v>
      </c>
      <c r="AI497" s="52">
        <f>K497*AD497/AE497</f>
        <v>7.4637940655035831E-2</v>
      </c>
      <c r="AJ497" s="51"/>
      <c r="AM497" s="28">
        <v>2</v>
      </c>
      <c r="AN497" s="28">
        <v>3.052631578947369</v>
      </c>
      <c r="AO497" s="28">
        <v>1.8947368421052631</v>
      </c>
      <c r="AP497" s="28">
        <v>3.6842105263157889</v>
      </c>
      <c r="AQ497" s="28">
        <v>0.18811881188118809</v>
      </c>
      <c r="AR497" s="28">
        <v>0.28712871287128722</v>
      </c>
      <c r="AS497" s="28">
        <v>0.17821782178217821</v>
      </c>
      <c r="AT497" s="28">
        <v>0.34653465346534651</v>
      </c>
      <c r="AU497" s="25">
        <v>0.89</v>
      </c>
      <c r="AV497" s="25">
        <v>3.44</v>
      </c>
      <c r="AW497" s="25">
        <v>2.5499999999999998</v>
      </c>
      <c r="AX497" s="25">
        <v>2.7284210526315791</v>
      </c>
      <c r="AY497">
        <v>2.7284210526315791</v>
      </c>
      <c r="AZ497">
        <v>6.1471768202631578</v>
      </c>
      <c r="BC497" s="75">
        <v>0</v>
      </c>
      <c r="BD497">
        <v>3.7318970327517922E-2</v>
      </c>
      <c r="BH497">
        <v>7.4637940655035831E-2</v>
      </c>
      <c r="BI497">
        <v>3.7318970327517922E-2</v>
      </c>
      <c r="BJ497">
        <v>0</v>
      </c>
    </row>
    <row r="498" spans="1:62" x14ac:dyDescent="0.3">
      <c r="A498" s="2" t="s">
        <v>416</v>
      </c>
      <c r="B498" s="13" t="s">
        <v>843</v>
      </c>
      <c r="C498" s="13"/>
      <c r="F498" s="2">
        <v>2.6</v>
      </c>
      <c r="G498" s="2" t="s">
        <v>412</v>
      </c>
      <c r="H498" s="9">
        <v>-1</v>
      </c>
      <c r="I498">
        <v>-1</v>
      </c>
      <c r="J498" s="69" t="s">
        <v>1244</v>
      </c>
      <c r="K498" s="2">
        <v>1</v>
      </c>
      <c r="L498" s="25">
        <v>0</v>
      </c>
      <c r="M498">
        <v>0</v>
      </c>
      <c r="N498">
        <v>0</v>
      </c>
      <c r="O498" s="2">
        <v>3.9350499999999999</v>
      </c>
      <c r="P498" s="2">
        <v>3.9350499999999999</v>
      </c>
      <c r="Q498" s="2">
        <v>18.790900000000001</v>
      </c>
      <c r="R498" s="2" t="s">
        <v>439</v>
      </c>
      <c r="T498" s="25">
        <v>0</v>
      </c>
      <c r="U498" s="25"/>
      <c r="V498" s="25"/>
      <c r="W498">
        <v>0</v>
      </c>
      <c r="Z498">
        <v>0</v>
      </c>
      <c r="AD498">
        <v>22</v>
      </c>
      <c r="AE498" s="55">
        <f t="shared" si="34"/>
        <v>290.96991781862727</v>
      </c>
      <c r="AF498" s="57">
        <v>0</v>
      </c>
      <c r="AG498" s="55">
        <v>0</v>
      </c>
      <c r="AH498" s="55">
        <v>0</v>
      </c>
      <c r="AI498" s="52">
        <f t="shared" ref="AI498:AI524" si="36">K498*AD498/AE498</f>
        <v>7.5609190685180877E-2</v>
      </c>
      <c r="AJ498" s="51"/>
      <c r="AM498" s="28">
        <v>2</v>
      </c>
      <c r="AN498" s="28">
        <v>3.1578947368421049</v>
      </c>
      <c r="AO498" s="28">
        <v>2.4210526315789469</v>
      </c>
      <c r="AP498" s="28">
        <v>4.4210526315789478</v>
      </c>
      <c r="AQ498" s="28">
        <v>0.16666666666666671</v>
      </c>
      <c r="AR498" s="28">
        <v>0.26315789473684209</v>
      </c>
      <c r="AS498" s="28">
        <v>0.2017543859649123</v>
      </c>
      <c r="AT498" s="28">
        <v>0.36842105263157898</v>
      </c>
      <c r="AU498" s="25">
        <v>0.89</v>
      </c>
      <c r="AV498" s="25">
        <v>3.44</v>
      </c>
      <c r="AW498" s="25">
        <v>2.5499999999999998</v>
      </c>
      <c r="AX498" s="25">
        <v>2.804210526315789</v>
      </c>
      <c r="AY498">
        <v>2.804210526315789</v>
      </c>
      <c r="AZ498">
        <v>6.2107849913157898</v>
      </c>
      <c r="BC498" s="75">
        <v>0</v>
      </c>
      <c r="BD498">
        <v>3.7804595342590439E-2</v>
      </c>
      <c r="BH498">
        <v>7.5609190685180877E-2</v>
      </c>
      <c r="BI498">
        <v>3.7804595342590439E-2</v>
      </c>
      <c r="BJ498">
        <v>0</v>
      </c>
    </row>
    <row r="499" spans="1:62" x14ac:dyDescent="0.3">
      <c r="A499" s="2" t="s">
        <v>417</v>
      </c>
      <c r="B499" s="13" t="s">
        <v>844</v>
      </c>
      <c r="C499" s="13"/>
      <c r="F499" s="2">
        <v>2.57</v>
      </c>
      <c r="G499" s="2" t="s">
        <v>412</v>
      </c>
      <c r="H499" s="9">
        <v>-1</v>
      </c>
      <c r="I499">
        <v>-1</v>
      </c>
      <c r="J499" s="69" t="s">
        <v>1244</v>
      </c>
      <c r="K499" s="2">
        <v>1</v>
      </c>
      <c r="L499" s="25">
        <v>0</v>
      </c>
      <c r="M499">
        <v>0</v>
      </c>
      <c r="N499">
        <v>0</v>
      </c>
      <c r="O499" s="2">
        <v>3.8856000000000002</v>
      </c>
      <c r="P499" s="2">
        <v>3.8856000000000002</v>
      </c>
      <c r="Q499" s="2">
        <v>18.356999999999999</v>
      </c>
      <c r="R499" s="2" t="s">
        <v>439</v>
      </c>
      <c r="T499" s="25">
        <v>0</v>
      </c>
      <c r="U499" s="25"/>
      <c r="V499" s="25"/>
      <c r="W499">
        <v>0</v>
      </c>
      <c r="Z499">
        <v>0</v>
      </c>
      <c r="AD499">
        <v>22</v>
      </c>
      <c r="AE499" s="55">
        <f t="shared" si="34"/>
        <v>277.15191826751999</v>
      </c>
      <c r="AF499" s="57">
        <v>0</v>
      </c>
      <c r="AG499" s="55">
        <v>0</v>
      </c>
      <c r="AH499" s="55">
        <v>0</v>
      </c>
      <c r="AI499" s="52">
        <f t="shared" si="36"/>
        <v>7.9378848025019155E-2</v>
      </c>
      <c r="AJ499" s="51"/>
      <c r="AM499" s="28">
        <v>2</v>
      </c>
      <c r="AN499" s="28">
        <v>3.2105263157894739</v>
      </c>
      <c r="AO499" s="28">
        <v>2.3684210526315792</v>
      </c>
      <c r="AP499" s="28">
        <v>3.6842105263157889</v>
      </c>
      <c r="AQ499" s="28">
        <v>0.17757009345794389</v>
      </c>
      <c r="AR499" s="28">
        <v>0.28504672897196259</v>
      </c>
      <c r="AS499" s="28">
        <v>0.2102803738317757</v>
      </c>
      <c r="AT499" s="28">
        <v>0.32710280373831768</v>
      </c>
      <c r="AU499" s="25">
        <v>0.95</v>
      </c>
      <c r="AV499" s="25">
        <v>3.44</v>
      </c>
      <c r="AW499" s="25">
        <v>2.4900000000000002</v>
      </c>
      <c r="AX499" s="25">
        <v>2.7931578947368418</v>
      </c>
      <c r="AY499">
        <v>2.7931578947368418</v>
      </c>
      <c r="AZ499">
        <v>6.207524303947368</v>
      </c>
      <c r="BC499" s="75">
        <v>0</v>
      </c>
      <c r="BD499">
        <v>3.9689424012509578E-2</v>
      </c>
      <c r="BH499">
        <v>7.9378848025019155E-2</v>
      </c>
      <c r="BI499">
        <v>3.9689424012509578E-2</v>
      </c>
      <c r="BJ499">
        <v>0</v>
      </c>
    </row>
    <row r="500" spans="1:62" x14ac:dyDescent="0.3">
      <c r="A500" s="2" t="s">
        <v>418</v>
      </c>
      <c r="B500" s="13" t="s">
        <v>845</v>
      </c>
      <c r="C500" s="13"/>
      <c r="F500" s="2">
        <v>2.5</v>
      </c>
      <c r="G500" s="2" t="s">
        <v>412</v>
      </c>
      <c r="H500" s="9">
        <v>-1</v>
      </c>
      <c r="I500">
        <v>-1</v>
      </c>
      <c r="J500" s="69" t="s">
        <v>1244</v>
      </c>
      <c r="K500" s="2">
        <v>1</v>
      </c>
      <c r="L500" s="25">
        <v>0</v>
      </c>
      <c r="M500">
        <v>0</v>
      </c>
      <c r="N500">
        <v>0</v>
      </c>
      <c r="O500" s="2">
        <v>3.9121999999999999</v>
      </c>
      <c r="P500" s="2">
        <v>3.9121999999999999</v>
      </c>
      <c r="Q500" s="2">
        <v>18.724299999999999</v>
      </c>
      <c r="R500" s="2" t="s">
        <v>439</v>
      </c>
      <c r="T500" s="25">
        <v>0</v>
      </c>
      <c r="U500" s="25"/>
      <c r="V500" s="25"/>
      <c r="W500">
        <v>0</v>
      </c>
      <c r="Z500">
        <v>0</v>
      </c>
      <c r="AD500">
        <v>22</v>
      </c>
      <c r="AE500" s="55">
        <f t="shared" si="34"/>
        <v>286.58119431281199</v>
      </c>
      <c r="AF500" s="57">
        <v>0</v>
      </c>
      <c r="AG500" s="55">
        <v>0</v>
      </c>
      <c r="AH500" s="55">
        <v>0</v>
      </c>
      <c r="AI500" s="52">
        <f t="shared" si="36"/>
        <v>7.6767074869491747E-2</v>
      </c>
      <c r="AJ500" s="51"/>
      <c r="AM500" s="28">
        <v>2</v>
      </c>
      <c r="AN500" s="28">
        <v>3.2105263157894739</v>
      </c>
      <c r="AO500" s="28">
        <v>2.3684210526315792</v>
      </c>
      <c r="AP500" s="28">
        <v>3.6842105263157889</v>
      </c>
      <c r="AQ500" s="28">
        <v>0.17757009345794389</v>
      </c>
      <c r="AR500" s="28">
        <v>0.28504672897196259</v>
      </c>
      <c r="AS500" s="28">
        <v>0.2102803738317757</v>
      </c>
      <c r="AT500" s="28">
        <v>0.32710280373831768</v>
      </c>
      <c r="AU500" s="25">
        <v>0.89</v>
      </c>
      <c r="AV500" s="25">
        <v>3.44</v>
      </c>
      <c r="AW500" s="25">
        <v>2.5499999999999998</v>
      </c>
      <c r="AX500" s="25">
        <v>2.79</v>
      </c>
      <c r="AY500">
        <v>2.79</v>
      </c>
      <c r="AZ500">
        <v>6.1972442289473681</v>
      </c>
      <c r="BC500" s="75">
        <v>0</v>
      </c>
      <c r="BD500">
        <v>3.8383537434745867E-2</v>
      </c>
      <c r="BH500">
        <v>7.6767074869491747E-2</v>
      </c>
      <c r="BI500">
        <v>3.8383537434745867E-2</v>
      </c>
      <c r="BJ500">
        <v>0</v>
      </c>
    </row>
    <row r="501" spans="1:62" x14ac:dyDescent="0.3">
      <c r="A501" s="2" t="s">
        <v>419</v>
      </c>
      <c r="B501" s="13" t="s">
        <v>846</v>
      </c>
      <c r="C501" s="13"/>
      <c r="F501" s="2">
        <v>2.6</v>
      </c>
      <c r="G501" s="2" t="s">
        <v>412</v>
      </c>
      <c r="H501" s="9">
        <v>-1</v>
      </c>
      <c r="I501">
        <v>-1</v>
      </c>
      <c r="J501" s="69" t="s">
        <v>1244</v>
      </c>
      <c r="K501" s="2">
        <v>1</v>
      </c>
      <c r="L501" s="25">
        <v>0</v>
      </c>
      <c r="M501">
        <v>0</v>
      </c>
      <c r="N501">
        <v>0</v>
      </c>
      <c r="O501" s="2">
        <v>3.8752</v>
      </c>
      <c r="P501" s="2">
        <v>3.8752</v>
      </c>
      <c r="Q501" s="2">
        <v>18.687000000000001</v>
      </c>
      <c r="R501" s="2" t="s">
        <v>439</v>
      </c>
      <c r="T501" s="25">
        <v>0</v>
      </c>
      <c r="U501" s="25"/>
      <c r="V501" s="25"/>
      <c r="W501">
        <v>0</v>
      </c>
      <c r="Z501">
        <v>0</v>
      </c>
      <c r="AD501">
        <v>22</v>
      </c>
      <c r="AE501" s="55">
        <f t="shared" si="34"/>
        <v>280.62594997247999</v>
      </c>
      <c r="AF501" s="57">
        <v>0</v>
      </c>
      <c r="AG501" s="55">
        <v>0</v>
      </c>
      <c r="AH501" s="55">
        <v>0</v>
      </c>
      <c r="AI501" s="52">
        <f t="shared" si="36"/>
        <v>7.8396171138690005E-2</v>
      </c>
      <c r="AJ501" s="51"/>
      <c r="AM501" s="28">
        <v>2</v>
      </c>
      <c r="AN501" s="28">
        <v>3.3157894736842111</v>
      </c>
      <c r="AO501" s="28">
        <v>2.8947368421052628</v>
      </c>
      <c r="AP501" s="28">
        <v>4.4210526315789478</v>
      </c>
      <c r="AQ501" s="28">
        <v>0.1583333333333333</v>
      </c>
      <c r="AR501" s="28">
        <v>0.26250000000000001</v>
      </c>
      <c r="AS501" s="28">
        <v>0.22916666666666671</v>
      </c>
      <c r="AT501" s="28">
        <v>0.35</v>
      </c>
      <c r="AU501" s="25">
        <v>1.5</v>
      </c>
      <c r="AV501" s="25">
        <v>3.44</v>
      </c>
      <c r="AW501" s="25">
        <v>1.94</v>
      </c>
      <c r="AX501" s="25">
        <v>2.86578947368421</v>
      </c>
      <c r="AY501">
        <v>2.8657894736842109</v>
      </c>
      <c r="AZ501">
        <v>6.2608524000000001</v>
      </c>
      <c r="BC501" s="75">
        <v>0</v>
      </c>
      <c r="BD501">
        <v>3.9198085569345002E-2</v>
      </c>
      <c r="BH501">
        <v>7.8396171138690005E-2</v>
      </c>
      <c r="BI501">
        <v>3.9198085569345002E-2</v>
      </c>
      <c r="BJ501">
        <v>0</v>
      </c>
    </row>
    <row r="502" spans="1:62" x14ac:dyDescent="0.3">
      <c r="A502" s="2" t="s">
        <v>426</v>
      </c>
      <c r="B502" s="13" t="s">
        <v>847</v>
      </c>
      <c r="C502" s="13"/>
      <c r="F502" s="2">
        <v>2.82</v>
      </c>
      <c r="G502" s="2" t="s">
        <v>412</v>
      </c>
      <c r="H502" s="9">
        <v>-1</v>
      </c>
      <c r="I502">
        <v>-1</v>
      </c>
      <c r="J502" s="69" t="s">
        <v>1244</v>
      </c>
      <c r="K502" s="2">
        <v>1</v>
      </c>
      <c r="L502" s="25">
        <v>0</v>
      </c>
      <c r="M502">
        <v>0</v>
      </c>
      <c r="N502">
        <v>0</v>
      </c>
      <c r="O502" s="2">
        <v>3.9108999999999998</v>
      </c>
      <c r="P502" s="2">
        <v>3.9108999999999998</v>
      </c>
      <c r="Q502" s="2">
        <v>18.454999999999998</v>
      </c>
      <c r="R502" s="2" t="s">
        <v>439</v>
      </c>
      <c r="T502" s="25">
        <v>0</v>
      </c>
      <c r="U502" s="25"/>
      <c r="V502" s="25"/>
      <c r="W502">
        <v>0</v>
      </c>
      <c r="Z502">
        <v>0</v>
      </c>
      <c r="AD502">
        <v>22</v>
      </c>
      <c r="AE502" s="55">
        <f t="shared" si="34"/>
        <v>282.27178673854996</v>
      </c>
      <c r="AF502" s="57">
        <v>0</v>
      </c>
      <c r="AG502" s="55">
        <v>0</v>
      </c>
      <c r="AH502" s="55">
        <v>0</v>
      </c>
      <c r="AI502" s="52">
        <f t="shared" si="36"/>
        <v>7.7939068066966155E-2</v>
      </c>
      <c r="AJ502" s="51"/>
      <c r="AM502" s="28">
        <v>1.8947368421052631</v>
      </c>
      <c r="AN502" s="28">
        <v>3.052631578947369</v>
      </c>
      <c r="AO502" s="28">
        <v>2</v>
      </c>
      <c r="AP502" s="28">
        <v>2.2105263157894739</v>
      </c>
      <c r="AQ502" s="28">
        <v>0.2068965517241379</v>
      </c>
      <c r="AR502" s="28">
        <v>0.33333333333333343</v>
      </c>
      <c r="AS502" s="28">
        <v>0.21839080459770119</v>
      </c>
      <c r="AT502" s="28">
        <v>0.2413793103448276</v>
      </c>
      <c r="AU502" s="25">
        <v>0.95</v>
      </c>
      <c r="AV502" s="25">
        <v>3.44</v>
      </c>
      <c r="AW502" s="25">
        <v>2.4900000000000002</v>
      </c>
      <c r="AX502" s="25">
        <v>2.7452631578947368</v>
      </c>
      <c r="AY502">
        <v>2.7452631578947368</v>
      </c>
      <c r="AZ502">
        <v>6.1573983386842102</v>
      </c>
      <c r="BC502" s="75">
        <v>0</v>
      </c>
      <c r="BD502">
        <v>3.8969534033483078E-2</v>
      </c>
      <c r="BH502">
        <v>7.7939068066966155E-2</v>
      </c>
      <c r="BI502">
        <v>3.8969534033483078E-2</v>
      </c>
      <c r="BJ502">
        <v>0</v>
      </c>
    </row>
    <row r="503" spans="1:62" x14ac:dyDescent="0.3">
      <c r="A503" s="2" t="s">
        <v>420</v>
      </c>
      <c r="B503" s="13" t="s">
        <v>848</v>
      </c>
      <c r="C503" s="13"/>
      <c r="F503" s="2">
        <v>2.59</v>
      </c>
      <c r="G503" s="2" t="s">
        <v>412</v>
      </c>
      <c r="H503" s="9">
        <v>-1</v>
      </c>
      <c r="I503">
        <v>-1</v>
      </c>
      <c r="J503" s="69" t="s">
        <v>1244</v>
      </c>
      <c r="K503" s="2">
        <v>1</v>
      </c>
      <c r="L503" s="25">
        <v>0</v>
      </c>
      <c r="M503">
        <v>0</v>
      </c>
      <c r="N503">
        <v>0</v>
      </c>
      <c r="O503" s="2">
        <v>3.91</v>
      </c>
      <c r="P503" s="2">
        <v>3.91</v>
      </c>
      <c r="Q503" s="2">
        <v>18.651</v>
      </c>
      <c r="R503" s="2" t="s">
        <v>439</v>
      </c>
      <c r="T503" s="25">
        <v>0</v>
      </c>
      <c r="U503" s="25"/>
      <c r="V503" s="25"/>
      <c r="W503">
        <v>0</v>
      </c>
      <c r="Z503">
        <v>0</v>
      </c>
      <c r="AD503">
        <v>22</v>
      </c>
      <c r="AE503" s="55">
        <f t="shared" si="34"/>
        <v>285.13835310000002</v>
      </c>
      <c r="AF503" s="57">
        <v>0</v>
      </c>
      <c r="AG503" s="55">
        <v>0</v>
      </c>
      <c r="AH503" s="55">
        <v>0</v>
      </c>
      <c r="AI503" s="52">
        <f t="shared" si="36"/>
        <v>7.7155527345998398E-2</v>
      </c>
      <c r="AJ503" s="51"/>
      <c r="AM503" s="28">
        <v>1.8947368421052631</v>
      </c>
      <c r="AN503" s="28">
        <v>3.1578947368421049</v>
      </c>
      <c r="AO503" s="28">
        <v>2.5263157894736841</v>
      </c>
      <c r="AP503" s="28">
        <v>2.947368421052631</v>
      </c>
      <c r="AQ503" s="28">
        <v>0.18</v>
      </c>
      <c r="AR503" s="28">
        <v>0.3</v>
      </c>
      <c r="AS503" s="28">
        <v>0.24</v>
      </c>
      <c r="AT503" s="28">
        <v>0.28000000000000003</v>
      </c>
      <c r="AU503" s="25">
        <v>0.95</v>
      </c>
      <c r="AV503" s="25">
        <v>3.44</v>
      </c>
      <c r="AW503" s="25">
        <v>2.4900000000000002</v>
      </c>
      <c r="AX503" s="25">
        <v>2.817894736842105</v>
      </c>
      <c r="AY503">
        <v>2.817894736842105</v>
      </c>
      <c r="AZ503">
        <v>6.2107264347368423</v>
      </c>
      <c r="BC503" s="75">
        <v>0</v>
      </c>
      <c r="BD503">
        <v>3.8577763672999199E-2</v>
      </c>
      <c r="BH503">
        <v>7.7155527345998398E-2</v>
      </c>
      <c r="BI503">
        <v>3.8577763672999199E-2</v>
      </c>
      <c r="BJ503">
        <v>0</v>
      </c>
    </row>
    <row r="504" spans="1:62" x14ac:dyDescent="0.3">
      <c r="A504" s="2" t="s">
        <v>421</v>
      </c>
      <c r="B504" s="13" t="s">
        <v>849</v>
      </c>
      <c r="C504" s="13"/>
      <c r="F504" s="2">
        <v>2.66</v>
      </c>
      <c r="G504" s="2" t="s">
        <v>412</v>
      </c>
      <c r="H504" s="9">
        <v>-1</v>
      </c>
      <c r="I504">
        <v>-1</v>
      </c>
      <c r="J504" s="69" t="s">
        <v>1244</v>
      </c>
      <c r="K504" s="2">
        <v>1</v>
      </c>
      <c r="L504" s="25">
        <v>0</v>
      </c>
      <c r="M504">
        <v>0</v>
      </c>
      <c r="N504">
        <v>0</v>
      </c>
      <c r="O504" s="2">
        <v>3.9683000000000002</v>
      </c>
      <c r="P504" s="2">
        <v>3.9683000000000002</v>
      </c>
      <c r="Q504" s="2">
        <v>18.798999999999999</v>
      </c>
      <c r="R504" s="2" t="s">
        <v>439</v>
      </c>
      <c r="T504" s="25">
        <v>0</v>
      </c>
      <c r="U504" s="25"/>
      <c r="V504" s="25"/>
      <c r="W504">
        <v>0</v>
      </c>
      <c r="Z504">
        <v>0</v>
      </c>
      <c r="AD504">
        <v>22</v>
      </c>
      <c r="AE504" s="55">
        <f t="shared" si="34"/>
        <v>296.03546452711004</v>
      </c>
      <c r="AF504" s="57">
        <v>0</v>
      </c>
      <c r="AG504" s="55">
        <v>0</v>
      </c>
      <c r="AH504" s="55">
        <v>0</v>
      </c>
      <c r="AI504" s="52">
        <f t="shared" si="36"/>
        <v>7.4315420401211113E-2</v>
      </c>
      <c r="AJ504" s="51"/>
      <c r="AM504" s="28">
        <v>1.8947368421052631</v>
      </c>
      <c r="AN504" s="28">
        <v>3.052631578947369</v>
      </c>
      <c r="AO504" s="28">
        <v>2</v>
      </c>
      <c r="AP504" s="28">
        <v>2.2105263157894739</v>
      </c>
      <c r="AQ504" s="28">
        <v>0.2068965517241379</v>
      </c>
      <c r="AR504" s="28">
        <v>0.33333333333333343</v>
      </c>
      <c r="AS504" s="28">
        <v>0.21839080459770119</v>
      </c>
      <c r="AT504" s="28">
        <v>0.2413793103448276</v>
      </c>
      <c r="AU504" s="25">
        <v>0.89</v>
      </c>
      <c r="AV504" s="25">
        <v>3.44</v>
      </c>
      <c r="AW504" s="25">
        <v>2.5499999999999998</v>
      </c>
      <c r="AX504" s="25">
        <v>2.7389473684210519</v>
      </c>
      <c r="AY504">
        <v>2.7389473684210519</v>
      </c>
      <c r="AZ504">
        <v>6.1368381886842096</v>
      </c>
      <c r="BC504" s="75">
        <v>0</v>
      </c>
      <c r="BD504">
        <v>3.7157710200605563E-2</v>
      </c>
      <c r="BH504">
        <v>7.4315420401211113E-2</v>
      </c>
      <c r="BI504">
        <v>3.7157710200605563E-2</v>
      </c>
      <c r="BJ504">
        <v>0</v>
      </c>
    </row>
    <row r="505" spans="1:62" x14ac:dyDescent="0.3">
      <c r="A505" s="2" t="s">
        <v>422</v>
      </c>
      <c r="B505" s="13" t="s">
        <v>850</v>
      </c>
      <c r="C505" s="13"/>
      <c r="F505" s="2">
        <v>2.56</v>
      </c>
      <c r="G505" s="2" t="s">
        <v>412</v>
      </c>
      <c r="H505" s="9">
        <v>-1</v>
      </c>
      <c r="I505">
        <v>-1</v>
      </c>
      <c r="J505" s="69" t="s">
        <v>1244</v>
      </c>
      <c r="K505" s="2">
        <v>1</v>
      </c>
      <c r="L505" s="25">
        <v>0</v>
      </c>
      <c r="M505">
        <v>0</v>
      </c>
      <c r="N505">
        <v>0</v>
      </c>
      <c r="O505" s="2">
        <v>3.9487999999999999</v>
      </c>
      <c r="P505" s="2">
        <v>3.9487999999999999</v>
      </c>
      <c r="Q505" s="2">
        <v>18.829999999999998</v>
      </c>
      <c r="R505" s="2" t="s">
        <v>439</v>
      </c>
      <c r="T505" s="25">
        <v>0</v>
      </c>
      <c r="U505" s="25"/>
      <c r="V505" s="25"/>
      <c r="W505">
        <v>0</v>
      </c>
      <c r="Z505">
        <v>0</v>
      </c>
      <c r="AD505">
        <v>22</v>
      </c>
      <c r="AE505" s="55">
        <f t="shared" si="34"/>
        <v>293.61659371519994</v>
      </c>
      <c r="AF505" s="57">
        <v>0</v>
      </c>
      <c r="AG505" s="55">
        <v>0</v>
      </c>
      <c r="AH505" s="55">
        <v>0</v>
      </c>
      <c r="AI505" s="52">
        <f t="shared" si="36"/>
        <v>7.4927645340574306E-2</v>
      </c>
      <c r="AJ505" s="51"/>
      <c r="AM505" s="28">
        <v>1.8947368421052631</v>
      </c>
      <c r="AN505" s="28">
        <v>3.1578947368421049</v>
      </c>
      <c r="AO505" s="28">
        <v>2.5263157894736841</v>
      </c>
      <c r="AP505" s="28">
        <v>2.947368421052631</v>
      </c>
      <c r="AQ505" s="28">
        <v>0.18</v>
      </c>
      <c r="AR505" s="28">
        <v>0.3</v>
      </c>
      <c r="AS505" s="28">
        <v>0.24</v>
      </c>
      <c r="AT505" s="28">
        <v>0.28000000000000003</v>
      </c>
      <c r="AU505" s="25">
        <v>0.89</v>
      </c>
      <c r="AV505" s="25">
        <v>3.44</v>
      </c>
      <c r="AW505" s="25">
        <v>2.5499999999999998</v>
      </c>
      <c r="AX505" s="25">
        <v>2.8147368421052632</v>
      </c>
      <c r="AY505">
        <v>2.8147368421052632</v>
      </c>
      <c r="AZ505">
        <v>6.2004463597368424</v>
      </c>
      <c r="BC505" s="75">
        <v>0</v>
      </c>
      <c r="BD505">
        <v>3.7463822670287153E-2</v>
      </c>
      <c r="BH505">
        <v>7.4927645340574306E-2</v>
      </c>
      <c r="BI505">
        <v>3.7463822670287153E-2</v>
      </c>
      <c r="BJ505">
        <v>0</v>
      </c>
    </row>
    <row r="506" spans="1:62" x14ac:dyDescent="0.3">
      <c r="A506" s="2" t="s">
        <v>423</v>
      </c>
      <c r="B506" s="13" t="s">
        <v>851</v>
      </c>
      <c r="C506" s="13"/>
      <c r="F506" s="2">
        <v>2.5099999999999998</v>
      </c>
      <c r="G506" s="2" t="s">
        <v>412</v>
      </c>
      <c r="H506" s="9">
        <v>-1</v>
      </c>
      <c r="I506">
        <v>-1</v>
      </c>
      <c r="J506" s="69" t="s">
        <v>1244</v>
      </c>
      <c r="K506" s="2">
        <v>1</v>
      </c>
      <c r="L506" s="25">
        <v>0</v>
      </c>
      <c r="M506">
        <v>0</v>
      </c>
      <c r="N506">
        <v>0</v>
      </c>
      <c r="O506" s="2">
        <v>3.8788399999999998</v>
      </c>
      <c r="P506" s="2">
        <v>3.8788399999999998</v>
      </c>
      <c r="Q506" s="2">
        <v>18.3658</v>
      </c>
      <c r="R506" s="2" t="s">
        <v>439</v>
      </c>
      <c r="T506" s="25">
        <v>0</v>
      </c>
      <c r="U506" s="25"/>
      <c r="V506" s="25"/>
      <c r="W506">
        <v>0</v>
      </c>
      <c r="Z506">
        <v>0</v>
      </c>
      <c r="AD506">
        <v>22</v>
      </c>
      <c r="AE506" s="55">
        <f t="shared" si="34"/>
        <v>276.32080264774049</v>
      </c>
      <c r="AF506" s="57">
        <v>0</v>
      </c>
      <c r="AG506" s="55">
        <v>0</v>
      </c>
      <c r="AH506" s="55">
        <v>0</v>
      </c>
      <c r="AI506" s="52">
        <f t="shared" si="36"/>
        <v>7.9617603123591299E-2</v>
      </c>
      <c r="AJ506" s="51"/>
      <c r="AM506" s="28">
        <v>1.9473684210526321</v>
      </c>
      <c r="AN506" s="28">
        <v>3.2105263157894739</v>
      </c>
      <c r="AO506" s="28">
        <v>2.4210526315789469</v>
      </c>
      <c r="AP506" s="28">
        <v>2.947368421052631</v>
      </c>
      <c r="AQ506" s="28">
        <v>0.185</v>
      </c>
      <c r="AR506" s="28">
        <v>0.30499999999999999</v>
      </c>
      <c r="AS506" s="28">
        <v>0.23</v>
      </c>
      <c r="AT506" s="28">
        <v>0.28000000000000003</v>
      </c>
      <c r="AU506" s="25">
        <v>0.95</v>
      </c>
      <c r="AV506" s="25">
        <v>3.44</v>
      </c>
      <c r="AW506" s="25">
        <v>2.4900000000000002</v>
      </c>
      <c r="AX506" s="25">
        <v>2.798421052631578</v>
      </c>
      <c r="AY506">
        <v>2.7984210526315789</v>
      </c>
      <c r="AZ506">
        <v>6.2023549881578939</v>
      </c>
      <c r="BC506" s="75">
        <v>0</v>
      </c>
      <c r="BD506">
        <v>3.9808801561795649E-2</v>
      </c>
      <c r="BH506">
        <v>7.9617603123591299E-2</v>
      </c>
      <c r="BI506">
        <v>3.9808801561795649E-2</v>
      </c>
      <c r="BJ506">
        <v>0</v>
      </c>
    </row>
    <row r="507" spans="1:62" x14ac:dyDescent="0.3">
      <c r="A507" s="2" t="s">
        <v>424</v>
      </c>
      <c r="B507" s="13" t="s">
        <v>852</v>
      </c>
      <c r="C507" s="13"/>
      <c r="F507" s="2">
        <v>2.48</v>
      </c>
      <c r="G507" s="2" t="s">
        <v>412</v>
      </c>
      <c r="H507" s="9">
        <v>-1</v>
      </c>
      <c r="I507">
        <v>-1</v>
      </c>
      <c r="J507" s="69" t="s">
        <v>1244</v>
      </c>
      <c r="K507" s="2">
        <v>1</v>
      </c>
      <c r="L507" s="25">
        <v>0</v>
      </c>
      <c r="M507">
        <v>0</v>
      </c>
      <c r="N507">
        <v>0</v>
      </c>
      <c r="O507" s="2">
        <v>3.9116</v>
      </c>
      <c r="P507" s="2">
        <v>3.9116</v>
      </c>
      <c r="Q507" s="2">
        <v>18.6922</v>
      </c>
      <c r="R507" s="2" t="s">
        <v>439</v>
      </c>
      <c r="T507" s="25">
        <v>0</v>
      </c>
      <c r="U507" s="25"/>
      <c r="V507" s="25"/>
      <c r="W507">
        <v>0</v>
      </c>
      <c r="Z507">
        <v>0</v>
      </c>
      <c r="AD507">
        <v>22</v>
      </c>
      <c r="AE507" s="55">
        <f t="shared" si="34"/>
        <v>286.00214747843199</v>
      </c>
      <c r="AF507" s="57">
        <v>0</v>
      </c>
      <c r="AG507" s="55">
        <v>0</v>
      </c>
      <c r="AH507" s="55">
        <v>0</v>
      </c>
      <c r="AI507" s="52">
        <f t="shared" si="36"/>
        <v>7.6922499337733347E-2</v>
      </c>
      <c r="AJ507" s="51"/>
      <c r="AM507" s="28">
        <v>1.9473684210526321</v>
      </c>
      <c r="AN507" s="28">
        <v>3.2105263157894739</v>
      </c>
      <c r="AO507" s="28">
        <v>2.4210526315789469</v>
      </c>
      <c r="AP507" s="28">
        <v>2.947368421052631</v>
      </c>
      <c r="AQ507" s="28">
        <v>0.185</v>
      </c>
      <c r="AR507" s="28">
        <v>0.30499999999999999</v>
      </c>
      <c r="AS507" s="28">
        <v>0.23</v>
      </c>
      <c r="AT507" s="28">
        <v>0.28000000000000003</v>
      </c>
      <c r="AU507" s="25">
        <v>0.89</v>
      </c>
      <c r="AV507" s="25">
        <v>3.44</v>
      </c>
      <c r="AW507" s="25">
        <v>2.5499999999999998</v>
      </c>
      <c r="AX507" s="25">
        <v>2.7952631578947358</v>
      </c>
      <c r="AY507">
        <v>2.7952631578947371</v>
      </c>
      <c r="AZ507">
        <v>6.1920749131578949</v>
      </c>
      <c r="BC507" s="75">
        <v>0</v>
      </c>
      <c r="BD507">
        <v>3.8461249668866673E-2</v>
      </c>
      <c r="BH507">
        <v>7.6922499337733347E-2</v>
      </c>
      <c r="BI507">
        <v>3.8461249668866673E-2</v>
      </c>
      <c r="BJ507">
        <v>0</v>
      </c>
    </row>
    <row r="508" spans="1:62" x14ac:dyDescent="0.3">
      <c r="A508" s="2" t="s">
        <v>425</v>
      </c>
      <c r="B508" s="13" t="s">
        <v>853</v>
      </c>
      <c r="C508" s="13"/>
      <c r="F508" s="2">
        <v>2.5299999999999998</v>
      </c>
      <c r="G508" s="2" t="s">
        <v>412</v>
      </c>
      <c r="H508" s="9">
        <v>-1</v>
      </c>
      <c r="I508">
        <v>-1</v>
      </c>
      <c r="J508" s="69" t="s">
        <v>1244</v>
      </c>
      <c r="K508" s="2">
        <v>1</v>
      </c>
      <c r="L508" s="25">
        <v>0</v>
      </c>
      <c r="M508">
        <v>0</v>
      </c>
      <c r="N508">
        <v>0</v>
      </c>
      <c r="O508" s="2">
        <v>3.8759000000000001</v>
      </c>
      <c r="P508" s="2">
        <v>3.8759000000000001</v>
      </c>
      <c r="Q508" s="2">
        <v>18.463000000000001</v>
      </c>
      <c r="R508" s="2" t="s">
        <v>439</v>
      </c>
      <c r="T508" s="25">
        <v>0</v>
      </c>
      <c r="U508" s="25"/>
      <c r="V508" s="25"/>
      <c r="W508">
        <v>0</v>
      </c>
      <c r="Z508">
        <v>0</v>
      </c>
      <c r="AD508">
        <v>22</v>
      </c>
      <c r="AE508" s="55">
        <f t="shared" si="34"/>
        <v>277.36227875502999</v>
      </c>
      <c r="AF508" s="57">
        <v>0</v>
      </c>
      <c r="AG508" s="55">
        <v>0</v>
      </c>
      <c r="AH508" s="55">
        <v>0</v>
      </c>
      <c r="AI508" s="52">
        <f t="shared" si="36"/>
        <v>7.9318644549465536E-2</v>
      </c>
      <c r="AJ508" s="51"/>
      <c r="AM508" s="28">
        <v>1.9473684210526321</v>
      </c>
      <c r="AN508" s="28">
        <v>3.3157894736842111</v>
      </c>
      <c r="AO508" s="28">
        <v>2.947368421052631</v>
      </c>
      <c r="AP508" s="28">
        <v>3.6842105263157889</v>
      </c>
      <c r="AQ508" s="28">
        <v>0.16371681415929201</v>
      </c>
      <c r="AR508" s="28">
        <v>0.27876106194690259</v>
      </c>
      <c r="AS508" s="28">
        <v>0.247787610619469</v>
      </c>
      <c r="AT508" s="28">
        <v>0.30973451327433632</v>
      </c>
      <c r="AU508" s="25">
        <v>1.54</v>
      </c>
      <c r="AV508" s="25">
        <v>3.44</v>
      </c>
      <c r="AW508" s="25">
        <v>1.9</v>
      </c>
      <c r="AX508" s="25">
        <v>2.8710526315789471</v>
      </c>
      <c r="AY508">
        <v>2.871052631578948</v>
      </c>
      <c r="AZ508">
        <v>6.255683084210526</v>
      </c>
      <c r="BC508" s="75">
        <v>0</v>
      </c>
      <c r="BD508">
        <v>3.9659322274732768E-2</v>
      </c>
      <c r="BH508">
        <v>7.9318644549465536E-2</v>
      </c>
      <c r="BI508">
        <v>3.9659322274732768E-2</v>
      </c>
      <c r="BJ508">
        <v>0</v>
      </c>
    </row>
    <row r="509" spans="1:62" x14ac:dyDescent="0.3">
      <c r="A509" s="2" t="s">
        <v>63</v>
      </c>
      <c r="B509" s="13" t="s">
        <v>773</v>
      </c>
      <c r="C509" s="13"/>
      <c r="F509" s="2">
        <v>3.45</v>
      </c>
      <c r="G509" s="2" t="s">
        <v>432</v>
      </c>
      <c r="H509" s="9">
        <v>-1</v>
      </c>
      <c r="I509">
        <v>-1</v>
      </c>
      <c r="J509"/>
      <c r="K509" s="2">
        <v>1</v>
      </c>
      <c r="L509" s="25">
        <v>0</v>
      </c>
      <c r="M509">
        <v>0</v>
      </c>
      <c r="N509">
        <v>0</v>
      </c>
      <c r="O509" s="2">
        <v>3.8531</v>
      </c>
      <c r="P509" s="2">
        <v>3.8531</v>
      </c>
      <c r="Q509" s="2">
        <v>16.2151</v>
      </c>
      <c r="R509" s="2" t="s">
        <v>1137</v>
      </c>
      <c r="T509" s="25">
        <v>0</v>
      </c>
      <c r="U509" s="25"/>
      <c r="V509" s="25"/>
      <c r="W509">
        <v>0</v>
      </c>
      <c r="Z509">
        <v>0</v>
      </c>
      <c r="AD509">
        <v>20</v>
      </c>
      <c r="AE509" s="55">
        <f t="shared" si="34"/>
        <v>240.73553001411099</v>
      </c>
      <c r="AF509" s="57">
        <v>0</v>
      </c>
      <c r="AG509" s="55">
        <v>0</v>
      </c>
      <c r="AH509" s="55">
        <v>0</v>
      </c>
      <c r="AI509" s="52">
        <f t="shared" si="36"/>
        <v>8.3078721279022161E-2</v>
      </c>
      <c r="AJ509" s="51"/>
      <c r="AM509" s="28">
        <v>1.75</v>
      </c>
      <c r="AN509" s="28">
        <v>2.5</v>
      </c>
      <c r="AO509" s="28">
        <v>0.75</v>
      </c>
      <c r="AP509" s="28">
        <v>0</v>
      </c>
      <c r="AQ509" s="28">
        <v>0.35</v>
      </c>
      <c r="AR509" s="28">
        <v>0.5</v>
      </c>
      <c r="AS509" s="28">
        <v>0.15</v>
      </c>
      <c r="AT509" s="28">
        <v>0</v>
      </c>
      <c r="AU509" s="25">
        <v>1</v>
      </c>
      <c r="AV509" s="25">
        <v>3.44</v>
      </c>
      <c r="AW509" s="25">
        <v>2.44</v>
      </c>
      <c r="AX509" s="25">
        <v>2.7124999999999999</v>
      </c>
      <c r="AY509">
        <v>2.7124999999999999</v>
      </c>
      <c r="AZ509">
        <v>6.264025610615688</v>
      </c>
      <c r="BD509">
        <v>4.153936063951108E-2</v>
      </c>
      <c r="BH509">
        <v>8.3078721279022161E-2</v>
      </c>
      <c r="BI509">
        <v>4.153936063951108E-2</v>
      </c>
      <c r="BJ509">
        <v>0</v>
      </c>
    </row>
    <row r="510" spans="1:62" x14ac:dyDescent="0.3">
      <c r="A510" s="2" t="s">
        <v>63</v>
      </c>
      <c r="B510" s="13" t="s">
        <v>773</v>
      </c>
      <c r="C510" s="13"/>
      <c r="D510" s="2" t="s">
        <v>863</v>
      </c>
      <c r="E510" s="2">
        <v>1</v>
      </c>
      <c r="F510" s="2">
        <v>3.5</v>
      </c>
      <c r="G510" s="2" t="s">
        <v>432</v>
      </c>
      <c r="H510" s="9">
        <v>-1</v>
      </c>
      <c r="I510">
        <v>-1</v>
      </c>
      <c r="J510"/>
      <c r="K510" s="2">
        <v>2</v>
      </c>
      <c r="L510" s="25">
        <v>0</v>
      </c>
      <c r="M510">
        <v>0</v>
      </c>
      <c r="N510">
        <v>0</v>
      </c>
      <c r="O510" s="2">
        <v>3.843</v>
      </c>
      <c r="P510" s="2">
        <v>3.843</v>
      </c>
      <c r="Q510" s="2">
        <v>32.261000000000003</v>
      </c>
      <c r="R510" s="2" t="s">
        <v>1138</v>
      </c>
      <c r="T510" s="25">
        <v>0</v>
      </c>
      <c r="U510"/>
      <c r="V510"/>
      <c r="W510">
        <v>0</v>
      </c>
      <c r="Z510">
        <v>0</v>
      </c>
      <c r="AD510">
        <v>20</v>
      </c>
      <c r="AE510" s="55">
        <f t="shared" si="34"/>
        <v>476.45138538900005</v>
      </c>
      <c r="AF510" s="57">
        <v>0</v>
      </c>
      <c r="AG510" s="55">
        <v>0</v>
      </c>
      <c r="AH510" s="55">
        <v>0</v>
      </c>
      <c r="AI510" s="52">
        <f t="shared" si="36"/>
        <v>8.3954000820759267E-2</v>
      </c>
      <c r="AM510" s="28">
        <v>1.75</v>
      </c>
      <c r="AN510" s="28">
        <v>2.5</v>
      </c>
      <c r="AO510" s="28">
        <v>0.75</v>
      </c>
      <c r="AP510" s="28">
        <v>0</v>
      </c>
      <c r="AQ510" s="28">
        <v>0.35</v>
      </c>
      <c r="AR510" s="28">
        <v>0.5</v>
      </c>
      <c r="AS510" s="28">
        <v>0.15</v>
      </c>
      <c r="AT510" s="28">
        <v>0</v>
      </c>
      <c r="AU510" s="25">
        <v>1</v>
      </c>
      <c r="AV510" s="25">
        <v>3.44</v>
      </c>
      <c r="AW510" s="25">
        <v>2.44</v>
      </c>
      <c r="AX510" s="25">
        <v>2.7124999999999999</v>
      </c>
      <c r="AY510">
        <v>2.7124999999999999</v>
      </c>
      <c r="AZ510">
        <v>6.264025610615688</v>
      </c>
      <c r="BD510">
        <v>4.1977000410379627E-2</v>
      </c>
      <c r="BH510">
        <v>8.3954000820759267E-2</v>
      </c>
      <c r="BI510">
        <v>4.1977000410379627E-2</v>
      </c>
      <c r="BJ510">
        <v>0</v>
      </c>
    </row>
    <row r="511" spans="1:62" x14ac:dyDescent="0.3">
      <c r="A511" s="2" t="s">
        <v>363</v>
      </c>
      <c r="B511" s="18" t="s">
        <v>1064</v>
      </c>
      <c r="C511" s="13"/>
      <c r="F511" s="2">
        <v>3.52</v>
      </c>
      <c r="G511" s="2" t="s">
        <v>432</v>
      </c>
      <c r="H511" s="9">
        <v>-1</v>
      </c>
      <c r="I511">
        <v>-1</v>
      </c>
      <c r="J511"/>
      <c r="K511" s="2">
        <v>1</v>
      </c>
      <c r="L511" s="25">
        <v>0</v>
      </c>
      <c r="M511">
        <v>0</v>
      </c>
      <c r="N511">
        <v>0</v>
      </c>
      <c r="O511" s="2">
        <v>3.8693</v>
      </c>
      <c r="P511" s="2">
        <v>3.8693</v>
      </c>
      <c r="Q511" s="2">
        <v>16.124700000000001</v>
      </c>
      <c r="R511" s="2" t="s">
        <v>1138</v>
      </c>
      <c r="T511" s="25">
        <v>0</v>
      </c>
      <c r="U511"/>
      <c r="V511"/>
      <c r="W511">
        <v>0</v>
      </c>
      <c r="Z511">
        <v>0</v>
      </c>
      <c r="AD511">
        <v>20</v>
      </c>
      <c r="AE511" s="55">
        <f t="shared" si="34"/>
        <v>241.41066370650302</v>
      </c>
      <c r="AF511" s="57">
        <v>0</v>
      </c>
      <c r="AG511" s="55">
        <v>0</v>
      </c>
      <c r="AH511" s="55">
        <v>0</v>
      </c>
      <c r="AI511" s="52">
        <f t="shared" si="36"/>
        <v>8.2846381733638591E-2</v>
      </c>
      <c r="AM511" s="28">
        <v>1.6086956521739131</v>
      </c>
      <c r="AN511" s="28">
        <v>1.956521739130435</v>
      </c>
      <c r="AO511" s="28">
        <v>0.52173913043478259</v>
      </c>
      <c r="AP511" s="28">
        <v>0</v>
      </c>
      <c r="AQ511" s="28">
        <v>0.3936170212765957</v>
      </c>
      <c r="AR511" s="28">
        <v>0.47872340425531912</v>
      </c>
      <c r="AS511" s="28">
        <v>0.1276595744680851</v>
      </c>
      <c r="AT511" s="28">
        <v>0</v>
      </c>
      <c r="AU511" s="25">
        <v>1</v>
      </c>
      <c r="AV511" s="25">
        <v>3.44</v>
      </c>
      <c r="AW511" s="25">
        <v>2.44</v>
      </c>
      <c r="AX511" s="25">
        <v>2.6082608695652172</v>
      </c>
      <c r="AY511">
        <v>2.6082608695652181</v>
      </c>
      <c r="AZ511">
        <v>6.5043590032654777</v>
      </c>
      <c r="BD511">
        <v>4.1423190866819302E-2</v>
      </c>
      <c r="BH511">
        <v>8.2846381733638591E-2</v>
      </c>
      <c r="BI511">
        <v>4.1423190866819302E-2</v>
      </c>
      <c r="BJ511">
        <v>0</v>
      </c>
    </row>
    <row r="512" spans="1:62" x14ac:dyDescent="0.3">
      <c r="A512" s="2" t="s">
        <v>366</v>
      </c>
      <c r="B512" s="18" t="s">
        <v>1065</v>
      </c>
      <c r="C512" s="13"/>
      <c r="F512" s="2">
        <v>3.58</v>
      </c>
      <c r="G512" s="2" t="s">
        <v>432</v>
      </c>
      <c r="H512" s="9">
        <v>-1</v>
      </c>
      <c r="I512">
        <v>-1</v>
      </c>
      <c r="J512"/>
      <c r="K512" s="2">
        <v>1</v>
      </c>
      <c r="L512" s="25">
        <v>0</v>
      </c>
      <c r="M512">
        <v>0</v>
      </c>
      <c r="N512">
        <v>0</v>
      </c>
      <c r="O512" s="2">
        <v>3.8614999999999999</v>
      </c>
      <c r="P512" s="2">
        <v>3.8614999999999999</v>
      </c>
      <c r="Q512" s="2">
        <v>25.281600000000001</v>
      </c>
      <c r="R512" s="2" t="s">
        <v>1137</v>
      </c>
      <c r="T512" s="25">
        <v>0</v>
      </c>
      <c r="U512"/>
      <c r="V512"/>
      <c r="W512">
        <v>0</v>
      </c>
      <c r="Z512">
        <v>0</v>
      </c>
      <c r="AD512">
        <v>20</v>
      </c>
      <c r="AE512" s="55">
        <f t="shared" si="34"/>
        <v>376.97854517159999</v>
      </c>
      <c r="AF512" s="57">
        <v>0</v>
      </c>
      <c r="AG512" s="55">
        <v>0</v>
      </c>
      <c r="AH512" s="55">
        <v>0</v>
      </c>
      <c r="AI512" s="52">
        <f t="shared" si="36"/>
        <v>5.3053417113952825E-2</v>
      </c>
      <c r="AM512" s="28">
        <v>1.53125</v>
      </c>
      <c r="AN512" s="28">
        <v>1.59375</v>
      </c>
      <c r="AO512" s="28">
        <v>0.375</v>
      </c>
      <c r="AP512" s="28">
        <v>0</v>
      </c>
      <c r="AQ512" s="28">
        <v>0.4375</v>
      </c>
      <c r="AR512" s="28">
        <v>0.45535714285714279</v>
      </c>
      <c r="AS512" s="28">
        <v>0.1071428571428571</v>
      </c>
      <c r="AT512" s="28">
        <v>0</v>
      </c>
      <c r="AU512" s="25">
        <v>1</v>
      </c>
      <c r="AV512" s="25">
        <v>3.44</v>
      </c>
      <c r="AW512" s="25">
        <v>2.44</v>
      </c>
      <c r="AX512" s="25">
        <v>2.5262500000000001</v>
      </c>
      <c r="AY512">
        <v>2.5262500000000001</v>
      </c>
      <c r="AZ512">
        <v>6.6075924153816246</v>
      </c>
      <c r="BD512">
        <v>2.6526708556976409E-2</v>
      </c>
      <c r="BH512">
        <v>5.3053417113952818E-2</v>
      </c>
      <c r="BI512">
        <v>2.6526708556976409E-2</v>
      </c>
      <c r="BJ512">
        <v>0</v>
      </c>
    </row>
    <row r="513" spans="1:62" x14ac:dyDescent="0.3">
      <c r="A513" s="2" t="s">
        <v>368</v>
      </c>
      <c r="B513" s="18" t="s">
        <v>1066</v>
      </c>
      <c r="C513" s="13"/>
      <c r="F513" s="2">
        <v>3.52</v>
      </c>
      <c r="G513" s="2" t="s">
        <v>432</v>
      </c>
      <c r="H513" s="9">
        <v>-1</v>
      </c>
      <c r="I513">
        <v>-1</v>
      </c>
      <c r="J513"/>
      <c r="K513" s="2">
        <v>1</v>
      </c>
      <c r="L513" s="25">
        <v>0</v>
      </c>
      <c r="M513">
        <v>0</v>
      </c>
      <c r="N513">
        <v>0</v>
      </c>
      <c r="O513" s="2">
        <v>3.8675999999999999</v>
      </c>
      <c r="P513" s="2">
        <v>3.8675999999999999</v>
      </c>
      <c r="Q513" s="2">
        <v>34.564999999999998</v>
      </c>
      <c r="R513" s="2" t="s">
        <v>1139</v>
      </c>
      <c r="T513" s="25">
        <v>0</v>
      </c>
      <c r="U513"/>
      <c r="V513"/>
      <c r="W513">
        <v>0</v>
      </c>
      <c r="Z513">
        <v>0</v>
      </c>
      <c r="AD513">
        <v>20</v>
      </c>
      <c r="AE513" s="55">
        <f t="shared" si="34"/>
        <v>517.03466815439992</v>
      </c>
      <c r="AF513" s="57">
        <v>0</v>
      </c>
      <c r="AG513" s="55">
        <v>0</v>
      </c>
      <c r="AH513" s="55">
        <v>0</v>
      </c>
      <c r="AI513" s="52">
        <f t="shared" si="36"/>
        <v>3.8682125652022011E-2</v>
      </c>
      <c r="AM513" s="28">
        <v>1.4772727272727271</v>
      </c>
      <c r="AN513" s="28">
        <v>1.3409090909090911</v>
      </c>
      <c r="AO513" s="28">
        <v>0.27272727272727271</v>
      </c>
      <c r="AP513" s="28">
        <v>0</v>
      </c>
      <c r="AQ513" s="28">
        <v>0.47794117647058831</v>
      </c>
      <c r="AR513" s="28">
        <v>0.43382352941176472</v>
      </c>
      <c r="AS513" s="28">
        <v>8.8235294117647051E-2</v>
      </c>
      <c r="AT513" s="28">
        <v>0</v>
      </c>
      <c r="AU513" s="25">
        <v>1</v>
      </c>
      <c r="AV513" s="25">
        <v>3.44</v>
      </c>
      <c r="AW513" s="25">
        <v>2.44</v>
      </c>
      <c r="AX513" s="25">
        <v>2.4690909090909088</v>
      </c>
      <c r="AY513">
        <v>2.4690909090909088</v>
      </c>
      <c r="AZ513">
        <v>6.679542975341362</v>
      </c>
      <c r="BD513">
        <v>1.9341062826011009E-2</v>
      </c>
      <c r="BH513">
        <v>3.8682125652022011E-2</v>
      </c>
      <c r="BI513">
        <v>1.9341062826011009E-2</v>
      </c>
      <c r="BJ513">
        <v>0</v>
      </c>
    </row>
    <row r="514" spans="1:62" x14ac:dyDescent="0.3">
      <c r="A514" s="2" t="s">
        <v>427</v>
      </c>
      <c r="B514" s="18" t="s">
        <v>1064</v>
      </c>
      <c r="C514" s="13"/>
      <c r="D514" s="2" t="s">
        <v>863</v>
      </c>
      <c r="E514" s="2">
        <v>1</v>
      </c>
      <c r="F514" s="2">
        <v>3.57</v>
      </c>
      <c r="G514" s="2" t="s">
        <v>432</v>
      </c>
      <c r="H514" s="9">
        <v>-1</v>
      </c>
      <c r="I514">
        <v>-1</v>
      </c>
      <c r="J514"/>
      <c r="K514" s="2">
        <v>2</v>
      </c>
      <c r="L514" s="25">
        <v>0</v>
      </c>
      <c r="M514">
        <v>0</v>
      </c>
      <c r="N514">
        <v>0</v>
      </c>
      <c r="O514" s="2">
        <v>3.8532999999999999</v>
      </c>
      <c r="P514" s="2">
        <v>3.8532999999999999</v>
      </c>
      <c r="Q514" s="2">
        <v>31.7422</v>
      </c>
      <c r="R514" s="2" t="s">
        <v>1138</v>
      </c>
      <c r="T514" s="25">
        <v>0</v>
      </c>
      <c r="U514"/>
      <c r="V514"/>
      <c r="W514">
        <v>0</v>
      </c>
      <c r="Z514">
        <v>0</v>
      </c>
      <c r="AD514">
        <v>20</v>
      </c>
      <c r="AE514" s="55">
        <f t="shared" ref="AE514:AE524" si="37">O514*P514*Q514</f>
        <v>471.30567447455797</v>
      </c>
      <c r="AF514" s="57">
        <v>0</v>
      </c>
      <c r="AG514" s="55">
        <v>0</v>
      </c>
      <c r="AH514" s="55">
        <v>0</v>
      </c>
      <c r="AI514" s="52">
        <f t="shared" si="36"/>
        <v>8.4870609810914294E-2</v>
      </c>
      <c r="AM514" s="28">
        <v>1.6086956521739131</v>
      </c>
      <c r="AN514" s="28">
        <v>1.956521739130435</v>
      </c>
      <c r="AO514" s="28">
        <v>0.52173913043478259</v>
      </c>
      <c r="AP514" s="28">
        <v>0</v>
      </c>
      <c r="AQ514" s="28">
        <v>0.3936170212765957</v>
      </c>
      <c r="AR514" s="28">
        <v>0.47872340425531912</v>
      </c>
      <c r="AS514" s="28">
        <v>0.1276595744680851</v>
      </c>
      <c r="AT514" s="28">
        <v>0</v>
      </c>
      <c r="AU514" s="25">
        <v>1</v>
      </c>
      <c r="AV514" s="25">
        <v>3.44</v>
      </c>
      <c r="AW514" s="25">
        <v>2.44</v>
      </c>
      <c r="AX514" s="25">
        <v>2.6082608695652172</v>
      </c>
      <c r="AY514">
        <v>2.6082608695652181</v>
      </c>
      <c r="AZ514">
        <v>6.5043590032654777</v>
      </c>
      <c r="BD514">
        <v>4.2435304905457147E-2</v>
      </c>
      <c r="BH514">
        <v>8.4870609810914294E-2</v>
      </c>
      <c r="BI514">
        <v>4.2435304905457147E-2</v>
      </c>
      <c r="BJ514">
        <v>0</v>
      </c>
    </row>
    <row r="515" spans="1:62" x14ac:dyDescent="0.3">
      <c r="A515" s="2" t="s">
        <v>428</v>
      </c>
      <c r="B515" s="18" t="s">
        <v>1065</v>
      </c>
      <c r="C515" s="13"/>
      <c r="D515" s="2" t="s">
        <v>863</v>
      </c>
      <c r="E515" s="2">
        <v>1</v>
      </c>
      <c r="F515" s="2">
        <v>3.52</v>
      </c>
      <c r="G515" s="2" t="s">
        <v>432</v>
      </c>
      <c r="H515" s="9">
        <v>-1</v>
      </c>
      <c r="I515">
        <v>-1</v>
      </c>
      <c r="J515"/>
      <c r="K515" s="2">
        <v>1</v>
      </c>
      <c r="L515" s="25">
        <v>0</v>
      </c>
      <c r="M515">
        <v>0</v>
      </c>
      <c r="N515">
        <v>0</v>
      </c>
      <c r="O515" s="2">
        <v>3.8580000000000001</v>
      </c>
      <c r="P515" s="2">
        <v>3.8580000000000001</v>
      </c>
      <c r="Q515" s="2">
        <v>23.879799999999999</v>
      </c>
      <c r="R515" s="2" t="s">
        <v>1137</v>
      </c>
      <c r="T515" s="25">
        <v>0</v>
      </c>
      <c r="U515"/>
      <c r="V515"/>
      <c r="W515">
        <v>0</v>
      </c>
      <c r="Z515">
        <v>0</v>
      </c>
      <c r="AD515">
        <v>20</v>
      </c>
      <c r="AE515" s="55">
        <f t="shared" si="37"/>
        <v>355.4308594872</v>
      </c>
      <c r="AF515" s="57">
        <v>0</v>
      </c>
      <c r="AG515" s="55">
        <v>0</v>
      </c>
      <c r="AH515" s="55">
        <v>0</v>
      </c>
      <c r="AI515" s="52">
        <f t="shared" si="36"/>
        <v>5.6269734228634849E-2</v>
      </c>
      <c r="AM515" s="28">
        <v>1.53125</v>
      </c>
      <c r="AN515" s="28">
        <v>1.59375</v>
      </c>
      <c r="AO515" s="28">
        <v>0.375</v>
      </c>
      <c r="AP515" s="28">
        <v>0</v>
      </c>
      <c r="AQ515" s="28">
        <v>0.4375</v>
      </c>
      <c r="AR515" s="28">
        <v>0.45535714285714279</v>
      </c>
      <c r="AS515" s="28">
        <v>0.1071428571428571</v>
      </c>
      <c r="AT515" s="28">
        <v>0</v>
      </c>
      <c r="AU515" s="25">
        <v>1</v>
      </c>
      <c r="AV515" s="25">
        <v>3.44</v>
      </c>
      <c r="AW515" s="25">
        <v>2.44</v>
      </c>
      <c r="AX515" s="25">
        <v>2.5262500000000001</v>
      </c>
      <c r="AY515">
        <v>2.5262500000000001</v>
      </c>
      <c r="AZ515">
        <v>6.6075924153816246</v>
      </c>
      <c r="BD515">
        <v>2.8134867114317421E-2</v>
      </c>
      <c r="BH515">
        <v>5.6269734228634849E-2</v>
      </c>
      <c r="BI515">
        <v>2.8134867114317421E-2</v>
      </c>
      <c r="BJ515">
        <v>0</v>
      </c>
    </row>
    <row r="516" spans="1:62" x14ac:dyDescent="0.3">
      <c r="A516" s="2" t="s">
        <v>429</v>
      </c>
      <c r="B516" s="18" t="s">
        <v>1066</v>
      </c>
      <c r="C516" s="13"/>
      <c r="D516" s="2" t="s">
        <v>863</v>
      </c>
      <c r="E516" s="2">
        <v>1</v>
      </c>
      <c r="F516" s="2">
        <v>3.59</v>
      </c>
      <c r="G516" s="2" t="s">
        <v>432</v>
      </c>
      <c r="H516" s="9">
        <v>-1</v>
      </c>
      <c r="I516">
        <v>-1</v>
      </c>
      <c r="J516"/>
      <c r="K516" s="2">
        <v>1</v>
      </c>
      <c r="L516" s="25">
        <v>0</v>
      </c>
      <c r="M516">
        <v>0</v>
      </c>
      <c r="N516">
        <v>0</v>
      </c>
      <c r="O516" s="2">
        <v>3.8639000000000001</v>
      </c>
      <c r="P516" s="2">
        <v>3.8639000000000001</v>
      </c>
      <c r="Q516" s="2">
        <v>34.090000000000003</v>
      </c>
      <c r="R516" s="2" t="s">
        <v>1138</v>
      </c>
      <c r="T516" s="25">
        <v>0</v>
      </c>
      <c r="U516"/>
      <c r="V516"/>
      <c r="W516">
        <v>0</v>
      </c>
      <c r="Z516">
        <v>0</v>
      </c>
      <c r="AD516">
        <v>20</v>
      </c>
      <c r="AE516" s="55">
        <f t="shared" si="37"/>
        <v>508.95426422890006</v>
      </c>
      <c r="AF516" s="57">
        <v>0</v>
      </c>
      <c r="AG516" s="55">
        <v>0</v>
      </c>
      <c r="AH516" s="55">
        <v>0</v>
      </c>
      <c r="AI516" s="52">
        <f t="shared" si="36"/>
        <v>3.9296261777669442E-2</v>
      </c>
      <c r="AM516" s="28">
        <v>1.4772727272727271</v>
      </c>
      <c r="AN516" s="28">
        <v>1.3409090909090911</v>
      </c>
      <c r="AO516" s="28">
        <v>0.27272727272727271</v>
      </c>
      <c r="AP516" s="28">
        <v>0</v>
      </c>
      <c r="AQ516" s="28">
        <v>0.47794117647058831</v>
      </c>
      <c r="AR516" s="28">
        <v>0.43382352941176472</v>
      </c>
      <c r="AS516" s="28">
        <v>8.8235294117647051E-2</v>
      </c>
      <c r="AT516" s="28">
        <v>0</v>
      </c>
      <c r="AU516" s="25">
        <v>1</v>
      </c>
      <c r="AV516" s="25">
        <v>3.44</v>
      </c>
      <c r="AW516" s="25">
        <v>2.44</v>
      </c>
      <c r="AX516" s="25">
        <v>2.4690909090909088</v>
      </c>
      <c r="AY516">
        <v>2.4690909090909088</v>
      </c>
      <c r="AZ516">
        <v>6.679542975341362</v>
      </c>
      <c r="BD516">
        <v>1.9648130888834721E-2</v>
      </c>
      <c r="BH516">
        <v>3.9296261777669442E-2</v>
      </c>
      <c r="BI516">
        <v>1.9648130888834721E-2</v>
      </c>
      <c r="BJ516">
        <v>0</v>
      </c>
    </row>
    <row r="517" spans="1:62" x14ac:dyDescent="0.3">
      <c r="A517" s="2" t="s">
        <v>430</v>
      </c>
      <c r="B517" s="18" t="s">
        <v>1064</v>
      </c>
      <c r="C517" s="13"/>
      <c r="D517" s="2" t="s">
        <v>863</v>
      </c>
      <c r="E517" s="2">
        <v>1</v>
      </c>
      <c r="F517" s="2">
        <v>3.57</v>
      </c>
      <c r="G517" s="2" t="s">
        <v>432</v>
      </c>
      <c r="H517" s="9">
        <v>-1</v>
      </c>
      <c r="I517">
        <v>-1</v>
      </c>
      <c r="J517"/>
      <c r="K517" s="2">
        <v>1</v>
      </c>
      <c r="L517" s="25">
        <v>0</v>
      </c>
      <c r="M517">
        <v>0</v>
      </c>
      <c r="N517">
        <v>0</v>
      </c>
      <c r="O517" s="2">
        <v>3.8664000000000001</v>
      </c>
      <c r="P517" s="2">
        <v>3.8664000000000001</v>
      </c>
      <c r="Q517" s="2">
        <v>16.116399999999999</v>
      </c>
      <c r="R517" s="2" t="s">
        <v>1137</v>
      </c>
      <c r="T517" s="25">
        <v>0</v>
      </c>
      <c r="U517"/>
      <c r="V517"/>
      <c r="W517">
        <v>0</v>
      </c>
      <c r="Z517">
        <v>0</v>
      </c>
      <c r="AD517">
        <v>20</v>
      </c>
      <c r="AE517" s="55">
        <f t="shared" si="37"/>
        <v>240.92485265894399</v>
      </c>
      <c r="AF517" s="57">
        <v>0</v>
      </c>
      <c r="AG517" s="55">
        <v>0</v>
      </c>
      <c r="AH517" s="55">
        <v>0</v>
      </c>
      <c r="AI517" s="52">
        <f t="shared" si="36"/>
        <v>8.3013436676506888E-2</v>
      </c>
      <c r="AM517" s="28">
        <v>1.6086956521739131</v>
      </c>
      <c r="AN517" s="28">
        <v>1.956521739130435</v>
      </c>
      <c r="AO517" s="28">
        <v>0.52173913043478259</v>
      </c>
      <c r="AP517" s="28">
        <v>0</v>
      </c>
      <c r="AQ517" s="28">
        <v>0.3936170212765957</v>
      </c>
      <c r="AR517" s="28">
        <v>0.47872340425531912</v>
      </c>
      <c r="AS517" s="28">
        <v>0.1276595744680851</v>
      </c>
      <c r="AT517" s="28">
        <v>0</v>
      </c>
      <c r="AU517" s="25">
        <v>1</v>
      </c>
      <c r="AV517" s="25">
        <v>3.44</v>
      </c>
      <c r="AW517" s="25">
        <v>2.44</v>
      </c>
      <c r="AX517" s="25">
        <v>2.6082608695652172</v>
      </c>
      <c r="AY517">
        <v>2.6082608695652181</v>
      </c>
      <c r="AZ517">
        <v>6.5043590032654777</v>
      </c>
      <c r="BD517">
        <v>4.1506718338253437E-2</v>
      </c>
      <c r="BH517">
        <v>8.3013436676506888E-2</v>
      </c>
      <c r="BI517">
        <v>4.1506718338253437E-2</v>
      </c>
      <c r="BJ517">
        <v>0</v>
      </c>
    </row>
    <row r="518" spans="1:62" x14ac:dyDescent="0.3">
      <c r="A518" s="2" t="s">
        <v>431</v>
      </c>
      <c r="B518" s="18" t="s">
        <v>1065</v>
      </c>
      <c r="C518" s="13"/>
      <c r="D518" s="2" t="s">
        <v>863</v>
      </c>
      <c r="E518" s="2">
        <v>1</v>
      </c>
      <c r="F518" s="2">
        <v>3.57</v>
      </c>
      <c r="G518" s="2" t="s">
        <v>432</v>
      </c>
      <c r="H518" s="9">
        <v>-1</v>
      </c>
      <c r="I518">
        <v>-1</v>
      </c>
      <c r="J518"/>
      <c r="K518" s="2">
        <v>2</v>
      </c>
      <c r="L518" s="25">
        <v>0</v>
      </c>
      <c r="M518">
        <v>0</v>
      </c>
      <c r="N518">
        <v>0</v>
      </c>
      <c r="O518" s="2">
        <v>3.8982000000000001</v>
      </c>
      <c r="P518" s="2">
        <v>3.8982000000000001</v>
      </c>
      <c r="Q518" s="2">
        <v>51.103099999999998</v>
      </c>
      <c r="R518" s="2" t="s">
        <v>1140</v>
      </c>
      <c r="T518" s="25">
        <v>0</v>
      </c>
      <c r="U518"/>
      <c r="V518"/>
      <c r="W518">
        <v>0</v>
      </c>
      <c r="Z518">
        <v>0</v>
      </c>
      <c r="AD518">
        <v>20</v>
      </c>
      <c r="AE518" s="55">
        <f t="shared" si="37"/>
        <v>776.56082905004405</v>
      </c>
      <c r="AF518" s="57">
        <v>0</v>
      </c>
      <c r="AG518" s="55">
        <v>0</v>
      </c>
      <c r="AH518" s="55">
        <v>0</v>
      </c>
      <c r="AI518" s="52">
        <f t="shared" si="36"/>
        <v>5.150916515958117E-2</v>
      </c>
      <c r="AM518" s="28">
        <v>1.53125</v>
      </c>
      <c r="AN518" s="28">
        <v>1.59375</v>
      </c>
      <c r="AO518" s="28">
        <v>0.375</v>
      </c>
      <c r="AP518" s="28">
        <v>0</v>
      </c>
      <c r="AQ518" s="28">
        <v>0.4375</v>
      </c>
      <c r="AR518" s="28">
        <v>0.45535714285714279</v>
      </c>
      <c r="AS518" s="28">
        <v>0.1071428571428571</v>
      </c>
      <c r="AT518" s="28">
        <v>0</v>
      </c>
      <c r="AU518" s="25">
        <v>1</v>
      </c>
      <c r="AV518" s="25">
        <v>3.44</v>
      </c>
      <c r="AW518" s="25">
        <v>2.44</v>
      </c>
      <c r="AX518" s="25">
        <v>2.5262500000000001</v>
      </c>
      <c r="AY518">
        <v>2.5262500000000001</v>
      </c>
      <c r="AZ518">
        <v>6.6075924153816246</v>
      </c>
      <c r="BD518">
        <v>2.5754582579790589E-2</v>
      </c>
      <c r="BH518">
        <v>5.150916515958117E-2</v>
      </c>
      <c r="BI518">
        <v>2.5754582579790589E-2</v>
      </c>
      <c r="BJ518">
        <v>0</v>
      </c>
    </row>
    <row r="519" spans="1:62" x14ac:dyDescent="0.3">
      <c r="A519" s="2" t="s">
        <v>107</v>
      </c>
      <c r="B519" s="18" t="s">
        <v>1066</v>
      </c>
      <c r="C519" s="13"/>
      <c r="D519" s="2" t="s">
        <v>863</v>
      </c>
      <c r="E519" s="2">
        <v>1</v>
      </c>
      <c r="F519" s="2">
        <v>3.61</v>
      </c>
      <c r="G519" s="2" t="s">
        <v>432</v>
      </c>
      <c r="H519" s="9">
        <v>-1</v>
      </c>
      <c r="I519">
        <v>-1</v>
      </c>
      <c r="J519"/>
      <c r="K519" s="2">
        <v>2</v>
      </c>
      <c r="L519" s="25">
        <v>0</v>
      </c>
      <c r="M519">
        <v>0</v>
      </c>
      <c r="N519">
        <v>0</v>
      </c>
      <c r="O519" s="2">
        <v>3.8875000000000002</v>
      </c>
      <c r="P519" s="2">
        <v>3.8875000000000002</v>
      </c>
      <c r="Q519" s="2">
        <v>34.478000000000002</v>
      </c>
      <c r="R519" s="2" t="s">
        <v>451</v>
      </c>
      <c r="S519"/>
      <c r="T519"/>
      <c r="U519"/>
      <c r="V519"/>
      <c r="W519">
        <v>0</v>
      </c>
      <c r="Z519">
        <v>0</v>
      </c>
      <c r="AD519">
        <v>20</v>
      </c>
      <c r="AE519" s="55">
        <f t="shared" si="37"/>
        <v>521.05416218750008</v>
      </c>
      <c r="AF519" s="57">
        <v>0</v>
      </c>
      <c r="AG519" s="55">
        <v>0</v>
      </c>
      <c r="AH519" s="55">
        <v>0</v>
      </c>
      <c r="AI519" s="52">
        <f t="shared" si="36"/>
        <v>7.6767451260865469E-2</v>
      </c>
      <c r="AM519" s="28">
        <v>1.4772727272727271</v>
      </c>
      <c r="AN519" s="28">
        <v>1.3409090909090911</v>
      </c>
      <c r="AO519" s="28">
        <v>0.27272727272727271</v>
      </c>
      <c r="AP519" s="28">
        <v>0</v>
      </c>
      <c r="AQ519" s="28">
        <v>0.47794117647058831</v>
      </c>
      <c r="AR519" s="28">
        <v>0.43382352941176472</v>
      </c>
      <c r="AS519" s="28">
        <v>8.8235294117647051E-2</v>
      </c>
      <c r="AT519" s="28">
        <v>0</v>
      </c>
      <c r="AU519" s="25">
        <v>1</v>
      </c>
      <c r="AV519" s="25">
        <v>3.44</v>
      </c>
      <c r="AW519" s="25">
        <v>2.44</v>
      </c>
      <c r="AX519" s="25">
        <v>2.4690909090909088</v>
      </c>
      <c r="AY519">
        <v>2.4690909090909088</v>
      </c>
      <c r="AZ519">
        <v>6.679542975341362</v>
      </c>
      <c r="BD519">
        <v>3.8383725630432727E-2</v>
      </c>
      <c r="BH519">
        <v>7.6767451260865469E-2</v>
      </c>
      <c r="BI519">
        <v>3.8383725630432727E-2</v>
      </c>
      <c r="BJ519">
        <v>0</v>
      </c>
    </row>
    <row r="520" spans="1:62" x14ac:dyDescent="0.3">
      <c r="A520" s="2" t="s">
        <v>4</v>
      </c>
      <c r="B520" s="13" t="s">
        <v>689</v>
      </c>
      <c r="C520" s="13"/>
      <c r="D520"/>
      <c r="E520"/>
      <c r="F520" s="2">
        <v>3.5</v>
      </c>
      <c r="G520" s="4"/>
      <c r="H520" s="9"/>
      <c r="I520"/>
      <c r="J520"/>
      <c r="K520" s="2">
        <v>2</v>
      </c>
      <c r="L520"/>
      <c r="M520">
        <v>0</v>
      </c>
      <c r="N520">
        <v>0</v>
      </c>
      <c r="O520">
        <v>3.86</v>
      </c>
      <c r="P520">
        <v>3.86</v>
      </c>
      <c r="Q520" s="2">
        <v>29.5</v>
      </c>
      <c r="R520"/>
      <c r="S520"/>
      <c r="T520"/>
      <c r="U520"/>
      <c r="V520"/>
      <c r="W520">
        <v>0</v>
      </c>
      <c r="Z520">
        <v>0</v>
      </c>
      <c r="AC520"/>
      <c r="AD520">
        <v>20</v>
      </c>
      <c r="AE520" s="55">
        <f t="shared" si="37"/>
        <v>439.53819999999996</v>
      </c>
      <c r="AG520" s="55">
        <v>0</v>
      </c>
      <c r="AH520" s="55">
        <v>0</v>
      </c>
      <c r="AI520" s="52">
        <f t="shared" si="36"/>
        <v>9.1004604377958515E-2</v>
      </c>
      <c r="AM520" s="28"/>
      <c r="AN520" s="28"/>
      <c r="AO520" s="28"/>
      <c r="AP520" s="28"/>
      <c r="AQ520" s="28"/>
      <c r="AR520" s="28"/>
      <c r="AS520" s="28"/>
      <c r="AT520" s="28"/>
      <c r="AU520"/>
      <c r="AV520"/>
      <c r="AW520"/>
      <c r="AX520"/>
      <c r="AY520"/>
      <c r="AZ520"/>
      <c r="BD520">
        <v>4.5502302188979257E-2</v>
      </c>
      <c r="BH520">
        <v>9.1004604377958515E-2</v>
      </c>
      <c r="BI520">
        <v>4.5502302188979257E-2</v>
      </c>
      <c r="BJ520">
        <v>0</v>
      </c>
    </row>
    <row r="521" spans="1:62" x14ac:dyDescent="0.3">
      <c r="A521" s="2" t="s">
        <v>1177</v>
      </c>
      <c r="B521" t="s">
        <v>1245</v>
      </c>
      <c r="C521"/>
      <c r="D521"/>
      <c r="E521"/>
      <c r="F521" s="2">
        <v>3.6</v>
      </c>
      <c r="G521"/>
      <c r="H521"/>
      <c r="I521"/>
      <c r="J521"/>
      <c r="K521" s="2">
        <v>2</v>
      </c>
      <c r="L521"/>
      <c r="M521">
        <v>4</v>
      </c>
      <c r="N521">
        <v>0</v>
      </c>
      <c r="O521">
        <v>3.85</v>
      </c>
      <c r="P521">
        <v>3.85</v>
      </c>
      <c r="Q521" s="2">
        <v>29.5</v>
      </c>
      <c r="R521"/>
      <c r="S521"/>
      <c r="T521"/>
      <c r="U521"/>
      <c r="V521"/>
      <c r="W521">
        <v>3.8801999999999999</v>
      </c>
      <c r="X521">
        <v>29.507999999999999</v>
      </c>
      <c r="Y521">
        <v>7.7140000000000004</v>
      </c>
      <c r="Z521">
        <v>0</v>
      </c>
      <c r="AC521"/>
      <c r="AD521">
        <v>20</v>
      </c>
      <c r="AE521" s="55">
        <f t="shared" si="37"/>
        <v>437.26375000000007</v>
      </c>
      <c r="AG521" s="55">
        <v>883.22940750240002</v>
      </c>
      <c r="AH521" s="55">
        <v>0</v>
      </c>
      <c r="AI521" s="52">
        <f t="shared" si="36"/>
        <v>9.1477969532118758E-2</v>
      </c>
      <c r="AK521" s="52">
        <v>9.0576694254581439E-2</v>
      </c>
      <c r="AM521" s="28"/>
      <c r="AN521" s="28"/>
      <c r="AO521" s="28"/>
      <c r="AP521" s="28"/>
      <c r="AQ521" s="28"/>
      <c r="AR521" s="28"/>
      <c r="AS521" s="28"/>
      <c r="AT521" s="28"/>
      <c r="AU521"/>
      <c r="AV521"/>
      <c r="AW521"/>
      <c r="AX521"/>
      <c r="AY521"/>
      <c r="AZ521"/>
      <c r="BD521">
        <v>4.5738984766059379E-2</v>
      </c>
      <c r="BF521">
        <v>4.5288347127290719E-2</v>
      </c>
      <c r="BH521">
        <v>9.1027331893350105E-2</v>
      </c>
      <c r="BI521">
        <v>4.5513665946675053E-2</v>
      </c>
      <c r="BJ521">
        <v>0</v>
      </c>
    </row>
    <row r="522" spans="1:62" x14ac:dyDescent="0.3">
      <c r="A522" s="2" t="s">
        <v>1178</v>
      </c>
      <c r="B522" t="s">
        <v>1246</v>
      </c>
      <c r="C522"/>
      <c r="D522"/>
      <c r="E522"/>
      <c r="F522" s="2">
        <v>3.8</v>
      </c>
      <c r="G522"/>
      <c r="H522"/>
      <c r="I522"/>
      <c r="J522"/>
      <c r="K522" s="2">
        <v>2</v>
      </c>
      <c r="L522"/>
      <c r="M522">
        <v>0</v>
      </c>
      <c r="N522">
        <v>0</v>
      </c>
      <c r="O522">
        <v>3.88</v>
      </c>
      <c r="P522">
        <v>3.88</v>
      </c>
      <c r="Q522" s="2">
        <v>29.8</v>
      </c>
      <c r="R522"/>
      <c r="S522"/>
      <c r="T522"/>
      <c r="U522"/>
      <c r="V522"/>
      <c r="W522">
        <v>0</v>
      </c>
      <c r="Z522">
        <v>0</v>
      </c>
      <c r="AC522"/>
      <c r="AD522">
        <v>20</v>
      </c>
      <c r="AE522" s="55">
        <f t="shared" si="37"/>
        <v>448.62112000000002</v>
      </c>
      <c r="AG522" s="55">
        <v>0</v>
      </c>
      <c r="AH522" s="55">
        <v>0</v>
      </c>
      <c r="AI522" s="52">
        <f t="shared" si="36"/>
        <v>8.9162097406381577E-2</v>
      </c>
      <c r="AM522" s="28"/>
      <c r="AN522" s="28"/>
      <c r="AO522" s="28"/>
      <c r="AP522" s="28"/>
      <c r="AQ522" s="28"/>
      <c r="AR522" s="28"/>
      <c r="AS522" s="28"/>
      <c r="AT522" s="28"/>
      <c r="AU522"/>
      <c r="AV522"/>
      <c r="AW522"/>
      <c r="AX522"/>
      <c r="AY522"/>
      <c r="AZ522"/>
      <c r="BD522">
        <v>4.4581048703190788E-2</v>
      </c>
      <c r="BH522">
        <v>8.9162097406381577E-2</v>
      </c>
      <c r="BI522">
        <v>4.4581048703190788E-2</v>
      </c>
      <c r="BJ522">
        <v>0</v>
      </c>
    </row>
    <row r="523" spans="1:62" x14ac:dyDescent="0.3">
      <c r="A523" s="2" t="s">
        <v>308</v>
      </c>
      <c r="B523" t="s">
        <v>830</v>
      </c>
      <c r="C523"/>
      <c r="D523"/>
      <c r="E523"/>
      <c r="F523" s="2">
        <v>4.2</v>
      </c>
      <c r="G523"/>
      <c r="H523"/>
      <c r="I523"/>
      <c r="J523"/>
      <c r="K523" s="2">
        <v>2</v>
      </c>
      <c r="L523"/>
      <c r="M523">
        <v>0</v>
      </c>
      <c r="N523">
        <v>0</v>
      </c>
      <c r="O523">
        <v>3.86</v>
      </c>
      <c r="P523">
        <v>3.86</v>
      </c>
      <c r="Q523" s="2">
        <v>29.8</v>
      </c>
      <c r="R523"/>
      <c r="S523"/>
      <c r="T523"/>
      <c r="U523"/>
      <c r="V523"/>
      <c r="W523">
        <v>0</v>
      </c>
      <c r="Z523">
        <v>0</v>
      </c>
      <c r="AC523"/>
      <c r="AD523">
        <v>20</v>
      </c>
      <c r="AE523" s="55">
        <f t="shared" si="37"/>
        <v>444.00808000000001</v>
      </c>
      <c r="AG523" s="55">
        <v>0</v>
      </c>
      <c r="AH523" s="55">
        <v>0</v>
      </c>
      <c r="AI523" s="52">
        <f t="shared" si="36"/>
        <v>9.0088450642609924E-2</v>
      </c>
      <c r="AM523" s="28"/>
      <c r="AN523" s="28"/>
      <c r="AO523" s="28"/>
      <c r="AP523" s="28"/>
      <c r="AQ523" s="28"/>
      <c r="AR523" s="28"/>
      <c r="AS523" s="28"/>
      <c r="AT523" s="28"/>
      <c r="AU523"/>
      <c r="AV523"/>
      <c r="AW523"/>
      <c r="AX523"/>
      <c r="AY523"/>
      <c r="AZ523"/>
      <c r="BD523">
        <v>4.5044225321304962E-2</v>
      </c>
      <c r="BH523">
        <v>9.0088450642609924E-2</v>
      </c>
      <c r="BI523">
        <v>4.5044225321304962E-2</v>
      </c>
      <c r="BJ523">
        <v>0</v>
      </c>
    </row>
    <row r="524" spans="1:62" x14ac:dyDescent="0.3">
      <c r="A524" s="2" t="s">
        <v>308</v>
      </c>
      <c r="B524" t="s">
        <v>830</v>
      </c>
      <c r="C524"/>
      <c r="D524"/>
      <c r="E524"/>
      <c r="F524" s="2">
        <v>4.2</v>
      </c>
      <c r="G524"/>
      <c r="H524"/>
      <c r="I524"/>
      <c r="J524"/>
      <c r="K524">
        <v>2</v>
      </c>
      <c r="L524"/>
      <c r="M524">
        <v>2</v>
      </c>
      <c r="N524">
        <v>0</v>
      </c>
      <c r="O524">
        <v>3.86</v>
      </c>
      <c r="P524">
        <v>3.86</v>
      </c>
      <c r="Q524" s="2">
        <v>29.8</v>
      </c>
      <c r="R524"/>
      <c r="S524"/>
      <c r="T524"/>
      <c r="U524" s="6"/>
      <c r="V524"/>
      <c r="W524">
        <v>3.8656999999999999</v>
      </c>
      <c r="X524">
        <v>29.777000000000001</v>
      </c>
      <c r="Y524">
        <v>3.8519999999999999</v>
      </c>
      <c r="Z524">
        <v>0</v>
      </c>
      <c r="AC524"/>
      <c r="AD524">
        <v>20</v>
      </c>
      <c r="AE524" s="55">
        <f t="shared" si="37"/>
        <v>444.00808000000001</v>
      </c>
      <c r="AG524" s="55">
        <v>443.39967116280002</v>
      </c>
      <c r="AH524" s="55">
        <v>0</v>
      </c>
      <c r="AI524" s="52">
        <f t="shared" si="36"/>
        <v>9.0088450642609924E-2</v>
      </c>
      <c r="AK524" s="52">
        <v>9.0212065099420147E-2</v>
      </c>
      <c r="BD524">
        <v>4.5044225321304962E-2</v>
      </c>
      <c r="BF524">
        <v>4.5106032549710073E-2</v>
      </c>
      <c r="BH524">
        <v>9.0150257871015035E-2</v>
      </c>
      <c r="BI524">
        <v>4.5075128935507518E-2</v>
      </c>
      <c r="BJ524">
        <v>0</v>
      </c>
    </row>
    <row r="525" spans="1:62" x14ac:dyDescent="0.3">
      <c r="L525"/>
    </row>
    <row r="526" spans="1:62" x14ac:dyDescent="0.3">
      <c r="L526"/>
    </row>
    <row r="527" spans="1:62" x14ac:dyDescent="0.3">
      <c r="L527"/>
    </row>
    <row r="528" spans="1:62" x14ac:dyDescent="0.3">
      <c r="L528"/>
    </row>
  </sheetData>
  <hyperlinks>
    <hyperlink ref="G287" r:id="rId1" tooltip="Persistent link using digital object identifier" display="https://doi.org/10.1016/j.pnsc.2012.03.002"/>
    <hyperlink ref="G288" r:id="rId2" tooltip="Persistent link using digital object identifier" display="https://doi.org/10.1016/j.pnsc.2012.03.002"/>
    <hyperlink ref="I6" r:id="rId3" display="https://www.crystallography.net/cod/1544425.htm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25"/>
  <sheetViews>
    <sheetView workbookViewId="0">
      <pane ySplit="1" topLeftCell="A496" activePane="bottomLeft" state="frozen"/>
      <selection pane="bottomLeft" activeCell="BH1" sqref="BH1:BJ1048576"/>
    </sheetView>
  </sheetViews>
  <sheetFormatPr defaultRowHeight="14.4" x14ac:dyDescent="0.3"/>
  <cols>
    <col min="1" max="1" width="16.88671875" style="2" customWidth="1"/>
    <col min="2" max="2" width="13.21875" style="2" customWidth="1"/>
    <col min="3" max="3" width="8.88671875" style="2"/>
    <col min="4" max="4" width="17.6640625" style="2" customWidth="1"/>
    <col min="5" max="5" width="14.44140625" style="2" customWidth="1"/>
    <col min="6" max="6" width="12.44140625" style="2" customWidth="1"/>
    <col min="7" max="9" width="8.88671875" style="2"/>
    <col min="10" max="10" width="11.109375" style="2" customWidth="1"/>
    <col min="11" max="15" width="8.88671875" style="2"/>
    <col min="16" max="16" width="10.5546875" style="2" customWidth="1"/>
    <col min="17" max="17" width="14.44140625" style="2" customWidth="1"/>
    <col min="18" max="20" width="8.88671875" style="2"/>
    <col min="21" max="21" width="12" style="2" customWidth="1"/>
    <col min="22" max="22" width="11.77734375" style="2" customWidth="1"/>
    <col min="23" max="23" width="10" style="2" customWidth="1"/>
    <col min="24" max="24" width="11.44140625" style="2" customWidth="1"/>
    <col min="25" max="26" width="17.109375" style="2" customWidth="1"/>
    <col min="27" max="27" width="13.44140625" style="2" customWidth="1"/>
    <col min="28" max="28" width="16.109375" style="2" customWidth="1"/>
    <col min="29" max="29" width="19.44140625" style="2" customWidth="1"/>
    <col min="30" max="30" width="30.6640625" style="2" customWidth="1"/>
    <col min="31" max="31" width="26.88671875" style="2" customWidth="1"/>
    <col min="32" max="32" width="35.5546875" style="2" customWidth="1"/>
    <col min="33" max="49" width="8.88671875" style="2"/>
    <col min="50" max="50" width="13.44140625" style="2" customWidth="1"/>
    <col min="51" max="51" width="22" style="2" customWidth="1"/>
    <col min="52" max="52" width="20.77734375" style="2" customWidth="1"/>
    <col min="53" max="55" width="8.88671875" style="75"/>
    <col min="63" max="16384" width="8.88671875" style="2"/>
  </cols>
  <sheetData>
    <row r="1" spans="1:62" x14ac:dyDescent="0.3">
      <c r="A1" s="2" t="s">
        <v>112</v>
      </c>
      <c r="B1" s="14" t="s">
        <v>684</v>
      </c>
      <c r="C1" s="16" t="s">
        <v>892</v>
      </c>
      <c r="D1" s="2" t="s">
        <v>675</v>
      </c>
      <c r="E1" s="2" t="s">
        <v>880</v>
      </c>
      <c r="F1" s="2" t="s">
        <v>113</v>
      </c>
      <c r="G1" s="2" t="s">
        <v>50</v>
      </c>
      <c r="H1" s="60" t="s">
        <v>522</v>
      </c>
      <c r="I1" s="61" t="s">
        <v>605</v>
      </c>
      <c r="J1" s="62" t="s">
        <v>1146</v>
      </c>
      <c r="K1" s="63" t="s">
        <v>1096</v>
      </c>
      <c r="L1" s="64" t="s">
        <v>1108</v>
      </c>
      <c r="M1" s="59" t="s">
        <v>1191</v>
      </c>
      <c r="N1" s="59" t="s">
        <v>1203</v>
      </c>
      <c r="O1" s="2" t="s">
        <v>467</v>
      </c>
      <c r="P1" s="2" t="s">
        <v>468</v>
      </c>
      <c r="Q1" s="2" t="s">
        <v>469</v>
      </c>
      <c r="R1" s="2" t="s">
        <v>438</v>
      </c>
      <c r="S1" s="30" t="s">
        <v>1132</v>
      </c>
      <c r="T1" s="26" t="s">
        <v>1105</v>
      </c>
      <c r="U1" s="26" t="s">
        <v>1106</v>
      </c>
      <c r="V1" s="26" t="s">
        <v>1107</v>
      </c>
      <c r="W1" s="11" t="s">
        <v>1192</v>
      </c>
      <c r="X1" s="11" t="s">
        <v>1193</v>
      </c>
      <c r="Y1" s="11" t="s">
        <v>1194</v>
      </c>
      <c r="Z1" s="11" t="s">
        <v>1199</v>
      </c>
      <c r="AA1" s="11" t="s">
        <v>1200</v>
      </c>
      <c r="AB1" s="11" t="s">
        <v>1201</v>
      </c>
      <c r="AC1" s="2" t="s">
        <v>466</v>
      </c>
      <c r="AD1" s="11" t="s">
        <v>1094</v>
      </c>
      <c r="AE1" s="54" t="s">
        <v>1103</v>
      </c>
      <c r="AF1" s="56" t="s">
        <v>1196</v>
      </c>
      <c r="AG1" s="54" t="s">
        <v>1195</v>
      </c>
      <c r="AH1" s="54" t="s">
        <v>1202</v>
      </c>
      <c r="AI1" s="66" t="s">
        <v>1104</v>
      </c>
      <c r="AJ1" s="50" t="s">
        <v>1197</v>
      </c>
      <c r="AK1" s="53" t="s">
        <v>1198</v>
      </c>
      <c r="AL1" s="53" t="s">
        <v>1204</v>
      </c>
      <c r="AM1" s="27" t="s">
        <v>1113</v>
      </c>
      <c r="AN1" s="27" t="s">
        <v>1114</v>
      </c>
      <c r="AO1" s="27" t="s">
        <v>1115</v>
      </c>
      <c r="AP1" s="27" t="s">
        <v>1116</v>
      </c>
      <c r="AQ1" s="27" t="s">
        <v>1117</v>
      </c>
      <c r="AR1" s="27" t="s">
        <v>1118</v>
      </c>
      <c r="AS1" s="27" t="s">
        <v>1119</v>
      </c>
      <c r="AT1" s="27" t="s">
        <v>1120</v>
      </c>
      <c r="AU1" s="26" t="s">
        <v>1109</v>
      </c>
      <c r="AV1" s="26" t="s">
        <v>1110</v>
      </c>
      <c r="AW1" s="26" t="s">
        <v>1111</v>
      </c>
      <c r="AX1" s="26" t="s">
        <v>1112</v>
      </c>
      <c r="AY1" s="11" t="s">
        <v>1092</v>
      </c>
      <c r="AZ1" s="11" t="s">
        <v>1093</v>
      </c>
      <c r="BA1" s="74" t="s">
        <v>1205</v>
      </c>
      <c r="BB1" s="74" t="s">
        <v>1206</v>
      </c>
      <c r="BC1" s="74" t="s">
        <v>1207</v>
      </c>
      <c r="BD1" s="11" t="s">
        <v>1211</v>
      </c>
      <c r="BE1" s="11" t="s">
        <v>1208</v>
      </c>
      <c r="BF1" s="11" t="s">
        <v>1209</v>
      </c>
      <c r="BG1" s="11" t="s">
        <v>1210</v>
      </c>
      <c r="BH1" s="11" t="s">
        <v>1247</v>
      </c>
      <c r="BI1" s="11" t="s">
        <v>1248</v>
      </c>
      <c r="BJ1" s="11" t="s">
        <v>1249</v>
      </c>
    </row>
    <row r="2" spans="1:62" x14ac:dyDescent="0.3">
      <c r="A2" s="2" t="s">
        <v>0</v>
      </c>
      <c r="B2" s="13" t="s">
        <v>685</v>
      </c>
      <c r="C2" s="13"/>
      <c r="F2" s="2">
        <v>3.5</v>
      </c>
      <c r="G2" s="2" t="s">
        <v>454</v>
      </c>
      <c r="H2" s="9" t="s">
        <v>523</v>
      </c>
      <c r="I2" t="s">
        <v>606</v>
      </c>
      <c r="J2"/>
      <c r="K2" s="65">
        <v>4</v>
      </c>
      <c r="L2" s="25">
        <v>4</v>
      </c>
      <c r="M2">
        <v>4</v>
      </c>
      <c r="N2">
        <v>0</v>
      </c>
      <c r="T2" s="25">
        <v>6.6040679999999998</v>
      </c>
      <c r="U2" s="25">
        <v>7.9389519999999996</v>
      </c>
      <c r="V2" s="25">
        <v>33.703336</v>
      </c>
      <c r="W2">
        <v>7.83</v>
      </c>
      <c r="X2">
        <v>33.209989999999998</v>
      </c>
      <c r="Y2">
        <v>6.46</v>
      </c>
      <c r="Z2">
        <v>0</v>
      </c>
      <c r="AA2"/>
      <c r="AB2"/>
      <c r="AD2">
        <v>34</v>
      </c>
      <c r="AE2" s="55">
        <f>O2*P2*Q2</f>
        <v>0</v>
      </c>
      <c r="AF2" s="57">
        <v>1767.0449718798691</v>
      </c>
      <c r="AG2" s="55">
        <v>1679.8210721820001</v>
      </c>
      <c r="AH2" s="55">
        <v>0</v>
      </c>
      <c r="AI2" s="52"/>
      <c r="AJ2" s="51">
        <v>7.6964651247849417E-2</v>
      </c>
      <c r="AK2" s="52">
        <v>8.0961003676030277E-2</v>
      </c>
      <c r="AL2" s="52"/>
      <c r="AM2" s="28">
        <v>1.62962962962963</v>
      </c>
      <c r="AN2" s="28">
        <v>2.518518518518519</v>
      </c>
      <c r="AO2" s="28">
        <v>0.88888888888888884</v>
      </c>
      <c r="AP2" s="28">
        <v>0</v>
      </c>
      <c r="AQ2" s="28">
        <v>0.32352941176470579</v>
      </c>
      <c r="AR2" s="28">
        <v>0.5</v>
      </c>
      <c r="AS2" s="28">
        <v>0.1764705882352941</v>
      </c>
      <c r="AT2" s="28">
        <v>0</v>
      </c>
      <c r="AU2" s="25">
        <v>0.82</v>
      </c>
      <c r="AV2" s="25">
        <v>3.44</v>
      </c>
      <c r="AW2" s="25">
        <v>2.62</v>
      </c>
      <c r="AX2" s="25">
        <v>2.642962962962963</v>
      </c>
      <c r="AY2">
        <v>2.642962962962963</v>
      </c>
      <c r="AZ2">
        <v>5.9587362692592576</v>
      </c>
      <c r="BA2" s="75">
        <v>0.48264383878002159</v>
      </c>
      <c r="BB2" s="75">
        <v>0.50770488753139842</v>
      </c>
      <c r="BD2" t="s">
        <v>459</v>
      </c>
      <c r="BE2">
        <v>3.8482325623924708E-2</v>
      </c>
      <c r="BF2">
        <v>4.0480501838015132E-2</v>
      </c>
      <c r="BH2">
        <v>7.8962827461939847E-2</v>
      </c>
      <c r="BI2" t="s">
        <v>459</v>
      </c>
      <c r="BJ2">
        <v>0.49517436315571001</v>
      </c>
    </row>
    <row r="3" spans="1:62" x14ac:dyDescent="0.3">
      <c r="A3" s="2" t="s">
        <v>1</v>
      </c>
      <c r="B3" s="13" t="s">
        <v>686</v>
      </c>
      <c r="C3" s="13"/>
      <c r="F3" s="2">
        <v>3.2</v>
      </c>
      <c r="G3" s="2" t="s">
        <v>454</v>
      </c>
      <c r="H3" s="9" t="s">
        <v>524</v>
      </c>
      <c r="I3" t="s">
        <v>607</v>
      </c>
      <c r="J3"/>
      <c r="L3" s="25">
        <v>1</v>
      </c>
      <c r="M3">
        <v>1</v>
      </c>
      <c r="N3">
        <v>0</v>
      </c>
      <c r="O3" s="2">
        <v>7.806</v>
      </c>
      <c r="P3" s="2">
        <v>7.6680000000000001</v>
      </c>
      <c r="Q3" s="2">
        <v>21.54</v>
      </c>
      <c r="R3" s="1" t="s">
        <v>513</v>
      </c>
      <c r="S3" s="1"/>
      <c r="T3" s="25">
        <v>3.9327019999999999</v>
      </c>
      <c r="U3" s="25">
        <v>3.9458000000000002</v>
      </c>
      <c r="V3" s="25">
        <v>11.356398779999999</v>
      </c>
      <c r="W3">
        <v>3.9060000000000001</v>
      </c>
      <c r="X3">
        <v>21.603000000000002</v>
      </c>
      <c r="Y3">
        <v>3.8879000000000001</v>
      </c>
      <c r="Z3">
        <v>0</v>
      </c>
      <c r="AA3"/>
      <c r="AB3"/>
      <c r="AC3" s="2">
        <v>2</v>
      </c>
      <c r="AD3">
        <v>14</v>
      </c>
      <c r="AE3" s="55">
        <f t="shared" ref="AE3:AE66" si="0">O3*P3*Q3</f>
        <v>1289.30702832</v>
      </c>
      <c r="AF3" s="57">
        <v>173.54502164551991</v>
      </c>
      <c r="AG3" s="55">
        <v>328.06612625219998</v>
      </c>
      <c r="AH3" s="55">
        <v>0</v>
      </c>
      <c r="AI3" s="52"/>
      <c r="AJ3" s="51">
        <v>8.0670709348241429E-2</v>
      </c>
      <c r="AK3" s="52">
        <v>4.2674323496713393E-2</v>
      </c>
      <c r="AL3" s="52"/>
      <c r="AM3" s="28">
        <v>1.7272727272727271</v>
      </c>
      <c r="AN3" s="28">
        <v>2.545454545454545</v>
      </c>
      <c r="AO3" s="28">
        <v>0.81818181818181823</v>
      </c>
      <c r="AP3" s="28">
        <v>0</v>
      </c>
      <c r="AQ3" s="28">
        <v>0.3392857142857143</v>
      </c>
      <c r="AR3" s="28">
        <v>0.5</v>
      </c>
      <c r="AS3" s="28">
        <v>0.1607142857142857</v>
      </c>
      <c r="AT3" s="28">
        <v>0</v>
      </c>
      <c r="AU3" s="25">
        <v>0.82</v>
      </c>
      <c r="AV3" s="25">
        <v>3.44</v>
      </c>
      <c r="AW3" s="25">
        <v>2.62</v>
      </c>
      <c r="AX3" s="25">
        <v>2.6545454545454539</v>
      </c>
      <c r="AY3">
        <v>2.6545454545454539</v>
      </c>
      <c r="AZ3">
        <v>5.9946911436363637</v>
      </c>
      <c r="BA3" s="75">
        <v>0.48450364842179561</v>
      </c>
      <c r="BE3">
        <v>4.0335354674120701E-2</v>
      </c>
      <c r="BF3">
        <v>2.13371617483567E-2</v>
      </c>
      <c r="BH3">
        <v>6.1672516422477411E-2</v>
      </c>
      <c r="BI3">
        <v>3.0836258211238698E-2</v>
      </c>
      <c r="BJ3">
        <v>0.48450364842179561</v>
      </c>
    </row>
    <row r="4" spans="1:62" x14ac:dyDescent="0.3">
      <c r="A4" s="2" t="s">
        <v>2</v>
      </c>
      <c r="B4" s="13" t="s">
        <v>687</v>
      </c>
      <c r="C4" s="13"/>
      <c r="F4" s="2">
        <v>3.35</v>
      </c>
      <c r="G4" s="2" t="s">
        <v>454</v>
      </c>
      <c r="H4" s="9" t="s">
        <v>525</v>
      </c>
      <c r="I4">
        <v>-1</v>
      </c>
      <c r="J4"/>
      <c r="L4" s="25">
        <v>2</v>
      </c>
      <c r="M4">
        <v>0</v>
      </c>
      <c r="N4">
        <v>0</v>
      </c>
      <c r="O4" s="2">
        <v>3.8849999999999998</v>
      </c>
      <c r="P4" s="2">
        <v>3.8849999999999998</v>
      </c>
      <c r="Q4" s="2">
        <v>10.989000000000001</v>
      </c>
      <c r="R4" s="1" t="s">
        <v>439</v>
      </c>
      <c r="S4" s="1"/>
      <c r="T4" s="25">
        <v>11.92921406</v>
      </c>
      <c r="U4" s="25">
        <v>11.92921406</v>
      </c>
      <c r="V4" s="25">
        <v>11.92921406</v>
      </c>
      <c r="W4">
        <v>0</v>
      </c>
      <c r="X4"/>
      <c r="Y4"/>
      <c r="Z4">
        <v>0</v>
      </c>
      <c r="AA4"/>
      <c r="AB4"/>
      <c r="AC4" s="2">
        <v>2</v>
      </c>
      <c r="AD4">
        <v>14</v>
      </c>
      <c r="AE4" s="55">
        <f t="shared" si="0"/>
        <v>165.859449525</v>
      </c>
      <c r="AF4" s="57">
        <v>349.00875366799971</v>
      </c>
      <c r="AG4" s="55">
        <v>0</v>
      </c>
      <c r="AH4" s="55">
        <v>0</v>
      </c>
      <c r="AI4" s="52"/>
      <c r="AJ4" s="51">
        <v>8.0227214090553903E-2</v>
      </c>
      <c r="AK4" s="52"/>
      <c r="AL4" s="52"/>
      <c r="AM4" s="28">
        <v>1.7272727272727271</v>
      </c>
      <c r="AN4" s="28">
        <v>2.545454545454545</v>
      </c>
      <c r="AO4" s="28">
        <v>0.81818181818181823</v>
      </c>
      <c r="AP4" s="28">
        <v>0</v>
      </c>
      <c r="AQ4" s="28">
        <v>0.3392857142857143</v>
      </c>
      <c r="AR4" s="28">
        <v>0.5</v>
      </c>
      <c r="AS4" s="28">
        <v>0.1607142857142857</v>
      </c>
      <c r="AT4" s="28">
        <v>0</v>
      </c>
      <c r="AU4" s="25">
        <v>0.82</v>
      </c>
      <c r="AV4" s="25">
        <v>3.44</v>
      </c>
      <c r="AW4" s="25">
        <v>2.62</v>
      </c>
      <c r="AX4" s="25">
        <v>2.6545454545454539</v>
      </c>
      <c r="AY4">
        <v>2.6545454545454552</v>
      </c>
      <c r="AZ4">
        <v>5.9865512095454543</v>
      </c>
      <c r="BA4" s="75">
        <v>0.50734392504100967</v>
      </c>
      <c r="BE4">
        <v>4.0113607045276937E-2</v>
      </c>
      <c r="BH4">
        <v>8.0227214090553903E-2</v>
      </c>
      <c r="BI4">
        <v>4.0113607045276937E-2</v>
      </c>
      <c r="BJ4">
        <v>0.50734392504100967</v>
      </c>
    </row>
    <row r="5" spans="1:62" x14ac:dyDescent="0.3">
      <c r="A5" s="2" t="s">
        <v>3</v>
      </c>
      <c r="B5" s="13" t="s">
        <v>688</v>
      </c>
      <c r="C5" s="13"/>
      <c r="F5" s="2">
        <v>3.3</v>
      </c>
      <c r="G5" s="2" t="s">
        <v>454</v>
      </c>
      <c r="H5" s="9" t="s">
        <v>526</v>
      </c>
      <c r="I5" t="s">
        <v>608</v>
      </c>
      <c r="J5"/>
      <c r="L5" s="25">
        <v>1</v>
      </c>
      <c r="M5">
        <v>1</v>
      </c>
      <c r="N5">
        <v>0</v>
      </c>
      <c r="O5" s="2">
        <v>3.9049999999999998</v>
      </c>
      <c r="P5" s="2">
        <v>3.9049999999999998</v>
      </c>
      <c r="Q5" s="2">
        <v>11.185</v>
      </c>
      <c r="R5" s="1" t="s">
        <v>439</v>
      </c>
      <c r="S5" s="1"/>
      <c r="T5" s="25">
        <v>3.952105</v>
      </c>
      <c r="U5" s="25">
        <v>3.952105</v>
      </c>
      <c r="V5" s="25">
        <v>11.503833</v>
      </c>
      <c r="W5">
        <v>3.9079999999999999</v>
      </c>
      <c r="X5">
        <v>3.9079999999999999</v>
      </c>
      <c r="Y5">
        <v>11.16</v>
      </c>
      <c r="Z5">
        <v>0</v>
      </c>
      <c r="AA5"/>
      <c r="AB5"/>
      <c r="AC5" s="2">
        <v>2</v>
      </c>
      <c r="AD5">
        <v>14</v>
      </c>
      <c r="AE5" s="55">
        <f t="shared" si="0"/>
        <v>170.56034462499997</v>
      </c>
      <c r="AF5" s="57">
        <v>179.6799083471451</v>
      </c>
      <c r="AG5" s="55">
        <v>170.44069823999999</v>
      </c>
      <c r="AH5" s="55">
        <v>0</v>
      </c>
      <c r="AI5" s="52"/>
      <c r="AJ5" s="51">
        <v>7.7916335380980528E-2</v>
      </c>
      <c r="AK5" s="52">
        <v>8.2140006140355049E-2</v>
      </c>
      <c r="AL5" s="52"/>
      <c r="AM5" s="28">
        <v>1.7272727272727271</v>
      </c>
      <c r="AN5" s="28">
        <v>2.545454545454545</v>
      </c>
      <c r="AO5" s="28">
        <v>0.81818181818181823</v>
      </c>
      <c r="AP5" s="28">
        <v>0</v>
      </c>
      <c r="AQ5" s="28">
        <v>0.3392857142857143</v>
      </c>
      <c r="AR5" s="28">
        <v>0.5</v>
      </c>
      <c r="AS5" s="28">
        <v>0.1607142857142857</v>
      </c>
      <c r="AT5" s="28">
        <v>0</v>
      </c>
      <c r="AU5" s="25">
        <v>0.79</v>
      </c>
      <c r="AV5" s="25">
        <v>3.44</v>
      </c>
      <c r="AW5" s="25">
        <v>2.65</v>
      </c>
      <c r="AX5" s="25">
        <v>2.6518181818181819</v>
      </c>
      <c r="AY5">
        <v>2.6518181818181819</v>
      </c>
      <c r="AZ5">
        <v>5.9730281035195452</v>
      </c>
      <c r="BA5" s="75">
        <v>0.5243291310951993</v>
      </c>
      <c r="BB5" s="75">
        <v>0.55275184384813547</v>
      </c>
      <c r="BE5">
        <v>3.8958167690490257E-2</v>
      </c>
      <c r="BF5">
        <v>4.1070003070177517E-2</v>
      </c>
      <c r="BH5">
        <v>8.0028170760667788E-2</v>
      </c>
      <c r="BI5">
        <v>4.0014085380333887E-2</v>
      </c>
      <c r="BJ5">
        <v>0.53854048747166738</v>
      </c>
    </row>
    <row r="6" spans="1:62" x14ac:dyDescent="0.3">
      <c r="A6" s="2" t="s">
        <v>4</v>
      </c>
      <c r="B6" s="73" t="s">
        <v>689</v>
      </c>
      <c r="C6" s="13"/>
      <c r="F6" s="2">
        <v>3.35</v>
      </c>
      <c r="G6" s="2" t="s">
        <v>454</v>
      </c>
      <c r="H6" s="9" t="s">
        <v>527</v>
      </c>
      <c r="I6" t="s">
        <v>609</v>
      </c>
      <c r="J6"/>
      <c r="K6" s="7"/>
      <c r="L6" s="25">
        <v>4</v>
      </c>
      <c r="M6">
        <v>4</v>
      </c>
      <c r="N6">
        <v>0</v>
      </c>
      <c r="O6" s="2">
        <v>7.7270000000000003</v>
      </c>
      <c r="P6" s="2">
        <v>7.7270000000000003</v>
      </c>
      <c r="Q6" s="2">
        <v>29.466000000000001</v>
      </c>
      <c r="R6" s="2" t="s">
        <v>452</v>
      </c>
      <c r="T6" s="25">
        <v>7.8084429999999996</v>
      </c>
      <c r="U6" s="25">
        <v>7.8548809999999998</v>
      </c>
      <c r="V6" s="25">
        <v>15.19056011</v>
      </c>
      <c r="W6">
        <v>3.8801999999999999</v>
      </c>
      <c r="X6">
        <v>29.507999999999999</v>
      </c>
      <c r="Y6">
        <v>7.7140000000000004</v>
      </c>
      <c r="Z6">
        <v>0</v>
      </c>
      <c r="AA6"/>
      <c r="AB6"/>
      <c r="AC6" s="2">
        <v>3</v>
      </c>
      <c r="AD6">
        <v>20</v>
      </c>
      <c r="AE6" s="55">
        <f t="shared" si="0"/>
        <v>1759.3125835140002</v>
      </c>
      <c r="AF6" s="57">
        <v>924.74694800021894</v>
      </c>
      <c r="AG6" s="55">
        <v>883.22940750240002</v>
      </c>
      <c r="AH6" s="55">
        <v>0</v>
      </c>
      <c r="AI6" s="52"/>
      <c r="AJ6" s="51">
        <v>8.6510153045653584E-2</v>
      </c>
      <c r="AK6" s="52">
        <v>9.0576694254581439E-2</v>
      </c>
      <c r="AL6" s="52"/>
      <c r="AM6" s="28">
        <v>1.75</v>
      </c>
      <c r="AN6" s="28">
        <v>2.5</v>
      </c>
      <c r="AO6" s="28">
        <v>0.75</v>
      </c>
      <c r="AP6" s="28">
        <v>0</v>
      </c>
      <c r="AQ6" s="28">
        <v>0.35</v>
      </c>
      <c r="AR6" s="28">
        <v>0.5</v>
      </c>
      <c r="AS6" s="28">
        <v>0.15</v>
      </c>
      <c r="AT6" s="28">
        <v>0</v>
      </c>
      <c r="AU6" s="25">
        <v>0.82</v>
      </c>
      <c r="AV6" s="25">
        <v>3.44</v>
      </c>
      <c r="AW6" s="25">
        <v>2.62</v>
      </c>
      <c r="AX6" s="25">
        <v>2.6262500000000002</v>
      </c>
      <c r="AY6">
        <v>2.6262500000000002</v>
      </c>
      <c r="AZ6">
        <v>5.96680968125</v>
      </c>
      <c r="BA6" s="75">
        <v>0.50555206026575039</v>
      </c>
      <c r="BB6" s="75">
        <v>0</v>
      </c>
      <c r="BE6">
        <v>4.3255076522826792E-2</v>
      </c>
      <c r="BF6">
        <v>4.5288347127290719E-2</v>
      </c>
      <c r="BH6">
        <v>8.8543423650117511E-2</v>
      </c>
      <c r="BI6">
        <v>4.4271711825058763E-2</v>
      </c>
      <c r="BJ6">
        <v>0.2527760301328752</v>
      </c>
    </row>
    <row r="7" spans="1:62" x14ac:dyDescent="0.3">
      <c r="A7" s="2" t="s">
        <v>5</v>
      </c>
      <c r="B7" s="13" t="s">
        <v>690</v>
      </c>
      <c r="C7" s="13"/>
      <c r="F7" s="2">
        <v>3.5</v>
      </c>
      <c r="G7" s="2" t="s">
        <v>454</v>
      </c>
      <c r="H7" s="9" t="s">
        <v>528</v>
      </c>
      <c r="I7" t="s">
        <v>610</v>
      </c>
      <c r="J7"/>
      <c r="K7" s="7"/>
      <c r="L7" s="25">
        <v>1</v>
      </c>
      <c r="M7">
        <v>1</v>
      </c>
      <c r="N7">
        <v>0</v>
      </c>
      <c r="O7" s="2">
        <v>7.7249999999999996</v>
      </c>
      <c r="P7" s="2">
        <v>7.7249999999999996</v>
      </c>
      <c r="Q7" s="2">
        <v>14.909000000000001</v>
      </c>
      <c r="R7" s="2" t="s">
        <v>451</v>
      </c>
      <c r="T7" s="25">
        <v>3.9661010000000001</v>
      </c>
      <c r="U7" s="25">
        <v>3.9661010000000001</v>
      </c>
      <c r="V7" s="25">
        <v>15.283337</v>
      </c>
      <c r="W7">
        <v>3.8586499999999999</v>
      </c>
      <c r="X7">
        <v>3.8586499999999999</v>
      </c>
      <c r="Y7">
        <v>14.9108</v>
      </c>
      <c r="Z7">
        <v>0</v>
      </c>
      <c r="AA7"/>
      <c r="AB7"/>
      <c r="AC7" s="2">
        <v>3</v>
      </c>
      <c r="AD7">
        <v>20</v>
      </c>
      <c r="AE7" s="55">
        <f t="shared" si="0"/>
        <v>889.70389312500004</v>
      </c>
      <c r="AF7" s="57">
        <v>240.40623599981481</v>
      </c>
      <c r="AG7" s="55">
        <v>222.00958249733301</v>
      </c>
      <c r="AH7" s="55">
        <v>0</v>
      </c>
      <c r="AI7" s="52"/>
      <c r="AJ7" s="51">
        <v>8.3192517518619641E-2</v>
      </c>
      <c r="AK7" s="52">
        <v>9.0086201573034624E-2</v>
      </c>
      <c r="AL7" s="52"/>
      <c r="AM7" s="28">
        <v>1.75</v>
      </c>
      <c r="AN7" s="28">
        <v>2.5</v>
      </c>
      <c r="AO7" s="28">
        <v>0.75</v>
      </c>
      <c r="AP7" s="28">
        <v>0</v>
      </c>
      <c r="AQ7" s="28">
        <v>0.35</v>
      </c>
      <c r="AR7" s="28">
        <v>0.5</v>
      </c>
      <c r="AS7" s="28">
        <v>0.15</v>
      </c>
      <c r="AT7" s="28">
        <v>0</v>
      </c>
      <c r="AU7" s="25">
        <v>0.82</v>
      </c>
      <c r="AV7" s="25">
        <v>3.44</v>
      </c>
      <c r="AW7" s="25">
        <v>2.62</v>
      </c>
      <c r="AX7" s="25">
        <v>2.6262500000000002</v>
      </c>
      <c r="AY7">
        <v>2.6262500000000002</v>
      </c>
      <c r="AZ7">
        <v>5.9612134765624996</v>
      </c>
      <c r="BA7" s="75">
        <v>0.50467688585120674</v>
      </c>
      <c r="BB7" s="75">
        <v>0.54649654829675798</v>
      </c>
      <c r="BE7">
        <v>4.159625875930982E-2</v>
      </c>
      <c r="BF7">
        <v>4.5043100786517312E-2</v>
      </c>
      <c r="BH7">
        <v>8.6639359545827133E-2</v>
      </c>
      <c r="BI7">
        <v>4.3319679772913573E-2</v>
      </c>
      <c r="BJ7">
        <v>0.5255867170739823</v>
      </c>
    </row>
    <row r="8" spans="1:62" x14ac:dyDescent="0.3">
      <c r="A8" s="2" t="s">
        <v>6</v>
      </c>
      <c r="B8" s="13" t="s">
        <v>691</v>
      </c>
      <c r="C8" s="13"/>
      <c r="F8" s="2">
        <v>3.5</v>
      </c>
      <c r="G8" s="2" t="s">
        <v>454</v>
      </c>
      <c r="H8" s="9" t="s">
        <v>529</v>
      </c>
      <c r="I8" t="s">
        <v>611</v>
      </c>
      <c r="J8"/>
      <c r="K8" s="7"/>
      <c r="L8" s="25">
        <v>8</v>
      </c>
      <c r="M8">
        <v>8</v>
      </c>
      <c r="N8">
        <v>0</v>
      </c>
      <c r="O8" s="2">
        <v>7.7270000000000003</v>
      </c>
      <c r="P8" s="2">
        <v>7.7270000000000003</v>
      </c>
      <c r="Q8" s="2">
        <v>30.175999999999998</v>
      </c>
      <c r="R8" s="2" t="s">
        <v>452</v>
      </c>
      <c r="T8" s="25">
        <v>7.8252249999999997</v>
      </c>
      <c r="U8" s="25">
        <v>7.8345229999999999</v>
      </c>
      <c r="V8" s="25">
        <v>31.031406</v>
      </c>
      <c r="W8">
        <v>30.184999999999999</v>
      </c>
      <c r="X8">
        <v>7.74</v>
      </c>
      <c r="Y8">
        <v>7.7460000000000004</v>
      </c>
      <c r="Z8">
        <v>0</v>
      </c>
      <c r="AA8"/>
      <c r="AB8"/>
      <c r="AC8" s="2">
        <v>3</v>
      </c>
      <c r="AD8">
        <v>20</v>
      </c>
      <c r="AE8" s="55">
        <f t="shared" si="0"/>
        <v>1801.704219104</v>
      </c>
      <c r="AF8" s="57">
        <v>1902.4394671889761</v>
      </c>
      <c r="AG8" s="55">
        <v>1809.7126974</v>
      </c>
      <c r="AH8" s="55">
        <v>0</v>
      </c>
      <c r="AI8" s="52"/>
      <c r="AJ8" s="51">
        <v>8.4102544527429435E-2</v>
      </c>
      <c r="AK8" s="52">
        <v>8.8411823727529093E-2</v>
      </c>
      <c r="AL8" s="52"/>
      <c r="AM8" s="28">
        <v>1.75</v>
      </c>
      <c r="AN8" s="28">
        <v>2.5</v>
      </c>
      <c r="AO8" s="28">
        <v>0.75</v>
      </c>
      <c r="AP8" s="28">
        <v>0</v>
      </c>
      <c r="AQ8" s="28">
        <v>0.35</v>
      </c>
      <c r="AR8" s="28">
        <v>0.5</v>
      </c>
      <c r="AS8" s="28">
        <v>0.15</v>
      </c>
      <c r="AT8" s="28">
        <v>0</v>
      </c>
      <c r="AU8" s="25">
        <v>0.79</v>
      </c>
      <c r="AV8" s="25">
        <v>3.44</v>
      </c>
      <c r="AW8" s="25">
        <v>2.65</v>
      </c>
      <c r="AX8" s="25">
        <v>2.6243750000000001</v>
      </c>
      <c r="AY8">
        <v>2.6243750000000001</v>
      </c>
      <c r="AZ8">
        <v>5.9519163411696878</v>
      </c>
      <c r="BA8" s="75">
        <v>0.53407279423354193</v>
      </c>
      <c r="BB8" s="75">
        <v>0.5614378257728565</v>
      </c>
      <c r="BE8">
        <v>4.2051272263714717E-2</v>
      </c>
      <c r="BF8">
        <v>4.4205911863764553E-2</v>
      </c>
      <c r="BH8">
        <v>8.6257184127479264E-2</v>
      </c>
      <c r="BI8">
        <v>4.3128592063739632E-2</v>
      </c>
      <c r="BJ8">
        <v>0.54775531000319921</v>
      </c>
    </row>
    <row r="9" spans="1:62" x14ac:dyDescent="0.3">
      <c r="A9" s="2" t="s">
        <v>7</v>
      </c>
      <c r="B9" s="13" t="s">
        <v>692</v>
      </c>
      <c r="C9" s="13"/>
      <c r="F9" s="2">
        <v>3.16</v>
      </c>
      <c r="G9" s="2" t="s">
        <v>454</v>
      </c>
      <c r="H9" s="9">
        <v>-1</v>
      </c>
      <c r="I9">
        <v>-1</v>
      </c>
      <c r="J9"/>
      <c r="K9" s="2">
        <v>4</v>
      </c>
      <c r="L9" s="25">
        <v>0</v>
      </c>
      <c r="M9">
        <v>0</v>
      </c>
      <c r="N9">
        <v>0</v>
      </c>
      <c r="O9" s="2">
        <v>7.8310000000000004</v>
      </c>
      <c r="P9" s="2">
        <v>7.8010000000000002</v>
      </c>
      <c r="Q9" s="2">
        <v>15.05</v>
      </c>
      <c r="R9" s="2" t="s">
        <v>1141</v>
      </c>
      <c r="S9" s="2">
        <v>15.05</v>
      </c>
      <c r="T9" s="25">
        <v>0</v>
      </c>
      <c r="U9" s="25"/>
      <c r="V9" s="25"/>
      <c r="W9">
        <v>0</v>
      </c>
      <c r="X9"/>
      <c r="Y9"/>
      <c r="Z9">
        <v>0</v>
      </c>
      <c r="AA9"/>
      <c r="AB9"/>
      <c r="AC9" s="2">
        <v>3</v>
      </c>
      <c r="AD9">
        <v>20</v>
      </c>
      <c r="AE9" s="55">
        <f t="shared" si="0"/>
        <v>919.39894655000012</v>
      </c>
      <c r="AF9" s="57">
        <f>O9*P9*Q9*SIN(RADIANS(97.44))</f>
        <v>911.65853089860946</v>
      </c>
      <c r="AG9" s="55">
        <v>0</v>
      </c>
      <c r="AH9" s="55">
        <v>0</v>
      </c>
      <c r="AI9" s="52">
        <f>K9*AD9/AE9</f>
        <v>8.7013369223660861E-2</v>
      </c>
      <c r="AJ9" s="51"/>
      <c r="AK9" s="52"/>
      <c r="AL9" s="52"/>
      <c r="AM9" s="28">
        <v>1.75</v>
      </c>
      <c r="AN9" s="28">
        <v>2.5</v>
      </c>
      <c r="AO9" s="28">
        <v>0.75</v>
      </c>
      <c r="AP9" s="28">
        <v>0</v>
      </c>
      <c r="AQ9" s="28">
        <v>0.35</v>
      </c>
      <c r="AR9" s="28">
        <v>0.5</v>
      </c>
      <c r="AS9" s="28">
        <v>0.15</v>
      </c>
      <c r="AT9" s="28">
        <v>0</v>
      </c>
      <c r="AU9" s="25">
        <v>0.82</v>
      </c>
      <c r="AV9" s="25">
        <v>3.44</v>
      </c>
      <c r="AW9" s="25">
        <v>2.62</v>
      </c>
      <c r="AX9" s="25">
        <v>2.62</v>
      </c>
      <c r="AY9">
        <v>2.62</v>
      </c>
      <c r="AZ9">
        <v>5.9423863675000002</v>
      </c>
      <c r="BD9">
        <v>4.350668461183043E-2</v>
      </c>
      <c r="BE9">
        <v>0</v>
      </c>
      <c r="BH9">
        <v>8.7013369223660861E-2</v>
      </c>
      <c r="BI9">
        <v>2.1753342305915219E-2</v>
      </c>
      <c r="BJ9">
        <v>0</v>
      </c>
    </row>
    <row r="10" spans="1:62" x14ac:dyDescent="0.3">
      <c r="A10" s="2" t="s">
        <v>455</v>
      </c>
      <c r="B10" s="13" t="s">
        <v>693</v>
      </c>
      <c r="C10" s="13"/>
      <c r="F10" s="2">
        <v>3.21</v>
      </c>
      <c r="G10" s="2" t="s">
        <v>454</v>
      </c>
      <c r="H10" s="9">
        <v>-1</v>
      </c>
      <c r="I10">
        <v>-1</v>
      </c>
      <c r="J10"/>
      <c r="K10" s="2">
        <v>8</v>
      </c>
      <c r="L10" s="25">
        <v>0</v>
      </c>
      <c r="M10">
        <v>0</v>
      </c>
      <c r="N10">
        <v>0</v>
      </c>
      <c r="O10" s="2">
        <v>7.7489999999999997</v>
      </c>
      <c r="P10" s="2">
        <v>7.7359999999999998</v>
      </c>
      <c r="Q10" s="2">
        <v>37.369999999999997</v>
      </c>
      <c r="R10" s="2" t="s">
        <v>1142</v>
      </c>
      <c r="S10" s="2">
        <f>Q10/2</f>
        <v>18.684999999999999</v>
      </c>
      <c r="T10" s="25">
        <v>0</v>
      </c>
      <c r="U10" s="25"/>
      <c r="V10" s="25"/>
      <c r="W10">
        <v>0</v>
      </c>
      <c r="X10"/>
      <c r="Y10"/>
      <c r="Z10">
        <v>0</v>
      </c>
      <c r="AA10"/>
      <c r="AB10"/>
      <c r="AC10" s="2">
        <v>4</v>
      </c>
      <c r="AD10">
        <v>26</v>
      </c>
      <c r="AE10" s="55">
        <f t="shared" si="0"/>
        <v>2240.1918856799994</v>
      </c>
      <c r="AF10" s="57">
        <v>2240</v>
      </c>
      <c r="AG10" s="55">
        <v>0</v>
      </c>
      <c r="AH10" s="55">
        <v>0</v>
      </c>
      <c r="AI10" s="52">
        <f>K10*AD10/AE10</f>
        <v>9.2849189093845236E-2</v>
      </c>
      <c r="AJ10" s="51"/>
      <c r="AK10" s="52"/>
      <c r="AL10" s="52"/>
      <c r="AM10" s="28">
        <v>1.714285714285714</v>
      </c>
      <c r="AN10" s="28">
        <v>2.4761904761904758</v>
      </c>
      <c r="AO10" s="28">
        <v>0.76190476190476186</v>
      </c>
      <c r="AP10" s="28">
        <v>0</v>
      </c>
      <c r="AQ10" s="28">
        <v>0.34615384615384609</v>
      </c>
      <c r="AR10" s="28">
        <v>0.5</v>
      </c>
      <c r="AS10" s="28">
        <v>0.1538461538461538</v>
      </c>
      <c r="AT10" s="28">
        <v>0</v>
      </c>
      <c r="AU10" s="25">
        <v>0.82</v>
      </c>
      <c r="AV10" s="25">
        <v>3.44</v>
      </c>
      <c r="AW10" s="25">
        <v>2.62</v>
      </c>
      <c r="AX10" s="25">
        <v>2.612857142857143</v>
      </c>
      <c r="AY10">
        <v>2.612857142857143</v>
      </c>
      <c r="AZ10">
        <v>5.9413964502380949</v>
      </c>
      <c r="BD10">
        <v>4.6424594546922618E-2</v>
      </c>
      <c r="BE10">
        <v>0</v>
      </c>
      <c r="BH10">
        <v>9.2849189093845236E-2</v>
      </c>
      <c r="BI10">
        <v>2.3212297273461309E-2</v>
      </c>
      <c r="BJ10">
        <v>0</v>
      </c>
    </row>
    <row r="11" spans="1:62" x14ac:dyDescent="0.3">
      <c r="A11" s="2" t="s">
        <v>8</v>
      </c>
      <c r="B11" s="13" t="s">
        <v>694</v>
      </c>
      <c r="C11" s="13"/>
      <c r="F11" s="2">
        <v>3</v>
      </c>
      <c r="G11" s="2" t="s">
        <v>454</v>
      </c>
      <c r="H11" s="9" t="s">
        <v>530</v>
      </c>
      <c r="I11" t="s">
        <v>612</v>
      </c>
      <c r="J11"/>
      <c r="L11" s="25">
        <v>30</v>
      </c>
      <c r="M11">
        <v>4</v>
      </c>
      <c r="N11">
        <v>0</v>
      </c>
      <c r="T11" s="25">
        <v>10.59112378</v>
      </c>
      <c r="U11" s="25">
        <v>10.784736629999999</v>
      </c>
      <c r="V11" s="25">
        <v>10.486176179999999</v>
      </c>
      <c r="W11">
        <v>3.73</v>
      </c>
      <c r="X11">
        <v>3.73</v>
      </c>
      <c r="Y11">
        <v>9.3699999999999992</v>
      </c>
      <c r="Z11">
        <v>0</v>
      </c>
      <c r="AA11"/>
      <c r="AB11"/>
      <c r="AC11" s="1" t="s">
        <v>459</v>
      </c>
      <c r="AD11">
        <v>4</v>
      </c>
      <c r="AE11" s="55">
        <f t="shared" si="0"/>
        <v>0</v>
      </c>
      <c r="AF11" s="57">
        <v>1182.741260108548</v>
      </c>
      <c r="AG11" s="55">
        <v>130.36387300000001</v>
      </c>
      <c r="AH11" s="55">
        <v>0</v>
      </c>
      <c r="AI11" s="52"/>
      <c r="AJ11" s="51">
        <v>0.1014592151701775</v>
      </c>
      <c r="AK11" s="52">
        <v>0.1227333894874388</v>
      </c>
      <c r="AL11" s="52"/>
      <c r="AM11" s="28">
        <v>2</v>
      </c>
      <c r="AN11" s="28">
        <v>2.666666666666667</v>
      </c>
      <c r="AO11" s="28">
        <v>0.66666666666666663</v>
      </c>
      <c r="AP11" s="28">
        <v>0</v>
      </c>
      <c r="AQ11" s="28">
        <v>0.375</v>
      </c>
      <c r="AR11" s="28">
        <v>0.5</v>
      </c>
      <c r="AS11" s="28">
        <v>0.125</v>
      </c>
      <c r="AT11" s="28">
        <v>0</v>
      </c>
      <c r="AU11" s="25">
        <v>1.54</v>
      </c>
      <c r="AV11" s="25">
        <v>3.44</v>
      </c>
      <c r="AW11" s="25">
        <v>1.9</v>
      </c>
      <c r="AX11" s="25">
        <v>2.8066666666666671</v>
      </c>
      <c r="AY11">
        <v>2.8066666666666662</v>
      </c>
      <c r="AZ11">
        <v>6.1769976</v>
      </c>
      <c r="BA11" s="75">
        <v>0.46900407026869628</v>
      </c>
      <c r="BB11" s="75">
        <v>0.56734579634715776</v>
      </c>
      <c r="BE11">
        <v>5.072960758508873E-2</v>
      </c>
      <c r="BF11">
        <v>6.136669474371937E-2</v>
      </c>
      <c r="BH11">
        <v>0.1120963023288082</v>
      </c>
      <c r="BI11">
        <v>5.604815116440405E-2</v>
      </c>
      <c r="BJ11">
        <v>0.51817493330792708</v>
      </c>
    </row>
    <row r="12" spans="1:62" x14ac:dyDescent="0.3">
      <c r="A12" s="2" t="s">
        <v>10</v>
      </c>
      <c r="B12" s="13" t="s">
        <v>695</v>
      </c>
      <c r="C12" s="13"/>
      <c r="F12" s="2">
        <v>3.9</v>
      </c>
      <c r="G12" s="2" t="s">
        <v>453</v>
      </c>
      <c r="H12" s="9" t="s">
        <v>531</v>
      </c>
      <c r="I12">
        <v>-1</v>
      </c>
      <c r="J12"/>
      <c r="L12" s="25">
        <v>1</v>
      </c>
      <c r="M12">
        <v>0</v>
      </c>
      <c r="N12">
        <v>0</v>
      </c>
      <c r="O12" s="2">
        <v>3.8849999999999998</v>
      </c>
      <c r="P12" s="2">
        <v>3.8849999999999998</v>
      </c>
      <c r="Q12" s="2">
        <v>11.12</v>
      </c>
      <c r="R12" s="2" t="s">
        <v>439</v>
      </c>
      <c r="T12" s="25">
        <v>3.9103940000000001</v>
      </c>
      <c r="U12" s="25">
        <v>3.9103940000000001</v>
      </c>
      <c r="V12" s="25">
        <v>11.314458</v>
      </c>
      <c r="W12">
        <v>0</v>
      </c>
      <c r="X12"/>
      <c r="Y12"/>
      <c r="Z12">
        <v>0</v>
      </c>
      <c r="AA12"/>
      <c r="AB12"/>
      <c r="AC12" s="2">
        <v>2</v>
      </c>
      <c r="AD12">
        <v>14</v>
      </c>
      <c r="AE12" s="55">
        <f t="shared" si="0"/>
        <v>167.83666199999996</v>
      </c>
      <c r="AF12" s="57">
        <v>173.0114278564659</v>
      </c>
      <c r="AG12" s="55">
        <v>0</v>
      </c>
      <c r="AH12" s="55">
        <v>0</v>
      </c>
      <c r="AI12" s="52"/>
      <c r="AJ12" s="51">
        <v>8.0919510193365449E-2</v>
      </c>
      <c r="AK12" s="52"/>
      <c r="AL12" s="52"/>
      <c r="AM12" s="28">
        <v>1.9090909090909089</v>
      </c>
      <c r="AN12" s="28">
        <v>2.545454545454545</v>
      </c>
      <c r="AO12" s="28">
        <v>0.63636363636363635</v>
      </c>
      <c r="AP12" s="28">
        <v>2.545454545454545</v>
      </c>
      <c r="AQ12" s="28">
        <v>0.25</v>
      </c>
      <c r="AR12" s="28">
        <v>0.33333333333333331</v>
      </c>
      <c r="AS12" s="28">
        <v>8.3333333333333329E-2</v>
      </c>
      <c r="AT12" s="28">
        <v>0.33333333333333331</v>
      </c>
      <c r="AU12" s="25">
        <v>0.82</v>
      </c>
      <c r="AV12" s="25">
        <v>3.44</v>
      </c>
      <c r="AW12" s="25">
        <v>2.62</v>
      </c>
      <c r="AX12" s="25">
        <v>2.6363636363636358</v>
      </c>
      <c r="AY12">
        <v>2.6363636363636371</v>
      </c>
      <c r="AZ12">
        <v>6.0044088459090901</v>
      </c>
      <c r="BA12" s="75">
        <v>0.5117218936152963</v>
      </c>
      <c r="BE12">
        <v>4.0459755096682717E-2</v>
      </c>
      <c r="BH12">
        <v>8.0919510193365449E-2</v>
      </c>
      <c r="BI12">
        <v>4.0459755096682717E-2</v>
      </c>
      <c r="BJ12">
        <v>0.5117218936152963</v>
      </c>
    </row>
    <row r="13" spans="1:62" x14ac:dyDescent="0.3">
      <c r="A13" s="2" t="s">
        <v>11</v>
      </c>
      <c r="B13" s="13" t="s">
        <v>696</v>
      </c>
      <c r="C13" s="13"/>
      <c r="F13" s="2">
        <v>3.6</v>
      </c>
      <c r="G13" s="2" t="s">
        <v>453</v>
      </c>
      <c r="H13" s="9">
        <v>-1</v>
      </c>
      <c r="I13">
        <v>-1</v>
      </c>
      <c r="J13" s="58" t="s">
        <v>1144</v>
      </c>
      <c r="L13" s="25">
        <v>0</v>
      </c>
      <c r="M13">
        <v>0</v>
      </c>
      <c r="N13">
        <v>1</v>
      </c>
      <c r="T13" s="25">
        <v>0</v>
      </c>
      <c r="U13" s="25"/>
      <c r="V13" s="25"/>
      <c r="W13">
        <v>0</v>
      </c>
      <c r="X13"/>
      <c r="Y13"/>
      <c r="Z13">
        <v>3.8653</v>
      </c>
      <c r="AA13">
        <v>3.8653</v>
      </c>
      <c r="AB13">
        <v>11.0131</v>
      </c>
      <c r="AC13" s="2">
        <v>2</v>
      </c>
      <c r="AD13">
        <v>14</v>
      </c>
      <c r="AE13" s="55">
        <f t="shared" si="0"/>
        <v>0</v>
      </c>
      <c r="AF13" s="57">
        <v>0</v>
      </c>
      <c r="AG13" s="55">
        <v>0</v>
      </c>
      <c r="AH13" s="55">
        <v>164.541706117579</v>
      </c>
      <c r="AI13" s="52"/>
      <c r="AJ13" s="51"/>
      <c r="AK13" s="52"/>
      <c r="AL13" s="52">
        <v>8.5084811202795069E-2</v>
      </c>
      <c r="AM13" s="28">
        <v>1.9090909090909089</v>
      </c>
      <c r="AN13" s="28">
        <v>2.545454545454545</v>
      </c>
      <c r="AO13" s="28">
        <v>0.54545454545454541</v>
      </c>
      <c r="AP13" s="28">
        <v>2.8181818181818179</v>
      </c>
      <c r="AQ13" s="28">
        <v>0.2441860465116279</v>
      </c>
      <c r="AR13" s="28">
        <v>0.32558139534883718</v>
      </c>
      <c r="AS13" s="28">
        <v>6.9767441860465115E-2</v>
      </c>
      <c r="AT13" s="28">
        <v>0.3604651162790698</v>
      </c>
      <c r="AU13" s="25">
        <v>0.82</v>
      </c>
      <c r="AV13" s="25">
        <v>3.44</v>
      </c>
      <c r="AW13" s="25">
        <v>2.62</v>
      </c>
      <c r="AX13" s="25">
        <v>2.6390909090909092</v>
      </c>
      <c r="AY13">
        <v>2.6390909090909092</v>
      </c>
      <c r="AZ13">
        <v>5.9791810459090904</v>
      </c>
      <c r="BC13" s="75">
        <v>0.53381265134868672</v>
      </c>
      <c r="BG13">
        <v>4.2542405601397527E-2</v>
      </c>
      <c r="BH13">
        <v>8.5084811202795069E-2</v>
      </c>
      <c r="BI13">
        <v>4.2542405601397527E-2</v>
      </c>
      <c r="BJ13">
        <v>0.53381265134868672</v>
      </c>
    </row>
    <row r="14" spans="1:62" x14ac:dyDescent="0.3">
      <c r="A14" s="2" t="s">
        <v>12</v>
      </c>
      <c r="B14" s="13" t="s">
        <v>697</v>
      </c>
      <c r="C14" s="13"/>
      <c r="F14" s="2">
        <v>4.2</v>
      </c>
      <c r="G14" s="2" t="s">
        <v>453</v>
      </c>
      <c r="H14" s="9">
        <v>-1</v>
      </c>
      <c r="I14">
        <v>-1</v>
      </c>
      <c r="J14" s="9" t="s">
        <v>1145</v>
      </c>
      <c r="L14" s="25">
        <v>0</v>
      </c>
      <c r="M14">
        <v>0</v>
      </c>
      <c r="N14">
        <v>1</v>
      </c>
      <c r="T14" s="25">
        <v>0</v>
      </c>
      <c r="U14" s="25"/>
      <c r="V14" s="25"/>
      <c r="W14">
        <v>0</v>
      </c>
      <c r="X14"/>
      <c r="Y14"/>
      <c r="Z14">
        <v>3.8445</v>
      </c>
      <c r="AA14">
        <v>3.8445</v>
      </c>
      <c r="AB14">
        <v>11.03</v>
      </c>
      <c r="AC14" s="2">
        <v>2</v>
      </c>
      <c r="AD14">
        <v>14</v>
      </c>
      <c r="AE14" s="55">
        <f t="shared" si="0"/>
        <v>0</v>
      </c>
      <c r="AF14" s="57">
        <v>0</v>
      </c>
      <c r="AG14" s="55">
        <v>0</v>
      </c>
      <c r="AH14" s="55">
        <v>163.0253881575</v>
      </c>
      <c r="AI14" s="52"/>
      <c r="AJ14" s="51"/>
      <c r="AK14" s="52"/>
      <c r="AL14" s="52">
        <v>8.5876194856683907E-2</v>
      </c>
      <c r="AM14" s="28">
        <v>1.9090909090909089</v>
      </c>
      <c r="AN14" s="28">
        <v>2.545454545454545</v>
      </c>
      <c r="AO14" s="28">
        <v>0.54545454545454541</v>
      </c>
      <c r="AP14" s="28">
        <v>2.9090909090909092</v>
      </c>
      <c r="AQ14" s="28">
        <v>0.2413793103448276</v>
      </c>
      <c r="AR14" s="28">
        <v>0.32183908045977011</v>
      </c>
      <c r="AS14" s="28">
        <v>6.8965517241379309E-2</v>
      </c>
      <c r="AT14" s="28">
        <v>0.36781609195402298</v>
      </c>
      <c r="AU14" s="25">
        <v>0.82</v>
      </c>
      <c r="AV14" s="25">
        <v>3.44</v>
      </c>
      <c r="AW14" s="25">
        <v>2.62</v>
      </c>
      <c r="AX14" s="25">
        <v>2.64</v>
      </c>
      <c r="AY14">
        <v>2.64</v>
      </c>
      <c r="AZ14">
        <v>5.9811382595454541</v>
      </c>
      <c r="BC14" s="75">
        <v>0.53809297903977493</v>
      </c>
      <c r="BG14">
        <v>4.2938097428341947E-2</v>
      </c>
      <c r="BH14">
        <v>8.5876194856683907E-2</v>
      </c>
      <c r="BI14">
        <v>4.2938097428341947E-2</v>
      </c>
      <c r="BJ14">
        <v>0.53809297903977493</v>
      </c>
    </row>
    <row r="15" spans="1:62" x14ac:dyDescent="0.3">
      <c r="A15" s="2" t="s">
        <v>13</v>
      </c>
      <c r="B15" s="13" t="s">
        <v>698</v>
      </c>
      <c r="C15" s="13"/>
      <c r="F15" s="2">
        <v>4.2</v>
      </c>
      <c r="G15" s="2" t="s">
        <v>453</v>
      </c>
      <c r="H15" s="9">
        <v>-1</v>
      </c>
      <c r="I15">
        <v>-1</v>
      </c>
      <c r="J15" t="s">
        <v>1147</v>
      </c>
      <c r="L15" s="25">
        <v>0</v>
      </c>
      <c r="M15">
        <v>0</v>
      </c>
      <c r="N15">
        <v>1</v>
      </c>
      <c r="P15"/>
      <c r="T15" s="25">
        <v>0</v>
      </c>
      <c r="U15" s="25"/>
      <c r="V15" s="25"/>
      <c r="W15">
        <v>0</v>
      </c>
      <c r="X15"/>
      <c r="Y15"/>
      <c r="Z15">
        <v>3.8252000000000002</v>
      </c>
      <c r="AA15">
        <v>3.8252000000000002</v>
      </c>
      <c r="AB15">
        <v>11.013500000000001</v>
      </c>
      <c r="AC15" s="2">
        <v>2</v>
      </c>
      <c r="AD15">
        <v>14</v>
      </c>
      <c r="AE15" s="55">
        <f t="shared" si="0"/>
        <v>0</v>
      </c>
      <c r="AF15" s="57">
        <v>0</v>
      </c>
      <c r="AG15" s="55">
        <v>0</v>
      </c>
      <c r="AH15" s="55">
        <v>161.15123953304001</v>
      </c>
      <c r="AI15" s="52"/>
      <c r="AJ15" s="51"/>
      <c r="AK15" s="52"/>
      <c r="AL15" s="52">
        <v>8.6874913531953646E-2</v>
      </c>
      <c r="AM15" s="28">
        <v>1.9090909090909089</v>
      </c>
      <c r="AN15" s="28">
        <v>2.545454545454545</v>
      </c>
      <c r="AO15" s="28">
        <v>0.54545454545454541</v>
      </c>
      <c r="AP15" s="28">
        <v>3.0909090909090908</v>
      </c>
      <c r="AQ15" s="28">
        <v>0.2359550561797753</v>
      </c>
      <c r="AR15" s="28">
        <v>0.3146067415730337</v>
      </c>
      <c r="AS15" s="28">
        <v>6.7415730337078636E-2</v>
      </c>
      <c r="AT15" s="28">
        <v>0.38202247191011229</v>
      </c>
      <c r="AU15" s="25">
        <v>0.82</v>
      </c>
      <c r="AV15" s="25">
        <v>3.44</v>
      </c>
      <c r="AW15" s="25">
        <v>2.62</v>
      </c>
      <c r="AX15" s="25">
        <v>2.642727272727273</v>
      </c>
      <c r="AY15">
        <v>2.642727272727273</v>
      </c>
      <c r="AZ15">
        <v>5.9894662913636356</v>
      </c>
      <c r="BC15" s="75">
        <v>0.54194665977883461</v>
      </c>
      <c r="BG15">
        <v>4.3437456765976823E-2</v>
      </c>
      <c r="BH15">
        <v>8.6874913531953646E-2</v>
      </c>
      <c r="BI15">
        <v>4.3437456765976823E-2</v>
      </c>
      <c r="BJ15">
        <v>0.54194665977883461</v>
      </c>
    </row>
    <row r="16" spans="1:62" x14ac:dyDescent="0.3">
      <c r="A16" s="2" t="s">
        <v>14</v>
      </c>
      <c r="B16" s="13" t="s">
        <v>699</v>
      </c>
      <c r="C16" s="13"/>
      <c r="F16" s="2">
        <v>4</v>
      </c>
      <c r="G16" s="2" t="s">
        <v>9</v>
      </c>
      <c r="H16" s="58" t="s">
        <v>532</v>
      </c>
      <c r="I16" t="s">
        <v>613</v>
      </c>
      <c r="J16"/>
      <c r="L16" s="25">
        <v>4</v>
      </c>
      <c r="M16">
        <v>4</v>
      </c>
      <c r="N16">
        <v>0</v>
      </c>
      <c r="T16" s="25">
        <v>7.8568680000000004</v>
      </c>
      <c r="U16" s="25">
        <v>7.8568680000000004</v>
      </c>
      <c r="V16" s="25">
        <v>7.8568680000000004</v>
      </c>
      <c r="W16">
        <v>7.78</v>
      </c>
      <c r="X16">
        <v>7.78</v>
      </c>
      <c r="Y16">
        <v>7.78</v>
      </c>
      <c r="Z16">
        <v>0</v>
      </c>
      <c r="AA16"/>
      <c r="AB16"/>
      <c r="AD16">
        <v>12</v>
      </c>
      <c r="AE16" s="55">
        <f t="shared" si="0"/>
        <v>0</v>
      </c>
      <c r="AF16" s="57">
        <v>485.00740615389492</v>
      </c>
      <c r="AG16" s="55">
        <v>470.91095200000012</v>
      </c>
      <c r="AH16" s="55">
        <v>0</v>
      </c>
      <c r="AI16" s="52"/>
      <c r="AJ16" s="51">
        <v>9.896756088868755E-2</v>
      </c>
      <c r="AK16" s="52">
        <v>0.1019300990901566</v>
      </c>
      <c r="AL16" s="52"/>
      <c r="AM16" s="28">
        <v>2</v>
      </c>
      <c r="AN16" s="28">
        <v>2.666666666666667</v>
      </c>
      <c r="AO16" s="28">
        <v>0.66666666666666663</v>
      </c>
      <c r="AP16" s="28">
        <v>3.1111111111111112</v>
      </c>
      <c r="AQ16" s="28">
        <v>0.23684210526315791</v>
      </c>
      <c r="AR16" s="28">
        <v>0.31578947368421051</v>
      </c>
      <c r="AS16" s="28">
        <v>7.8947368421052627E-2</v>
      </c>
      <c r="AT16" s="28">
        <v>0.36842105263157893</v>
      </c>
      <c r="AU16" s="25">
        <v>1</v>
      </c>
      <c r="AV16" s="25">
        <v>3.44</v>
      </c>
      <c r="AW16" s="25">
        <v>2.44</v>
      </c>
      <c r="AX16" s="25">
        <v>2.7377777777777781</v>
      </c>
      <c r="AY16">
        <v>2.7377777777777781</v>
      </c>
      <c r="AZ16">
        <v>6.2421139038888889</v>
      </c>
      <c r="BA16" s="75">
        <v>0.49860192759728061</v>
      </c>
      <c r="BB16" s="75">
        <v>0.51352729551146459</v>
      </c>
      <c r="BE16">
        <v>4.9483780444343768E-2</v>
      </c>
      <c r="BF16">
        <v>5.0965049545078307E-2</v>
      </c>
      <c r="BH16">
        <v>0.1004488299894221</v>
      </c>
      <c r="BI16">
        <v>5.0224414994711038E-2</v>
      </c>
      <c r="BJ16">
        <v>0.50606461155437255</v>
      </c>
    </row>
    <row r="17" spans="1:62" x14ac:dyDescent="0.3">
      <c r="A17" s="2" t="s">
        <v>15</v>
      </c>
      <c r="B17" s="13" t="s">
        <v>700</v>
      </c>
      <c r="C17" s="13"/>
      <c r="F17" s="2">
        <v>4.4000000000000004</v>
      </c>
      <c r="G17" s="2" t="s">
        <v>9</v>
      </c>
      <c r="H17" s="9" t="s">
        <v>533</v>
      </c>
      <c r="I17" t="s">
        <v>614</v>
      </c>
      <c r="J17"/>
      <c r="L17" s="25">
        <v>4</v>
      </c>
      <c r="M17">
        <v>4</v>
      </c>
      <c r="N17">
        <v>0</v>
      </c>
      <c r="T17" s="25">
        <v>5.63450966</v>
      </c>
      <c r="U17" s="25">
        <v>7.6422105</v>
      </c>
      <c r="V17" s="25">
        <v>11.066420430000001</v>
      </c>
      <c r="W17">
        <v>11.013</v>
      </c>
      <c r="X17">
        <v>7.6319999999999997</v>
      </c>
      <c r="Y17">
        <v>5.6210000000000004</v>
      </c>
      <c r="Z17">
        <v>0</v>
      </c>
      <c r="AA17"/>
      <c r="AB17"/>
      <c r="AD17">
        <v>12</v>
      </c>
      <c r="AE17" s="55">
        <f t="shared" si="0"/>
        <v>0</v>
      </c>
      <c r="AF17" s="57">
        <v>476.5212686940929</v>
      </c>
      <c r="AG17" s="55">
        <v>472.45188513599999</v>
      </c>
      <c r="AH17" s="55">
        <v>0</v>
      </c>
      <c r="AI17" s="52"/>
      <c r="AJ17" s="51">
        <v>0.1007300264509579</v>
      </c>
      <c r="AK17" s="52">
        <v>0.1015976473163669</v>
      </c>
      <c r="AL17" s="52"/>
      <c r="AM17" s="28">
        <v>2</v>
      </c>
      <c r="AN17" s="28">
        <v>2.666666666666667</v>
      </c>
      <c r="AO17" s="28">
        <v>0.66666666666666663</v>
      </c>
      <c r="AP17" s="28">
        <v>3.1111111111111112</v>
      </c>
      <c r="AQ17" s="28">
        <v>0.23684210526315791</v>
      </c>
      <c r="AR17" s="28">
        <v>0.31578947368421051</v>
      </c>
      <c r="AS17" s="28">
        <v>7.8947368421052627E-2</v>
      </c>
      <c r="AT17" s="28">
        <v>0.36842105263157893</v>
      </c>
      <c r="AU17" s="25">
        <v>0.95</v>
      </c>
      <c r="AV17" s="25">
        <v>3.44</v>
      </c>
      <c r="AW17" s="25">
        <v>2.4900000000000002</v>
      </c>
      <c r="AX17" s="25">
        <v>2.7322222222222221</v>
      </c>
      <c r="AY17">
        <v>2.7322222222222221</v>
      </c>
      <c r="AZ17">
        <v>6.2204042916666662</v>
      </c>
      <c r="BA17" s="75">
        <v>0.5362582325986015</v>
      </c>
      <c r="BB17" s="75">
        <v>0.54087720122437066</v>
      </c>
      <c r="BE17">
        <v>5.0365013225478962E-2</v>
      </c>
      <c r="BF17">
        <v>5.0798823658183438E-2</v>
      </c>
      <c r="BH17">
        <v>0.1011638368836624</v>
      </c>
      <c r="BI17">
        <v>5.05819184418312E-2</v>
      </c>
      <c r="BJ17">
        <v>0.53856771691148608</v>
      </c>
    </row>
    <row r="18" spans="1:62" x14ac:dyDescent="0.3">
      <c r="A18" s="2" t="s">
        <v>16</v>
      </c>
      <c r="B18" s="13" t="s">
        <v>701</v>
      </c>
      <c r="C18" s="13"/>
      <c r="F18" s="2">
        <v>4.0999999999999996</v>
      </c>
      <c r="G18" s="2" t="s">
        <v>9</v>
      </c>
      <c r="H18" s="9" t="s">
        <v>534</v>
      </c>
      <c r="I18" t="s">
        <v>615</v>
      </c>
      <c r="J18"/>
      <c r="L18" s="25">
        <v>6</v>
      </c>
      <c r="M18">
        <v>12</v>
      </c>
      <c r="N18">
        <v>0</v>
      </c>
      <c r="T18" s="25">
        <v>9.2906580000000005</v>
      </c>
      <c r="U18" s="25">
        <v>9.8537374799999977</v>
      </c>
      <c r="V18" s="25">
        <v>14.19785074</v>
      </c>
      <c r="W18">
        <v>21.14</v>
      </c>
      <c r="X18">
        <v>21.14</v>
      </c>
      <c r="Y18">
        <v>3.9169999999999998</v>
      </c>
      <c r="Z18">
        <v>0</v>
      </c>
      <c r="AA18"/>
      <c r="AB18"/>
      <c r="AD18">
        <v>12</v>
      </c>
      <c r="AE18" s="55">
        <f t="shared" si="0"/>
        <v>0</v>
      </c>
      <c r="AF18" s="57">
        <v>1160.7096237378021</v>
      </c>
      <c r="AG18" s="55">
        <v>1515.9824344215051</v>
      </c>
      <c r="AH18" s="55">
        <v>0</v>
      </c>
      <c r="AI18" s="52"/>
      <c r="AJ18" s="51">
        <v>6.2031018376620617E-2</v>
      </c>
      <c r="AK18" s="52">
        <v>9.4987907993109438E-2</v>
      </c>
      <c r="AL18" s="52"/>
      <c r="AM18" s="28">
        <v>2</v>
      </c>
      <c r="AN18" s="28">
        <v>2.666666666666667</v>
      </c>
      <c r="AO18" s="28">
        <v>0.66666666666666663</v>
      </c>
      <c r="AP18" s="28">
        <v>3.1111111111111112</v>
      </c>
      <c r="AQ18" s="28">
        <v>0.23684210526315791</v>
      </c>
      <c r="AR18" s="28">
        <v>0.31578947368421051</v>
      </c>
      <c r="AS18" s="28">
        <v>7.8947368421052627E-2</v>
      </c>
      <c r="AT18" s="28">
        <v>0.36842105263157893</v>
      </c>
      <c r="AU18" s="25">
        <v>0.89</v>
      </c>
      <c r="AV18" s="25">
        <v>3.44</v>
      </c>
      <c r="AW18" s="25">
        <v>2.5499999999999998</v>
      </c>
      <c r="AX18" s="25">
        <v>2.7255555555555562</v>
      </c>
      <c r="AY18">
        <v>2.7255555555555548</v>
      </c>
      <c r="AZ18">
        <v>6.1987019111111108</v>
      </c>
      <c r="BA18" s="75">
        <v>0.35206135737794247</v>
      </c>
      <c r="BB18" s="75">
        <v>0.53911047565759851</v>
      </c>
      <c r="BE18">
        <v>3.1015509188310308E-2</v>
      </c>
      <c r="BF18">
        <v>4.7493953996554719E-2</v>
      </c>
      <c r="BH18">
        <v>7.8509463184865028E-2</v>
      </c>
      <c r="BI18">
        <v>3.9254731592432507E-2</v>
      </c>
      <c r="BJ18">
        <v>0.44558591651777052</v>
      </c>
    </row>
    <row r="19" spans="1:62" x14ac:dyDescent="0.3">
      <c r="A19" s="2" t="s">
        <v>17</v>
      </c>
      <c r="B19" s="13" t="s">
        <v>702</v>
      </c>
      <c r="C19" s="13"/>
      <c r="F19" s="2">
        <v>3.67</v>
      </c>
      <c r="G19" s="2" t="s">
        <v>117</v>
      </c>
      <c r="H19" s="9" t="s">
        <v>535</v>
      </c>
      <c r="I19" t="s">
        <v>616</v>
      </c>
      <c r="J19"/>
      <c r="L19" s="25">
        <v>1</v>
      </c>
      <c r="M19">
        <v>4</v>
      </c>
      <c r="N19">
        <v>0</v>
      </c>
      <c r="O19" s="2">
        <v>5.4669999999999996</v>
      </c>
      <c r="P19" s="2">
        <v>5.4269999999999996</v>
      </c>
      <c r="Q19" s="2">
        <v>24.931000000000001</v>
      </c>
      <c r="R19" s="2" t="s">
        <v>450</v>
      </c>
      <c r="T19" s="25">
        <v>13.46934785</v>
      </c>
      <c r="U19" s="25">
        <v>13.46934785</v>
      </c>
      <c r="V19" s="25">
        <v>13.46934785</v>
      </c>
      <c r="W19">
        <v>5.4659000000000004</v>
      </c>
      <c r="X19">
        <v>5.4318</v>
      </c>
      <c r="Y19">
        <v>24.9619</v>
      </c>
      <c r="Z19">
        <v>0</v>
      </c>
      <c r="AA19"/>
      <c r="AB19"/>
      <c r="AC19" s="2">
        <v>2</v>
      </c>
      <c r="AD19">
        <v>18</v>
      </c>
      <c r="AE19" s="55">
        <f t="shared" si="0"/>
        <v>739.68803577899985</v>
      </c>
      <c r="AF19" s="57">
        <v>189.22149105491849</v>
      </c>
      <c r="AG19" s="55">
        <v>741.11071385887806</v>
      </c>
      <c r="AH19" s="55">
        <v>0</v>
      </c>
      <c r="AI19" s="52"/>
      <c r="AJ19" s="51">
        <v>9.5126615373598261E-2</v>
      </c>
      <c r="AK19" s="52">
        <v>9.7151476363233638E-2</v>
      </c>
      <c r="AL19" s="52"/>
      <c r="AM19" s="28">
        <v>2</v>
      </c>
      <c r="AN19" s="28">
        <v>3</v>
      </c>
      <c r="AO19" s="28">
        <v>1.857142857142857</v>
      </c>
      <c r="AP19" s="28">
        <v>4</v>
      </c>
      <c r="AQ19" s="28">
        <v>0.18421052631578949</v>
      </c>
      <c r="AR19" s="28">
        <v>0.27631578947368418</v>
      </c>
      <c r="AS19" s="28">
        <v>0.1710526315789474</v>
      </c>
      <c r="AT19" s="28">
        <v>0.36842105263157893</v>
      </c>
      <c r="AU19" s="25">
        <v>1</v>
      </c>
      <c r="AV19" s="25">
        <v>3.44</v>
      </c>
      <c r="AW19" s="25">
        <v>2.44</v>
      </c>
      <c r="AX19" s="25">
        <v>2.785714285714286</v>
      </c>
      <c r="AY19">
        <v>2.785714285714286</v>
      </c>
      <c r="AZ19">
        <v>6.216117408214286</v>
      </c>
      <c r="BA19" s="75">
        <v>0.52325723799350143</v>
      </c>
      <c r="BE19">
        <v>4.7563307686799138E-2</v>
      </c>
      <c r="BF19">
        <v>4.8575738181616819E-2</v>
      </c>
      <c r="BH19">
        <v>9.6139045868415957E-2</v>
      </c>
      <c r="BI19">
        <v>4.8069522934207978E-2</v>
      </c>
      <c r="BJ19">
        <v>0.52325723799350143</v>
      </c>
    </row>
    <row r="20" spans="1:62" x14ac:dyDescent="0.3">
      <c r="A20" s="2" t="s">
        <v>51</v>
      </c>
      <c r="B20" s="13" t="s">
        <v>703</v>
      </c>
      <c r="C20" s="13"/>
      <c r="F20" s="2">
        <v>3.64</v>
      </c>
      <c r="G20" s="2" t="s">
        <v>117</v>
      </c>
      <c r="H20" s="9" t="s">
        <v>536</v>
      </c>
      <c r="I20" t="s">
        <v>617</v>
      </c>
      <c r="J20"/>
      <c r="L20" s="25">
        <v>1</v>
      </c>
      <c r="M20">
        <v>4</v>
      </c>
      <c r="N20">
        <v>0</v>
      </c>
      <c r="O20" s="2">
        <v>5.4729999999999999</v>
      </c>
      <c r="P20" s="2">
        <v>5.5269999999999992</v>
      </c>
      <c r="Q20" s="2">
        <v>25.030999999999999</v>
      </c>
      <c r="R20" s="2" t="s">
        <v>450</v>
      </c>
      <c r="T20" s="25">
        <v>12.88926011</v>
      </c>
      <c r="U20" s="25">
        <v>12.88926011</v>
      </c>
      <c r="V20" s="25">
        <v>12.88926011</v>
      </c>
      <c r="W20">
        <v>5.5223699999999996</v>
      </c>
      <c r="X20">
        <v>5.5240799999999997</v>
      </c>
      <c r="Y20">
        <v>25.026399999999999</v>
      </c>
      <c r="Z20">
        <v>0</v>
      </c>
      <c r="AA20"/>
      <c r="AB20"/>
      <c r="AC20" s="2">
        <v>2</v>
      </c>
      <c r="AD20">
        <v>18</v>
      </c>
      <c r="AE20" s="55">
        <f t="shared" si="0"/>
        <v>757.16950240099993</v>
      </c>
      <c r="AF20" s="57">
        <v>195.03203980213701</v>
      </c>
      <c r="AG20" s="55">
        <v>763.45570050087724</v>
      </c>
      <c r="AH20" s="55">
        <v>0</v>
      </c>
      <c r="AI20" s="52"/>
      <c r="AJ20" s="51">
        <v>9.2292528029042184E-2</v>
      </c>
      <c r="AK20" s="52">
        <v>9.4308025930991482E-2</v>
      </c>
      <c r="AL20" s="52"/>
      <c r="AM20" s="28">
        <v>2</v>
      </c>
      <c r="AN20" s="28">
        <v>3</v>
      </c>
      <c r="AO20" s="28">
        <v>1.857142857142857</v>
      </c>
      <c r="AP20" s="28">
        <v>4</v>
      </c>
      <c r="AQ20" s="28">
        <v>0.18421052631578949</v>
      </c>
      <c r="AR20" s="28">
        <v>0.27631578947368418</v>
      </c>
      <c r="AS20" s="28">
        <v>0.1710526315789474</v>
      </c>
      <c r="AT20" s="28">
        <v>0.36842105263157893</v>
      </c>
      <c r="AU20" s="25">
        <v>0.95</v>
      </c>
      <c r="AV20" s="25">
        <v>3.44</v>
      </c>
      <c r="AW20" s="25">
        <v>2.4900000000000002</v>
      </c>
      <c r="AX20" s="25">
        <v>2.782142857142857</v>
      </c>
      <c r="AY20">
        <v>2.7821428571428579</v>
      </c>
      <c r="AZ20">
        <v>6.2021612289285706</v>
      </c>
      <c r="BA20" s="75">
        <v>0.52524560229640982</v>
      </c>
      <c r="BB20" s="75">
        <v>0.53671599358424449</v>
      </c>
      <c r="BE20">
        <v>4.6146264014521092E-2</v>
      </c>
      <c r="BF20">
        <v>4.7154012965495741E-2</v>
      </c>
      <c r="BH20">
        <v>9.3300276980016833E-2</v>
      </c>
      <c r="BI20">
        <v>4.6650138490008423E-2</v>
      </c>
      <c r="BJ20">
        <v>0.53098079794032715</v>
      </c>
    </row>
    <row r="21" spans="1:62" x14ac:dyDescent="0.3">
      <c r="A21" s="2" t="s">
        <v>18</v>
      </c>
      <c r="B21" s="13" t="s">
        <v>704</v>
      </c>
      <c r="C21" s="13"/>
      <c r="F21" s="2">
        <v>3.52</v>
      </c>
      <c r="G21" s="2" t="s">
        <v>117</v>
      </c>
      <c r="H21" s="9" t="s">
        <v>537</v>
      </c>
      <c r="I21" t="s">
        <v>618</v>
      </c>
      <c r="J21"/>
      <c r="L21" s="25">
        <v>1</v>
      </c>
      <c r="M21">
        <v>1</v>
      </c>
      <c r="N21">
        <v>0</v>
      </c>
      <c r="O21" s="2">
        <v>3.9539999999999997</v>
      </c>
      <c r="P21" s="2">
        <v>3.9539999999999997</v>
      </c>
      <c r="Q21" s="2">
        <v>25.487000000000002</v>
      </c>
      <c r="R21" s="2" t="s">
        <v>440</v>
      </c>
      <c r="T21" s="25">
        <v>12.939761450000001</v>
      </c>
      <c r="U21" s="25">
        <v>12.939761450000001</v>
      </c>
      <c r="V21" s="25">
        <v>12.939761450000001</v>
      </c>
      <c r="W21">
        <v>3.9355000000000002</v>
      </c>
      <c r="X21">
        <v>3.9355000000000002</v>
      </c>
      <c r="Y21">
        <v>25.5686</v>
      </c>
      <c r="Z21">
        <v>0</v>
      </c>
      <c r="AA21"/>
      <c r="AB21"/>
      <c r="AC21" s="2">
        <v>2</v>
      </c>
      <c r="AD21">
        <v>18</v>
      </c>
      <c r="AE21" s="55">
        <f t="shared" si="0"/>
        <v>398.46671449199999</v>
      </c>
      <c r="AF21" s="57">
        <v>198.96095988642259</v>
      </c>
      <c r="AG21" s="55">
        <v>396.01057416815007</v>
      </c>
      <c r="AH21" s="55">
        <v>0</v>
      </c>
      <c r="AI21" s="52"/>
      <c r="AJ21" s="51">
        <v>9.047000984653146E-2</v>
      </c>
      <c r="AK21" s="52">
        <v>4.5453331739462637E-2</v>
      </c>
      <c r="AL21" s="52"/>
      <c r="AM21" s="28">
        <v>2</v>
      </c>
      <c r="AN21" s="28">
        <v>3</v>
      </c>
      <c r="AO21" s="28">
        <v>1.857142857142857</v>
      </c>
      <c r="AP21" s="28">
        <v>4</v>
      </c>
      <c r="AQ21" s="28">
        <v>0.18421052631578949</v>
      </c>
      <c r="AR21" s="28">
        <v>0.27631578947368418</v>
      </c>
      <c r="AS21" s="28">
        <v>0.1710526315789474</v>
      </c>
      <c r="AT21" s="28">
        <v>0.36842105263157893</v>
      </c>
      <c r="AU21" s="25">
        <v>0.89</v>
      </c>
      <c r="AV21" s="25">
        <v>3.44</v>
      </c>
      <c r="AW21" s="25">
        <v>2.5499999999999998</v>
      </c>
      <c r="AX21" s="25">
        <v>2.777857142857143</v>
      </c>
      <c r="AY21">
        <v>2.777857142857143</v>
      </c>
      <c r="AZ21">
        <v>6.1882096985714297</v>
      </c>
      <c r="BA21" s="75">
        <v>0.53609483093200738</v>
      </c>
      <c r="BE21">
        <v>4.5235004923265723E-2</v>
      </c>
      <c r="BF21">
        <v>2.2726665869731318E-2</v>
      </c>
      <c r="BH21">
        <v>6.7961670792997045E-2</v>
      </c>
      <c r="BI21">
        <v>3.3980835396498522E-2</v>
      </c>
      <c r="BJ21">
        <v>0.53609483093200738</v>
      </c>
    </row>
    <row r="22" spans="1:62" x14ac:dyDescent="0.3">
      <c r="A22" s="2" t="s">
        <v>19</v>
      </c>
      <c r="B22" s="13" t="s">
        <v>705</v>
      </c>
      <c r="C22" s="13"/>
      <c r="F22" s="2">
        <v>3.46</v>
      </c>
      <c r="G22" s="2" t="s">
        <v>435</v>
      </c>
      <c r="H22" s="9" t="s">
        <v>538</v>
      </c>
      <c r="I22">
        <v>-1</v>
      </c>
      <c r="J22"/>
      <c r="L22" s="25">
        <v>1</v>
      </c>
      <c r="M22">
        <v>0</v>
      </c>
      <c r="N22">
        <v>0</v>
      </c>
      <c r="O22" s="2" t="s">
        <v>464</v>
      </c>
      <c r="P22" s="2" t="s">
        <v>464</v>
      </c>
      <c r="Q22" s="2" t="s">
        <v>464</v>
      </c>
      <c r="R22" s="2" t="s">
        <v>450</v>
      </c>
      <c r="T22" s="25">
        <v>13.83861243</v>
      </c>
      <c r="U22" s="25">
        <v>13.83861243</v>
      </c>
      <c r="V22" s="25">
        <v>13.83861243</v>
      </c>
      <c r="W22">
        <v>0</v>
      </c>
      <c r="X22"/>
      <c r="Y22"/>
      <c r="Z22">
        <v>0</v>
      </c>
      <c r="AA22"/>
      <c r="AB22"/>
      <c r="AC22" s="2">
        <v>2</v>
      </c>
      <c r="AD22">
        <v>18</v>
      </c>
      <c r="AE22" s="55" t="e">
        <f t="shared" si="0"/>
        <v>#VALUE!</v>
      </c>
      <c r="AF22" s="57">
        <v>208.2630581553295</v>
      </c>
      <c r="AG22" s="55">
        <v>0</v>
      </c>
      <c r="AH22" s="55">
        <v>0</v>
      </c>
      <c r="AI22" s="52"/>
      <c r="AJ22" s="51">
        <v>8.6429154356194082E-2</v>
      </c>
      <c r="AK22" s="52"/>
      <c r="AL22" s="52"/>
      <c r="AM22" s="28">
        <v>1.857142857142857</v>
      </c>
      <c r="AN22" s="28">
        <v>3</v>
      </c>
      <c r="AO22" s="28">
        <v>2</v>
      </c>
      <c r="AP22" s="28">
        <v>2</v>
      </c>
      <c r="AQ22" s="28">
        <v>0.20967741935483869</v>
      </c>
      <c r="AR22" s="28">
        <v>0.33870967741935482</v>
      </c>
      <c r="AS22" s="28">
        <v>0.22580645161290319</v>
      </c>
      <c r="AT22" s="28">
        <v>0.22580645161290319</v>
      </c>
      <c r="AU22" s="25">
        <v>1</v>
      </c>
      <c r="AV22" s="25">
        <v>3.44</v>
      </c>
      <c r="AW22" s="25">
        <v>2.44</v>
      </c>
      <c r="AX22" s="25">
        <v>2.8</v>
      </c>
      <c r="AY22">
        <v>2.8</v>
      </c>
      <c r="AZ22">
        <v>6.2020864082142868</v>
      </c>
      <c r="BA22" s="75">
        <v>0.47541563854575991</v>
      </c>
      <c r="BE22">
        <v>4.3214577178097048E-2</v>
      </c>
      <c r="BH22">
        <v>8.6429154356194082E-2</v>
      </c>
      <c r="BI22">
        <v>4.3214577178097048E-2</v>
      </c>
      <c r="BJ22">
        <v>0.47541563854575991</v>
      </c>
    </row>
    <row r="23" spans="1:62" x14ac:dyDescent="0.3">
      <c r="A23" s="2" t="s">
        <v>20</v>
      </c>
      <c r="B23" s="13" t="s">
        <v>706</v>
      </c>
      <c r="C23" s="13"/>
      <c r="F23" s="2">
        <v>3.43</v>
      </c>
      <c r="G23" s="2" t="s">
        <v>435</v>
      </c>
      <c r="H23" s="9" t="s">
        <v>539</v>
      </c>
      <c r="I23" t="s">
        <v>619</v>
      </c>
      <c r="J23"/>
      <c r="L23" s="25">
        <v>2</v>
      </c>
      <c r="M23">
        <v>4</v>
      </c>
      <c r="N23">
        <v>0</v>
      </c>
      <c r="O23" s="2" t="s">
        <v>464</v>
      </c>
      <c r="P23" s="2" t="s">
        <v>464</v>
      </c>
      <c r="Q23" s="2" t="s">
        <v>464</v>
      </c>
      <c r="R23" s="2" t="s">
        <v>450</v>
      </c>
      <c r="T23" s="25">
        <v>13.01244535</v>
      </c>
      <c r="U23" s="25">
        <v>13.01244535</v>
      </c>
      <c r="V23" s="25">
        <v>5.6884839999999999</v>
      </c>
      <c r="W23">
        <v>5.5060000000000002</v>
      </c>
      <c r="X23">
        <v>5.5060000000000002</v>
      </c>
      <c r="Y23">
        <v>25</v>
      </c>
      <c r="Z23">
        <v>0</v>
      </c>
      <c r="AA23"/>
      <c r="AB23"/>
      <c r="AC23" s="2">
        <v>2</v>
      </c>
      <c r="AD23">
        <v>18</v>
      </c>
      <c r="AE23" s="55" t="e">
        <f t="shared" si="0"/>
        <v>#VALUE!</v>
      </c>
      <c r="AF23" s="57">
        <v>408.08048566890238</v>
      </c>
      <c r="AG23" s="55">
        <v>757.90090000000009</v>
      </c>
      <c r="AH23" s="55">
        <v>0</v>
      </c>
      <c r="AI23" s="52"/>
      <c r="AJ23" s="51">
        <v>8.8217891480379992E-2</v>
      </c>
      <c r="AK23" s="52">
        <v>9.4999227471559922E-2</v>
      </c>
      <c r="AL23" s="52"/>
      <c r="AM23" s="28">
        <v>1.857142857142857</v>
      </c>
      <c r="AN23" s="28">
        <v>3</v>
      </c>
      <c r="AO23" s="28">
        <v>2</v>
      </c>
      <c r="AP23" s="28">
        <v>2</v>
      </c>
      <c r="AQ23" s="28">
        <v>0.20967741935483869</v>
      </c>
      <c r="AR23" s="28">
        <v>0.33870967741935482</v>
      </c>
      <c r="AS23" s="28">
        <v>0.22580645161290319</v>
      </c>
      <c r="AT23" s="28">
        <v>0.22580645161290319</v>
      </c>
      <c r="AU23" s="25">
        <v>0.95</v>
      </c>
      <c r="AV23" s="25">
        <v>3.44</v>
      </c>
      <c r="AW23" s="25">
        <v>2.4900000000000002</v>
      </c>
      <c r="AX23" s="25">
        <v>2.7964285714285722</v>
      </c>
      <c r="AY23">
        <v>2.7964285714285722</v>
      </c>
      <c r="AZ23">
        <v>6.1881302289285713</v>
      </c>
      <c r="BA23" s="75">
        <v>0.50205645606923555</v>
      </c>
      <c r="BB23" s="75">
        <v>0.54064968764634491</v>
      </c>
      <c r="BE23">
        <v>4.4108945740190003E-2</v>
      </c>
      <c r="BF23">
        <v>4.7499613735779961E-2</v>
      </c>
      <c r="BH23">
        <v>9.1608559475969964E-2</v>
      </c>
      <c r="BI23">
        <v>4.5804279737984982E-2</v>
      </c>
      <c r="BJ23">
        <v>0.52135307185779023</v>
      </c>
    </row>
    <row r="24" spans="1:62" x14ac:dyDescent="0.3">
      <c r="A24" s="2" t="s">
        <v>21</v>
      </c>
      <c r="B24" s="13" t="s">
        <v>707</v>
      </c>
      <c r="C24" s="13"/>
      <c r="F24" s="2">
        <v>3.3</v>
      </c>
      <c r="G24" s="2" t="s">
        <v>435</v>
      </c>
      <c r="H24" s="9" t="s">
        <v>540</v>
      </c>
      <c r="I24" t="s">
        <v>620</v>
      </c>
      <c r="J24"/>
      <c r="L24" s="25">
        <v>2</v>
      </c>
      <c r="M24">
        <v>2</v>
      </c>
      <c r="N24">
        <v>0</v>
      </c>
      <c r="O24" s="2" t="s">
        <v>464</v>
      </c>
      <c r="P24" s="2" t="s">
        <v>464</v>
      </c>
      <c r="Q24" s="2" t="s">
        <v>464</v>
      </c>
      <c r="R24" s="2" t="s">
        <v>440</v>
      </c>
      <c r="T24" s="25">
        <v>13.052871550000001</v>
      </c>
      <c r="U24" s="25">
        <v>13.052871550000001</v>
      </c>
      <c r="V24" s="25">
        <v>5.7602650000000004</v>
      </c>
      <c r="W24">
        <v>3.9390000000000001</v>
      </c>
      <c r="X24">
        <v>3.9390000000000001</v>
      </c>
      <c r="Y24">
        <v>25.636399999999998</v>
      </c>
      <c r="Z24">
        <v>0</v>
      </c>
      <c r="AA24"/>
      <c r="AB24"/>
      <c r="AC24" s="2">
        <v>2</v>
      </c>
      <c r="AD24">
        <v>18</v>
      </c>
      <c r="AE24" s="55" t="e">
        <f t="shared" si="0"/>
        <v>#VALUE!</v>
      </c>
      <c r="AF24" s="57">
        <v>419.87909289623292</v>
      </c>
      <c r="AG24" s="55">
        <v>397.76722984439999</v>
      </c>
      <c r="AH24" s="55">
        <v>0</v>
      </c>
      <c r="AI24" s="52"/>
      <c r="AJ24" s="51">
        <v>8.5738967738736363E-2</v>
      </c>
      <c r="AK24" s="52">
        <v>9.0505193235960166E-2</v>
      </c>
      <c r="AL24" s="52"/>
      <c r="AM24" s="28">
        <v>1.857142857142857</v>
      </c>
      <c r="AN24" s="28">
        <v>3</v>
      </c>
      <c r="AO24" s="28">
        <v>2</v>
      </c>
      <c r="AP24" s="28">
        <v>2</v>
      </c>
      <c r="AQ24" s="28">
        <v>0.20967741935483869</v>
      </c>
      <c r="AR24" s="28">
        <v>0.33870967741935482</v>
      </c>
      <c r="AS24" s="28">
        <v>0.22580645161290319</v>
      </c>
      <c r="AT24" s="28">
        <v>0.22580645161290319</v>
      </c>
      <c r="AU24" s="25">
        <v>0.89</v>
      </c>
      <c r="AV24" s="25">
        <v>3.44</v>
      </c>
      <c r="AW24" s="25">
        <v>2.5499999999999998</v>
      </c>
      <c r="AX24" s="25">
        <v>2.7921428571428568</v>
      </c>
      <c r="AY24">
        <v>2.7921428571428568</v>
      </c>
      <c r="AZ24">
        <v>6.1741786985714304</v>
      </c>
      <c r="BA24" s="75">
        <v>0.50806026761966716</v>
      </c>
      <c r="BB24" s="75">
        <v>0</v>
      </c>
      <c r="BE24">
        <v>4.2869483869368182E-2</v>
      </c>
      <c r="BF24">
        <v>4.5252596617980083E-2</v>
      </c>
      <c r="BH24">
        <v>8.8122080487348264E-2</v>
      </c>
      <c r="BI24">
        <v>4.4061040243674132E-2</v>
      </c>
      <c r="BJ24">
        <v>0.25403013380983358</v>
      </c>
    </row>
    <row r="25" spans="1:62" x14ac:dyDescent="0.3">
      <c r="A25" s="2" t="s">
        <v>22</v>
      </c>
      <c r="B25" s="13" t="s">
        <v>876</v>
      </c>
      <c r="C25" s="13"/>
      <c r="F25" s="2">
        <v>2.74</v>
      </c>
      <c r="G25" s="2" t="s">
        <v>213</v>
      </c>
      <c r="H25" s="32" t="s">
        <v>541</v>
      </c>
      <c r="I25" t="s">
        <v>621</v>
      </c>
      <c r="J25"/>
      <c r="L25" s="25">
        <v>0</v>
      </c>
      <c r="M25">
        <v>4</v>
      </c>
      <c r="N25">
        <v>0</v>
      </c>
      <c r="T25" s="25">
        <v>0</v>
      </c>
      <c r="U25" s="25"/>
      <c r="V25" s="25"/>
      <c r="W25">
        <v>5.5453000000000001</v>
      </c>
      <c r="X25">
        <v>5.5453000000000001</v>
      </c>
      <c r="Y25">
        <v>25.686699999999998</v>
      </c>
      <c r="Z25">
        <v>0</v>
      </c>
      <c r="AA25"/>
      <c r="AB25"/>
      <c r="AC25" s="2" t="s">
        <v>464</v>
      </c>
      <c r="AD25">
        <v>18</v>
      </c>
      <c r="AE25" s="55">
        <f t="shared" si="0"/>
        <v>0</v>
      </c>
      <c r="AF25" s="57">
        <v>0</v>
      </c>
      <c r="AG25" s="55">
        <v>789.87506903020289</v>
      </c>
      <c r="AH25" s="55">
        <v>0</v>
      </c>
      <c r="AI25" s="52"/>
      <c r="AJ25" s="51"/>
      <c r="AK25" s="52">
        <v>9.1153655588092616E-2</v>
      </c>
      <c r="AL25" s="52"/>
      <c r="AM25" s="28">
        <v>1.871428571428571</v>
      </c>
      <c r="AN25" s="28">
        <v>3.1428571428571428</v>
      </c>
      <c r="AO25" s="28">
        <v>2.714285714285714</v>
      </c>
      <c r="AP25" s="28">
        <v>3.2</v>
      </c>
      <c r="AQ25" s="28">
        <v>0.17124183006535951</v>
      </c>
      <c r="AR25" s="28">
        <v>0.28758169934640521</v>
      </c>
      <c r="AS25" s="28">
        <v>0.2483660130718954</v>
      </c>
      <c r="AT25" s="28">
        <v>0.29281045751633977</v>
      </c>
      <c r="AU25" s="25">
        <v>1.6</v>
      </c>
      <c r="AV25" s="25">
        <v>3.44</v>
      </c>
      <c r="AW25" s="25">
        <v>1.84</v>
      </c>
      <c r="AX25" s="25">
        <v>2.9058571428571431</v>
      </c>
      <c r="AY25">
        <v>2.9058571428571431</v>
      </c>
      <c r="AZ25">
        <v>6.2676757950000006</v>
      </c>
      <c r="BA25" s="75">
        <v>0.51995616258071919</v>
      </c>
      <c r="BB25" s="75">
        <v>0.51988140722208986</v>
      </c>
      <c r="BF25">
        <v>4.5576827794046308E-2</v>
      </c>
      <c r="BH25">
        <v>9.1153655588092616E-2</v>
      </c>
      <c r="BI25">
        <v>4.5576827794046308E-2</v>
      </c>
      <c r="BJ25">
        <v>0.51991878490140453</v>
      </c>
    </row>
    <row r="26" spans="1:62" x14ac:dyDescent="0.3">
      <c r="A26" s="2" t="s">
        <v>23</v>
      </c>
      <c r="B26" s="13" t="s">
        <v>877</v>
      </c>
      <c r="C26" s="13"/>
      <c r="F26" s="2">
        <v>2.74</v>
      </c>
      <c r="G26" s="2" t="s">
        <v>213</v>
      </c>
      <c r="H26" s="32" t="s">
        <v>541</v>
      </c>
      <c r="I26" t="s">
        <v>621</v>
      </c>
      <c r="J26"/>
      <c r="L26" s="25">
        <v>0</v>
      </c>
      <c r="M26">
        <v>4</v>
      </c>
      <c r="N26">
        <v>0</v>
      </c>
      <c r="T26" s="25">
        <v>0</v>
      </c>
      <c r="U26" s="25"/>
      <c r="V26" s="25"/>
      <c r="W26">
        <v>5.5453000000000001</v>
      </c>
      <c r="X26">
        <v>5.5453000000000001</v>
      </c>
      <c r="Y26">
        <v>25.686699999999998</v>
      </c>
      <c r="Z26">
        <v>0</v>
      </c>
      <c r="AA26"/>
      <c r="AB26"/>
      <c r="AC26" s="2" t="s">
        <v>464</v>
      </c>
      <c r="AD26">
        <v>18</v>
      </c>
      <c r="AE26" s="55">
        <f t="shared" si="0"/>
        <v>0</v>
      </c>
      <c r="AF26" s="57">
        <v>0</v>
      </c>
      <c r="AG26" s="55">
        <v>789.87506903020289</v>
      </c>
      <c r="AH26" s="55">
        <v>0</v>
      </c>
      <c r="AI26" s="52"/>
      <c r="AJ26" s="51"/>
      <c r="AK26" s="52">
        <v>9.1153655588092616E-2</v>
      </c>
      <c r="AL26" s="52"/>
      <c r="AM26" s="28">
        <v>1.8678571428571431</v>
      </c>
      <c r="AN26" s="28">
        <v>3.1428571428571428</v>
      </c>
      <c r="AO26" s="28">
        <v>2.714285714285714</v>
      </c>
      <c r="AP26" s="28">
        <v>3.15</v>
      </c>
      <c r="AQ26" s="28">
        <v>0.1717569786535304</v>
      </c>
      <c r="AR26" s="28">
        <v>0.28899835796387519</v>
      </c>
      <c r="AS26" s="28">
        <v>0.24958949096880129</v>
      </c>
      <c r="AT26" s="28">
        <v>0.28965517241379313</v>
      </c>
      <c r="AU26" s="25">
        <v>1.6</v>
      </c>
      <c r="AV26" s="25">
        <v>3.44</v>
      </c>
      <c r="AW26" s="25">
        <v>1.84</v>
      </c>
      <c r="AX26" s="25">
        <v>2.903142857142857</v>
      </c>
      <c r="AY26">
        <v>2.903142857142857</v>
      </c>
      <c r="AZ26">
        <v>6.2658828646428582</v>
      </c>
      <c r="BA26" s="75">
        <v>0.51995616258071919</v>
      </c>
      <c r="BB26" s="75">
        <v>0.51988140722208986</v>
      </c>
      <c r="BF26">
        <v>4.5576827794046308E-2</v>
      </c>
      <c r="BH26">
        <v>9.1153655588092616E-2</v>
      </c>
      <c r="BI26">
        <v>4.5576827794046308E-2</v>
      </c>
      <c r="BJ26">
        <v>0.51991878490140453</v>
      </c>
    </row>
    <row r="27" spans="1:62" x14ac:dyDescent="0.3">
      <c r="A27" s="2" t="s">
        <v>24</v>
      </c>
      <c r="B27" s="13" t="s">
        <v>878</v>
      </c>
      <c r="C27" s="13"/>
      <c r="F27" s="2">
        <v>2.75</v>
      </c>
      <c r="G27" s="2" t="s">
        <v>213</v>
      </c>
      <c r="H27" s="32" t="s">
        <v>541</v>
      </c>
      <c r="I27" t="s">
        <v>621</v>
      </c>
      <c r="J27"/>
      <c r="L27" s="25">
        <v>0</v>
      </c>
      <c r="M27">
        <v>4</v>
      </c>
      <c r="N27">
        <v>0</v>
      </c>
      <c r="T27" s="25">
        <v>0</v>
      </c>
      <c r="U27" s="25"/>
      <c r="V27" s="25"/>
      <c r="W27">
        <v>5.5453000000000001</v>
      </c>
      <c r="X27">
        <v>5.5453000000000001</v>
      </c>
      <c r="Y27">
        <v>25.686699999999998</v>
      </c>
      <c r="Z27">
        <v>0</v>
      </c>
      <c r="AA27"/>
      <c r="AB27"/>
      <c r="AC27" s="2" t="s">
        <v>464</v>
      </c>
      <c r="AD27">
        <v>18</v>
      </c>
      <c r="AE27" s="55">
        <f t="shared" si="0"/>
        <v>0</v>
      </c>
      <c r="AF27" s="57">
        <v>0</v>
      </c>
      <c r="AG27" s="55">
        <v>789.87506903020289</v>
      </c>
      <c r="AH27" s="55">
        <v>0</v>
      </c>
      <c r="AI27" s="52"/>
      <c r="AJ27" s="51"/>
      <c r="AK27" s="52">
        <v>9.1153655588092616E-2</v>
      </c>
      <c r="AL27" s="52"/>
      <c r="AM27" s="28">
        <v>1.8642857142857141</v>
      </c>
      <c r="AN27" s="28">
        <v>3.1428571428571428</v>
      </c>
      <c r="AO27" s="28">
        <v>2.714285714285714</v>
      </c>
      <c r="AP27" s="28">
        <v>3.1</v>
      </c>
      <c r="AQ27" s="28">
        <v>0.17227722772277229</v>
      </c>
      <c r="AR27" s="28">
        <v>0.29042904290429039</v>
      </c>
      <c r="AS27" s="28">
        <v>0.25082508250825092</v>
      </c>
      <c r="AT27" s="28">
        <v>0.28646864686468648</v>
      </c>
      <c r="AU27" s="25">
        <v>1.6</v>
      </c>
      <c r="AV27" s="25">
        <v>3.44</v>
      </c>
      <c r="AW27" s="25">
        <v>1.84</v>
      </c>
      <c r="AX27" s="25">
        <v>2.9004285714285709</v>
      </c>
      <c r="AY27">
        <v>2.9004285714285718</v>
      </c>
      <c r="AZ27">
        <v>6.2640899342857157</v>
      </c>
      <c r="BA27" s="75">
        <v>0.51995616258071919</v>
      </c>
      <c r="BB27" s="75">
        <v>0.51988140722208986</v>
      </c>
      <c r="BF27">
        <v>4.5576827794046308E-2</v>
      </c>
      <c r="BH27">
        <v>9.1153655588092616E-2</v>
      </c>
      <c r="BI27">
        <v>4.5576827794046308E-2</v>
      </c>
      <c r="BJ27">
        <v>0.51991878490140453</v>
      </c>
    </row>
    <row r="28" spans="1:62" x14ac:dyDescent="0.3">
      <c r="A28" s="2" t="s">
        <v>25</v>
      </c>
      <c r="B28" s="13" t="s">
        <v>708</v>
      </c>
      <c r="C28" s="13"/>
      <c r="F28" s="2">
        <v>2.88</v>
      </c>
      <c r="G28" s="2" t="s">
        <v>213</v>
      </c>
      <c r="H28" s="9" t="s">
        <v>541</v>
      </c>
      <c r="I28" t="s">
        <v>621</v>
      </c>
      <c r="J28"/>
      <c r="L28" s="25">
        <v>1</v>
      </c>
      <c r="M28">
        <v>4</v>
      </c>
      <c r="N28">
        <v>0</v>
      </c>
      <c r="O28" s="2">
        <v>5.4960000000000004</v>
      </c>
      <c r="P28" s="2">
        <v>5.4960000000000004</v>
      </c>
      <c r="Q28" s="2">
        <v>25.55</v>
      </c>
      <c r="R28" s="2" t="s">
        <v>450</v>
      </c>
      <c r="T28" s="25">
        <v>12.868820120000001</v>
      </c>
      <c r="U28" s="25">
        <v>12.868820120000001</v>
      </c>
      <c r="V28" s="25">
        <v>12.868820120000001</v>
      </c>
      <c r="W28">
        <v>5.5453000000000001</v>
      </c>
      <c r="X28">
        <v>5.5453000000000001</v>
      </c>
      <c r="Y28">
        <v>25.686699999999998</v>
      </c>
      <c r="Z28">
        <v>0</v>
      </c>
      <c r="AA28"/>
      <c r="AB28"/>
      <c r="AC28" s="2">
        <v>4</v>
      </c>
      <c r="AD28">
        <v>18</v>
      </c>
      <c r="AE28" s="55">
        <f t="shared" si="0"/>
        <v>771.76370880000013</v>
      </c>
      <c r="AF28" s="57">
        <v>197.4403766939285</v>
      </c>
      <c r="AG28" s="55">
        <v>789.87506903020289</v>
      </c>
      <c r="AH28" s="55">
        <v>0</v>
      </c>
      <c r="AI28" s="52"/>
      <c r="AJ28" s="51">
        <v>9.1166762854710051E-2</v>
      </c>
      <c r="AK28" s="52">
        <v>9.1153655588092616E-2</v>
      </c>
      <c r="AL28" s="52"/>
      <c r="AM28" s="28">
        <v>1.857142857142857</v>
      </c>
      <c r="AN28" s="28">
        <v>3.1428571428571428</v>
      </c>
      <c r="AO28" s="28">
        <v>2.714285714285714</v>
      </c>
      <c r="AP28" s="28">
        <v>3</v>
      </c>
      <c r="AQ28" s="28">
        <v>0.17333333333333331</v>
      </c>
      <c r="AR28" s="28">
        <v>0.29333333333333328</v>
      </c>
      <c r="AS28" s="28">
        <v>0.25333333333333341</v>
      </c>
      <c r="AT28" s="28">
        <v>0.28000000000000003</v>
      </c>
      <c r="AU28" s="25">
        <v>1.6</v>
      </c>
      <c r="AV28" s="25">
        <v>3.44</v>
      </c>
      <c r="AW28" s="25">
        <v>1.84</v>
      </c>
      <c r="AX28" s="25">
        <v>2.895</v>
      </c>
      <c r="AY28">
        <v>2.895</v>
      </c>
      <c r="AZ28">
        <v>6.260504073571429</v>
      </c>
      <c r="BA28" s="75">
        <v>0.51995616258071919</v>
      </c>
      <c r="BB28" s="75">
        <v>0.51988140722208986</v>
      </c>
      <c r="BE28">
        <v>4.5583381427355033E-2</v>
      </c>
      <c r="BF28">
        <v>4.5576827794046308E-2</v>
      </c>
      <c r="BH28">
        <v>9.1160209221401334E-2</v>
      </c>
      <c r="BI28">
        <v>4.5580104610700667E-2</v>
      </c>
      <c r="BJ28">
        <v>0.51991878490140453</v>
      </c>
    </row>
    <row r="29" spans="1:62" x14ac:dyDescent="0.3">
      <c r="A29" s="2" t="s">
        <v>26</v>
      </c>
      <c r="B29" s="13" t="s">
        <v>879</v>
      </c>
      <c r="C29" s="13"/>
      <c r="F29" s="2">
        <v>2.91</v>
      </c>
      <c r="G29" s="2" t="s">
        <v>213</v>
      </c>
      <c r="H29" s="32" t="s">
        <v>541</v>
      </c>
      <c r="I29" t="s">
        <v>621</v>
      </c>
      <c r="J29"/>
      <c r="L29" s="25">
        <v>0</v>
      </c>
      <c r="M29">
        <v>4</v>
      </c>
      <c r="N29">
        <v>0</v>
      </c>
      <c r="T29" s="25">
        <v>0</v>
      </c>
      <c r="U29" s="25"/>
      <c r="V29" s="25"/>
      <c r="W29">
        <v>5.5453000000000001</v>
      </c>
      <c r="X29">
        <v>5.5453000000000001</v>
      </c>
      <c r="Y29">
        <v>25.686699999999998</v>
      </c>
      <c r="Z29">
        <v>0</v>
      </c>
      <c r="AA29"/>
      <c r="AB29"/>
      <c r="AC29" s="2" t="s">
        <v>464</v>
      </c>
      <c r="AD29">
        <v>18</v>
      </c>
      <c r="AE29" s="55">
        <f t="shared" si="0"/>
        <v>0</v>
      </c>
      <c r="AF29" s="57">
        <v>0</v>
      </c>
      <c r="AG29" s="55">
        <v>789.87506903020289</v>
      </c>
      <c r="AH29" s="55">
        <v>0</v>
      </c>
      <c r="AI29" s="52"/>
      <c r="AJ29" s="51"/>
      <c r="AK29" s="52">
        <v>9.1153655588092616E-2</v>
      </c>
      <c r="AL29" s="52"/>
      <c r="AM29" s="28">
        <v>1.8642857142857141</v>
      </c>
      <c r="AN29" s="28">
        <v>3.1428571428571428</v>
      </c>
      <c r="AO29" s="28">
        <v>2.7</v>
      </c>
      <c r="AP29" s="28">
        <v>3</v>
      </c>
      <c r="AQ29" s="28">
        <v>0.1741160773849233</v>
      </c>
      <c r="AR29" s="28">
        <v>0.29352901934623082</v>
      </c>
      <c r="AS29" s="28">
        <v>0.25216811207471651</v>
      </c>
      <c r="AT29" s="28">
        <v>0.28018679119412943</v>
      </c>
      <c r="AU29" s="25">
        <v>1.54</v>
      </c>
      <c r="AV29" s="25">
        <v>3.44</v>
      </c>
      <c r="AW29" s="25">
        <v>1.9</v>
      </c>
      <c r="AX29" s="25">
        <v>2.894571428571429</v>
      </c>
      <c r="AY29">
        <v>2.894571428571429</v>
      </c>
      <c r="AZ29">
        <v>6.2577448164285716</v>
      </c>
      <c r="BA29" s="75">
        <v>0.51995616258071919</v>
      </c>
      <c r="BB29" s="75">
        <v>0.51988140722208986</v>
      </c>
      <c r="BF29">
        <v>4.5576827794046308E-2</v>
      </c>
      <c r="BH29">
        <v>9.1153655588092616E-2</v>
      </c>
      <c r="BI29">
        <v>4.5576827794046308E-2</v>
      </c>
      <c r="BJ29">
        <v>0.51991878490140453</v>
      </c>
    </row>
    <row r="30" spans="1:62" x14ac:dyDescent="0.3">
      <c r="A30" s="2" t="s">
        <v>8</v>
      </c>
      <c r="B30" s="13" t="s">
        <v>694</v>
      </c>
      <c r="C30" s="13"/>
      <c r="D30" s="2" t="s">
        <v>676</v>
      </c>
      <c r="E30" s="2" t="s">
        <v>1067</v>
      </c>
      <c r="F30" s="2">
        <v>2.73</v>
      </c>
      <c r="G30" s="2" t="s">
        <v>213</v>
      </c>
      <c r="H30" s="9" t="s">
        <v>530</v>
      </c>
      <c r="I30" t="s">
        <v>612</v>
      </c>
      <c r="J30"/>
      <c r="L30" s="25">
        <v>30</v>
      </c>
      <c r="M30">
        <v>4</v>
      </c>
      <c r="N30">
        <v>0</v>
      </c>
      <c r="T30" s="25">
        <v>10.59112378</v>
      </c>
      <c r="U30" s="25">
        <v>10.784736629999999</v>
      </c>
      <c r="V30" s="25">
        <v>10.486176179999999</v>
      </c>
      <c r="W30">
        <v>3.73</v>
      </c>
      <c r="X30">
        <v>3.73</v>
      </c>
      <c r="Y30">
        <v>9.3699999999999992</v>
      </c>
      <c r="Z30">
        <v>0</v>
      </c>
      <c r="AA30"/>
      <c r="AB30"/>
      <c r="AC30" s="2" t="s">
        <v>464</v>
      </c>
      <c r="AD30">
        <v>4</v>
      </c>
      <c r="AE30" s="55">
        <f t="shared" si="0"/>
        <v>0</v>
      </c>
      <c r="AF30" s="57">
        <v>1182.741260108548</v>
      </c>
      <c r="AG30" s="55">
        <v>130.36387300000001</v>
      </c>
      <c r="AH30" s="55">
        <v>0</v>
      </c>
      <c r="AI30" s="52"/>
      <c r="AJ30" s="51">
        <v>0.1014592151701775</v>
      </c>
      <c r="AK30" s="52">
        <v>0.1227333894874388</v>
      </c>
      <c r="AL30" s="52"/>
      <c r="AM30" s="28">
        <v>2</v>
      </c>
      <c r="AN30" s="28">
        <v>2.666666666666667</v>
      </c>
      <c r="AO30" s="28">
        <v>0.66666666666666663</v>
      </c>
      <c r="AP30" s="28">
        <v>0</v>
      </c>
      <c r="AQ30" s="28">
        <v>0.375</v>
      </c>
      <c r="AR30" s="28">
        <v>0.5</v>
      </c>
      <c r="AS30" s="28">
        <v>0.125</v>
      </c>
      <c r="AT30" s="28">
        <v>0</v>
      </c>
      <c r="AU30" s="25">
        <v>1.54</v>
      </c>
      <c r="AV30" s="25">
        <v>3.44</v>
      </c>
      <c r="AW30" s="25">
        <v>1.9</v>
      </c>
      <c r="AX30" s="25">
        <v>2.8066666666666671</v>
      </c>
      <c r="AY30">
        <v>2.8066666666666662</v>
      </c>
      <c r="AZ30">
        <v>6.1769976</v>
      </c>
      <c r="BA30" s="75">
        <v>0.46900407026869628</v>
      </c>
      <c r="BB30" s="75">
        <v>0.56734579634715776</v>
      </c>
      <c r="BE30">
        <v>5.072960758508873E-2</v>
      </c>
      <c r="BF30">
        <v>6.136669474371937E-2</v>
      </c>
      <c r="BH30">
        <v>0.1120963023288082</v>
      </c>
      <c r="BI30">
        <v>5.604815116440405E-2</v>
      </c>
      <c r="BJ30">
        <v>0.51817493330792708</v>
      </c>
    </row>
    <row r="31" spans="1:62" x14ac:dyDescent="0.3">
      <c r="A31" s="2" t="s">
        <v>10</v>
      </c>
      <c r="B31" s="13" t="s">
        <v>695</v>
      </c>
      <c r="C31" s="13"/>
      <c r="F31" s="2">
        <v>3.9</v>
      </c>
      <c r="G31" s="2" t="s">
        <v>134</v>
      </c>
      <c r="H31" s="9" t="s">
        <v>531</v>
      </c>
      <c r="I31">
        <v>-1</v>
      </c>
      <c r="J31"/>
      <c r="L31" s="25">
        <v>1</v>
      </c>
      <c r="M31">
        <v>0</v>
      </c>
      <c r="N31">
        <v>0</v>
      </c>
      <c r="O31" s="2">
        <v>3.8849999999999998</v>
      </c>
      <c r="P31" s="2">
        <v>3.8849999999999998</v>
      </c>
      <c r="Q31" s="2">
        <v>11.12</v>
      </c>
      <c r="R31" s="2" t="s">
        <v>439</v>
      </c>
      <c r="T31" s="25">
        <v>3.9103940000000001</v>
      </c>
      <c r="U31" s="25">
        <v>3.9103940000000001</v>
      </c>
      <c r="V31" s="25">
        <v>11.314458</v>
      </c>
      <c r="W31">
        <v>0</v>
      </c>
      <c r="X31"/>
      <c r="Y31"/>
      <c r="Z31">
        <v>0</v>
      </c>
      <c r="AA31"/>
      <c r="AB31"/>
      <c r="AC31" s="2">
        <v>2</v>
      </c>
      <c r="AD31">
        <v>14</v>
      </c>
      <c r="AE31" s="55">
        <f t="shared" si="0"/>
        <v>167.83666199999996</v>
      </c>
      <c r="AF31" s="57">
        <v>173.0114278564659</v>
      </c>
      <c r="AG31" s="55">
        <v>0</v>
      </c>
      <c r="AH31" s="55">
        <v>0</v>
      </c>
      <c r="AI31" s="52"/>
      <c r="AJ31" s="51">
        <v>8.0919510193365449E-2</v>
      </c>
      <c r="AK31" s="52"/>
      <c r="AL31" s="52"/>
      <c r="AM31" s="28">
        <v>1.9090909090909089</v>
      </c>
      <c r="AN31" s="28">
        <v>2.545454545454545</v>
      </c>
      <c r="AO31" s="28">
        <v>0.63636363636363635</v>
      </c>
      <c r="AP31" s="28">
        <v>2.545454545454545</v>
      </c>
      <c r="AQ31" s="28">
        <v>0.25</v>
      </c>
      <c r="AR31" s="28">
        <v>0.33333333333333331</v>
      </c>
      <c r="AS31" s="28">
        <v>8.3333333333333329E-2</v>
      </c>
      <c r="AT31" s="28">
        <v>0.33333333333333331</v>
      </c>
      <c r="AU31" s="25">
        <v>0.82</v>
      </c>
      <c r="AV31" s="25">
        <v>3.44</v>
      </c>
      <c r="AW31" s="25">
        <v>2.62</v>
      </c>
      <c r="AX31" s="25">
        <v>2.6363636363636358</v>
      </c>
      <c r="AY31">
        <v>2.6363636363636371</v>
      </c>
      <c r="AZ31">
        <v>6.0044088459090901</v>
      </c>
      <c r="BA31" s="75">
        <v>0.5117218936152963</v>
      </c>
      <c r="BE31">
        <v>4.0459755096682717E-2</v>
      </c>
      <c r="BH31">
        <v>8.0919510193365449E-2</v>
      </c>
      <c r="BI31">
        <v>4.0459755096682717E-2</v>
      </c>
      <c r="BJ31">
        <v>0.5117218936152963</v>
      </c>
    </row>
    <row r="32" spans="1:62" x14ac:dyDescent="0.3">
      <c r="A32" s="2" t="s">
        <v>11</v>
      </c>
      <c r="B32" s="13" t="s">
        <v>696</v>
      </c>
      <c r="C32" s="13"/>
      <c r="F32" s="2">
        <v>3.5</v>
      </c>
      <c r="G32" s="2" t="s">
        <v>134</v>
      </c>
      <c r="H32" s="9">
        <v>-1</v>
      </c>
      <c r="I32">
        <v>-1</v>
      </c>
      <c r="J32" s="9" t="s">
        <v>1144</v>
      </c>
      <c r="L32" s="25">
        <v>0</v>
      </c>
      <c r="M32">
        <v>0</v>
      </c>
      <c r="N32">
        <v>1</v>
      </c>
      <c r="O32" s="2">
        <v>3.8839999999999999</v>
      </c>
      <c r="P32" s="2">
        <v>3.8839999999999999</v>
      </c>
      <c r="Q32" s="2">
        <v>11.12</v>
      </c>
      <c r="R32" s="2" t="s">
        <v>439</v>
      </c>
      <c r="T32" s="25">
        <v>0</v>
      </c>
      <c r="U32" s="25"/>
      <c r="V32" s="25"/>
      <c r="W32">
        <v>0</v>
      </c>
      <c r="X32"/>
      <c r="Y32"/>
      <c r="Z32">
        <v>3.8653</v>
      </c>
      <c r="AA32">
        <v>3.8653</v>
      </c>
      <c r="AB32">
        <v>11.0131</v>
      </c>
      <c r="AC32" s="2">
        <v>2</v>
      </c>
      <c r="AD32">
        <v>14</v>
      </c>
      <c r="AE32" s="55">
        <f t="shared" si="0"/>
        <v>167.75027071999997</v>
      </c>
      <c r="AF32" s="57">
        <v>0</v>
      </c>
      <c r="AG32" s="55">
        <v>0</v>
      </c>
      <c r="AH32" s="55">
        <v>164.541706117579</v>
      </c>
      <c r="AI32" s="52"/>
      <c r="AJ32" s="51"/>
      <c r="AK32" s="52"/>
      <c r="AL32" s="52">
        <v>8.5084811202795069E-2</v>
      </c>
      <c r="AM32" s="28">
        <v>1.9090909090909089</v>
      </c>
      <c r="AN32" s="28">
        <v>2.545454545454545</v>
      </c>
      <c r="AO32" s="28">
        <v>0.54545454545454541</v>
      </c>
      <c r="AP32" s="28">
        <v>2.8181818181818179</v>
      </c>
      <c r="AQ32" s="28">
        <v>0.2441860465116279</v>
      </c>
      <c r="AR32" s="28">
        <v>0.32558139534883718</v>
      </c>
      <c r="AS32" s="28">
        <v>6.9767441860465115E-2</v>
      </c>
      <c r="AT32" s="28">
        <v>0.3604651162790698</v>
      </c>
      <c r="AU32" s="25">
        <v>0.82</v>
      </c>
      <c r="AV32" s="25">
        <v>3.44</v>
      </c>
      <c r="AW32" s="25">
        <v>2.62</v>
      </c>
      <c r="AX32" s="25">
        <v>2.6390909090909092</v>
      </c>
      <c r="AY32">
        <v>2.6390909090909092</v>
      </c>
      <c r="AZ32">
        <v>5.9791810459090904</v>
      </c>
      <c r="BC32" s="75">
        <v>0.53381265134868672</v>
      </c>
      <c r="BG32">
        <v>4.2542405601397527E-2</v>
      </c>
      <c r="BH32">
        <v>8.5084811202795069E-2</v>
      </c>
      <c r="BI32">
        <v>4.2542405601397527E-2</v>
      </c>
      <c r="BJ32">
        <v>0.53381265134868672</v>
      </c>
    </row>
    <row r="33" spans="1:62" x14ac:dyDescent="0.3">
      <c r="A33" s="2" t="s">
        <v>12</v>
      </c>
      <c r="B33" s="13" t="s">
        <v>697</v>
      </c>
      <c r="C33" s="13"/>
      <c r="F33" s="2">
        <v>3.8</v>
      </c>
      <c r="G33" s="2" t="s">
        <v>134</v>
      </c>
      <c r="H33" s="9">
        <v>-1</v>
      </c>
      <c r="I33">
        <v>-1</v>
      </c>
      <c r="J33" s="9" t="s">
        <v>1145</v>
      </c>
      <c r="L33" s="25">
        <v>0</v>
      </c>
      <c r="M33">
        <v>0</v>
      </c>
      <c r="N33">
        <v>1</v>
      </c>
      <c r="O33" s="2">
        <v>3.8460000000000001</v>
      </c>
      <c r="P33" s="2">
        <v>3.8460000000000001</v>
      </c>
      <c r="Q33" s="2">
        <v>11.1</v>
      </c>
      <c r="R33" s="2" t="s">
        <v>439</v>
      </c>
      <c r="T33" s="25">
        <v>0</v>
      </c>
      <c r="U33" s="25"/>
      <c r="V33" s="25"/>
      <c r="W33">
        <v>0</v>
      </c>
      <c r="X33"/>
      <c r="Y33"/>
      <c r="Z33">
        <v>3.8445</v>
      </c>
      <c r="AA33">
        <v>3.8445</v>
      </c>
      <c r="AB33">
        <v>11.03</v>
      </c>
      <c r="AC33" s="2">
        <v>2</v>
      </c>
      <c r="AD33">
        <v>14</v>
      </c>
      <c r="AE33" s="55">
        <f t="shared" si="0"/>
        <v>164.1880476</v>
      </c>
      <c r="AF33" s="57">
        <v>0</v>
      </c>
      <c r="AG33" s="55">
        <v>0</v>
      </c>
      <c r="AH33" s="55">
        <v>163.0253881575</v>
      </c>
      <c r="AI33" s="52"/>
      <c r="AJ33" s="51"/>
      <c r="AK33" s="52"/>
      <c r="AL33" s="52">
        <v>8.5876194856683907E-2</v>
      </c>
      <c r="AM33" s="28">
        <v>1.9090909090909089</v>
      </c>
      <c r="AN33" s="28">
        <v>2.545454545454545</v>
      </c>
      <c r="AO33" s="28">
        <v>0.54545454545454541</v>
      </c>
      <c r="AP33" s="28">
        <v>2.9090909090909092</v>
      </c>
      <c r="AQ33" s="28">
        <v>0.2413793103448276</v>
      </c>
      <c r="AR33" s="28">
        <v>0.32183908045977011</v>
      </c>
      <c r="AS33" s="28">
        <v>6.8965517241379309E-2</v>
      </c>
      <c r="AT33" s="28">
        <v>0.36781609195402298</v>
      </c>
      <c r="AU33" s="25">
        <v>0.82</v>
      </c>
      <c r="AV33" s="25">
        <v>3.44</v>
      </c>
      <c r="AW33" s="25">
        <v>2.62</v>
      </c>
      <c r="AX33" s="25">
        <v>2.64</v>
      </c>
      <c r="AY33">
        <v>2.64</v>
      </c>
      <c r="AZ33">
        <v>5.9811382595454541</v>
      </c>
      <c r="BC33" s="75">
        <v>0.53809297903977493</v>
      </c>
      <c r="BG33">
        <v>4.2938097428341947E-2</v>
      </c>
      <c r="BH33">
        <v>8.5876194856683907E-2</v>
      </c>
      <c r="BI33">
        <v>4.2938097428341947E-2</v>
      </c>
      <c r="BJ33">
        <v>0.53809297903977493</v>
      </c>
    </row>
    <row r="34" spans="1:62" x14ac:dyDescent="0.3">
      <c r="A34" s="2" t="s">
        <v>13</v>
      </c>
      <c r="B34" s="13" t="s">
        <v>698</v>
      </c>
      <c r="C34" s="13"/>
      <c r="F34" s="2">
        <v>3.8</v>
      </c>
      <c r="G34" s="2" t="s">
        <v>134</v>
      </c>
      <c r="H34" s="9">
        <v>-1</v>
      </c>
      <c r="I34">
        <v>-1</v>
      </c>
      <c r="J34" t="s">
        <v>1147</v>
      </c>
      <c r="L34" s="25">
        <v>0</v>
      </c>
      <c r="M34">
        <v>0</v>
      </c>
      <c r="N34">
        <v>1</v>
      </c>
      <c r="O34" s="2">
        <v>3.8420000000000001</v>
      </c>
      <c r="P34" s="2">
        <v>3.8420000000000001</v>
      </c>
      <c r="Q34" s="2">
        <v>11.11</v>
      </c>
      <c r="R34" s="2" t="s">
        <v>439</v>
      </c>
      <c r="T34" s="25">
        <v>0</v>
      </c>
      <c r="U34" s="25"/>
      <c r="V34" s="25"/>
      <c r="W34">
        <v>0</v>
      </c>
      <c r="X34"/>
      <c r="Y34"/>
      <c r="Z34">
        <v>3.8252000000000002</v>
      </c>
      <c r="AA34">
        <v>3.8252000000000002</v>
      </c>
      <c r="AB34">
        <v>11.013500000000001</v>
      </c>
      <c r="AC34" s="2">
        <v>2</v>
      </c>
      <c r="AD34">
        <v>14</v>
      </c>
      <c r="AE34" s="55">
        <f t="shared" si="0"/>
        <v>163.99431004000002</v>
      </c>
      <c r="AF34" s="57">
        <v>0</v>
      </c>
      <c r="AG34" s="55">
        <v>0</v>
      </c>
      <c r="AH34" s="55">
        <v>161.15123953304001</v>
      </c>
      <c r="AI34" s="52"/>
      <c r="AJ34" s="51"/>
      <c r="AK34" s="52"/>
      <c r="AL34" s="52">
        <v>8.6874913531953646E-2</v>
      </c>
      <c r="AM34" s="28">
        <v>1.9090909090909089</v>
      </c>
      <c r="AN34" s="28">
        <v>2.545454545454545</v>
      </c>
      <c r="AO34" s="28">
        <v>0.54545454545454541</v>
      </c>
      <c r="AP34" s="28">
        <v>3.0909090909090908</v>
      </c>
      <c r="AQ34" s="28">
        <v>0.2359550561797753</v>
      </c>
      <c r="AR34" s="28">
        <v>0.3146067415730337</v>
      </c>
      <c r="AS34" s="28">
        <v>6.7415730337078636E-2</v>
      </c>
      <c r="AT34" s="28">
        <v>0.38202247191011229</v>
      </c>
      <c r="AU34" s="25">
        <v>0.82</v>
      </c>
      <c r="AV34" s="25">
        <v>3.44</v>
      </c>
      <c r="AW34" s="25">
        <v>2.62</v>
      </c>
      <c r="AX34" s="25">
        <v>2.642727272727273</v>
      </c>
      <c r="AY34">
        <v>2.642727272727273</v>
      </c>
      <c r="AZ34">
        <v>5.9894662913636356</v>
      </c>
      <c r="BC34" s="75">
        <v>0.54194665977883461</v>
      </c>
      <c r="BG34">
        <v>4.3437456765976823E-2</v>
      </c>
      <c r="BH34">
        <v>8.6874913531953646E-2</v>
      </c>
      <c r="BI34">
        <v>4.3437456765976823E-2</v>
      </c>
      <c r="BJ34">
        <v>0.54194665977883461</v>
      </c>
    </row>
    <row r="35" spans="1:62" x14ac:dyDescent="0.3">
      <c r="A35" s="2" t="s">
        <v>30</v>
      </c>
      <c r="B35" s="13" t="s">
        <v>709</v>
      </c>
      <c r="C35" s="13"/>
      <c r="F35" s="2">
        <v>3.36</v>
      </c>
      <c r="G35" s="2" t="s">
        <v>29</v>
      </c>
      <c r="H35" s="9">
        <v>-1</v>
      </c>
      <c r="I35" t="s">
        <v>622</v>
      </c>
      <c r="J35"/>
      <c r="L35" s="25">
        <v>0</v>
      </c>
      <c r="M35">
        <v>4</v>
      </c>
      <c r="N35">
        <v>0</v>
      </c>
      <c r="O35" s="2">
        <v>5.4324000000000003</v>
      </c>
      <c r="P35" s="2">
        <v>5.4151999999999996</v>
      </c>
      <c r="Q35" s="2">
        <v>40.78</v>
      </c>
      <c r="T35" s="25">
        <v>0</v>
      </c>
      <c r="U35" s="25"/>
      <c r="V35" s="25"/>
      <c r="W35">
        <v>5.4234</v>
      </c>
      <c r="X35">
        <v>5.4020999999999999</v>
      </c>
      <c r="Y35">
        <v>40.593499999999999</v>
      </c>
      <c r="Z35">
        <v>0</v>
      </c>
      <c r="AA35"/>
      <c r="AB35"/>
      <c r="AC35" s="2" t="s">
        <v>464</v>
      </c>
      <c r="AD35">
        <v>30</v>
      </c>
      <c r="AE35" s="55">
        <f t="shared" si="0"/>
        <v>1199.6469745344</v>
      </c>
      <c r="AF35" s="57">
        <v>0</v>
      </c>
      <c r="AG35" s="55">
        <v>1189.2981797145901</v>
      </c>
      <c r="AH35" s="55">
        <v>0</v>
      </c>
      <c r="AI35" s="52"/>
      <c r="AJ35" s="51"/>
      <c r="AK35" s="52">
        <v>0.1008998433250758</v>
      </c>
      <c r="AL35" s="52"/>
      <c r="AM35" s="28">
        <v>2</v>
      </c>
      <c r="AN35" s="28">
        <v>3</v>
      </c>
      <c r="AO35" s="28">
        <v>2</v>
      </c>
      <c r="AP35" s="28">
        <v>2.333333333333333</v>
      </c>
      <c r="AQ35" s="28">
        <v>0.2142857142857143</v>
      </c>
      <c r="AR35" s="28">
        <v>0.3214285714285714</v>
      </c>
      <c r="AS35" s="28">
        <v>0.2142857142857143</v>
      </c>
      <c r="AT35" s="28">
        <v>0.25</v>
      </c>
      <c r="AU35" s="25">
        <v>1</v>
      </c>
      <c r="AV35" s="25">
        <v>3.44</v>
      </c>
      <c r="AW35" s="25">
        <v>2.44</v>
      </c>
      <c r="AX35" s="25">
        <v>2.7850000000000001</v>
      </c>
      <c r="AY35">
        <v>2.7850000000000001</v>
      </c>
      <c r="AZ35">
        <v>6.1010684060416667</v>
      </c>
      <c r="BF35">
        <v>5.0449921662537908E-2</v>
      </c>
      <c r="BH35">
        <v>0.1008998433250758</v>
      </c>
      <c r="BI35">
        <v>5.0449921662537908E-2</v>
      </c>
      <c r="BJ35">
        <v>0</v>
      </c>
    </row>
    <row r="36" spans="1:62" x14ac:dyDescent="0.3">
      <c r="A36" s="2" t="s">
        <v>31</v>
      </c>
      <c r="B36" s="13" t="s">
        <v>710</v>
      </c>
      <c r="C36" s="13"/>
      <c r="F36" s="2">
        <v>3.02</v>
      </c>
      <c r="G36" s="2" t="s">
        <v>29</v>
      </c>
      <c r="H36" s="9">
        <v>-1</v>
      </c>
      <c r="I36">
        <v>-1</v>
      </c>
      <c r="J36" t="s">
        <v>1148</v>
      </c>
      <c r="L36" s="25">
        <v>0</v>
      </c>
      <c r="M36">
        <v>0</v>
      </c>
      <c r="N36">
        <v>4</v>
      </c>
      <c r="O36" s="2" t="s">
        <v>464</v>
      </c>
      <c r="P36" s="2" t="s">
        <v>464</v>
      </c>
      <c r="Q36" s="2" t="s">
        <v>464</v>
      </c>
      <c r="T36" s="25">
        <v>0</v>
      </c>
      <c r="U36" s="25"/>
      <c r="V36" s="25"/>
      <c r="W36">
        <v>0</v>
      </c>
      <c r="X36"/>
      <c r="Y36"/>
      <c r="Z36">
        <v>41.36</v>
      </c>
      <c r="AA36">
        <v>5.4370000000000003</v>
      </c>
      <c r="AB36">
        <v>5.55</v>
      </c>
      <c r="AC36" s="2" t="s">
        <v>464</v>
      </c>
      <c r="AD36">
        <v>30</v>
      </c>
      <c r="AE36" s="55" t="e">
        <f t="shared" si="0"/>
        <v>#VALUE!</v>
      </c>
      <c r="AF36" s="57">
        <v>0</v>
      </c>
      <c r="AG36" s="55">
        <v>0</v>
      </c>
      <c r="AH36" s="55">
        <v>1248.0524760000001</v>
      </c>
      <c r="AI36" s="52"/>
      <c r="AJ36" s="51"/>
      <c r="AK36" s="52"/>
      <c r="AL36" s="52">
        <v>9.6149803239523393E-2</v>
      </c>
      <c r="AM36" s="28">
        <v>2</v>
      </c>
      <c r="AN36" s="28">
        <v>3.083333333333333</v>
      </c>
      <c r="AO36" s="28">
        <v>2.416666666666667</v>
      </c>
      <c r="AP36" s="28">
        <v>2.916666666666667</v>
      </c>
      <c r="AQ36" s="28">
        <v>0.192</v>
      </c>
      <c r="AR36" s="28">
        <v>0.29599999999999999</v>
      </c>
      <c r="AS36" s="28">
        <v>0.23200000000000001</v>
      </c>
      <c r="AT36" s="28">
        <v>0.28000000000000003</v>
      </c>
      <c r="AU36" s="25">
        <v>1.54</v>
      </c>
      <c r="AV36" s="25">
        <v>3.44</v>
      </c>
      <c r="AW36" s="25">
        <v>1.9</v>
      </c>
      <c r="AX36" s="25">
        <v>2.840416666666667</v>
      </c>
      <c r="AY36">
        <v>2.840416666666667</v>
      </c>
      <c r="AZ36">
        <v>6.1351453775000007</v>
      </c>
      <c r="BG36">
        <v>4.8074901619761697E-2</v>
      </c>
      <c r="BH36">
        <v>9.6149803239523393E-2</v>
      </c>
      <c r="BI36">
        <v>4.8074901619761697E-2</v>
      </c>
      <c r="BJ36">
        <v>0</v>
      </c>
    </row>
    <row r="37" spans="1:62" x14ac:dyDescent="0.3">
      <c r="A37" s="2" t="s">
        <v>19</v>
      </c>
      <c r="B37" s="13" t="s">
        <v>705</v>
      </c>
      <c r="C37" s="13"/>
      <c r="F37" s="2">
        <v>3.18</v>
      </c>
      <c r="G37" s="2" t="s">
        <v>29</v>
      </c>
      <c r="H37" s="9" t="s">
        <v>538</v>
      </c>
      <c r="I37">
        <v>-1</v>
      </c>
      <c r="J37"/>
      <c r="L37" s="25">
        <v>1</v>
      </c>
      <c r="M37">
        <v>0</v>
      </c>
      <c r="N37">
        <v>0</v>
      </c>
      <c r="O37" s="2" t="s">
        <v>464</v>
      </c>
      <c r="P37" s="2" t="s">
        <v>464</v>
      </c>
      <c r="Q37" s="2" t="s">
        <v>464</v>
      </c>
      <c r="T37" s="25">
        <v>13.83861243</v>
      </c>
      <c r="U37" s="25">
        <v>13.83861243</v>
      </c>
      <c r="V37" s="25">
        <v>13.83861243</v>
      </c>
      <c r="W37">
        <v>0</v>
      </c>
      <c r="X37"/>
      <c r="Y37"/>
      <c r="Z37">
        <v>0</v>
      </c>
      <c r="AA37"/>
      <c r="AB37"/>
      <c r="AC37" s="2">
        <v>2</v>
      </c>
      <c r="AD37">
        <v>18</v>
      </c>
      <c r="AE37" s="55" t="e">
        <f t="shared" si="0"/>
        <v>#VALUE!</v>
      </c>
      <c r="AF37" s="57">
        <v>208.2630581553295</v>
      </c>
      <c r="AG37" s="55">
        <v>0</v>
      </c>
      <c r="AH37" s="55">
        <v>0</v>
      </c>
      <c r="AI37" s="52"/>
      <c r="AJ37" s="51">
        <v>8.6429154356194082E-2</v>
      </c>
      <c r="AK37" s="52"/>
      <c r="AL37" s="52"/>
      <c r="AM37" s="28">
        <v>1.857142857142857</v>
      </c>
      <c r="AN37" s="28">
        <v>3</v>
      </c>
      <c r="AO37" s="28">
        <v>2</v>
      </c>
      <c r="AP37" s="28">
        <v>2</v>
      </c>
      <c r="AQ37" s="28">
        <v>0.20967741935483869</v>
      </c>
      <c r="AR37" s="28">
        <v>0.33870967741935482</v>
      </c>
      <c r="AS37" s="28">
        <v>0.22580645161290319</v>
      </c>
      <c r="AT37" s="28">
        <v>0.22580645161290319</v>
      </c>
      <c r="AU37" s="25">
        <v>1</v>
      </c>
      <c r="AV37" s="25">
        <v>3.44</v>
      </c>
      <c r="AW37" s="25">
        <v>2.44</v>
      </c>
      <c r="AX37" s="25">
        <v>2.8</v>
      </c>
      <c r="AY37">
        <v>2.8</v>
      </c>
      <c r="AZ37">
        <v>6.2020864082142868</v>
      </c>
      <c r="BA37" s="75">
        <v>0.47541563854575991</v>
      </c>
      <c r="BE37">
        <v>4.3214577178097048E-2</v>
      </c>
      <c r="BH37">
        <v>8.6429154356194082E-2</v>
      </c>
      <c r="BI37">
        <v>4.3214577178097048E-2</v>
      </c>
      <c r="BJ37">
        <v>0.47541563854575991</v>
      </c>
    </row>
    <row r="38" spans="1:62" x14ac:dyDescent="0.3">
      <c r="A38" s="2" t="s">
        <v>25</v>
      </c>
      <c r="B38" s="13" t="s">
        <v>708</v>
      </c>
      <c r="C38" s="13"/>
      <c r="F38" s="2">
        <v>2.88</v>
      </c>
      <c r="G38" s="2" t="s">
        <v>29</v>
      </c>
      <c r="H38" s="9" t="s">
        <v>541</v>
      </c>
      <c r="I38" t="s">
        <v>621</v>
      </c>
      <c r="J38"/>
      <c r="L38" s="25">
        <v>1</v>
      </c>
      <c r="M38">
        <v>4</v>
      </c>
      <c r="N38">
        <v>0</v>
      </c>
      <c r="O38" s="2" t="s">
        <v>464</v>
      </c>
      <c r="P38" s="2" t="s">
        <v>464</v>
      </c>
      <c r="Q38" s="2" t="s">
        <v>464</v>
      </c>
      <c r="T38" s="25">
        <v>12.868820120000001</v>
      </c>
      <c r="U38" s="25">
        <v>12.868820120000001</v>
      </c>
      <c r="V38" s="25">
        <v>12.868820120000001</v>
      </c>
      <c r="W38">
        <v>5.5453000000000001</v>
      </c>
      <c r="X38">
        <v>5.5453000000000001</v>
      </c>
      <c r="Y38">
        <v>25.686699999999998</v>
      </c>
      <c r="Z38">
        <v>0</v>
      </c>
      <c r="AA38"/>
      <c r="AB38"/>
      <c r="AC38" s="2">
        <v>2</v>
      </c>
      <c r="AD38">
        <v>18</v>
      </c>
      <c r="AE38" s="55" t="e">
        <f t="shared" si="0"/>
        <v>#VALUE!</v>
      </c>
      <c r="AF38" s="57">
        <v>197.4403766939285</v>
      </c>
      <c r="AG38" s="55">
        <v>789.87506903020289</v>
      </c>
      <c r="AH38" s="55">
        <v>0</v>
      </c>
      <c r="AI38" s="52"/>
      <c r="AJ38" s="51">
        <v>9.1166762854710051E-2</v>
      </c>
      <c r="AK38" s="52">
        <v>9.1153655588092616E-2</v>
      </c>
      <c r="AL38" s="52"/>
      <c r="AM38" s="28">
        <v>1.857142857142857</v>
      </c>
      <c r="AN38" s="28">
        <v>3.1428571428571428</v>
      </c>
      <c r="AO38" s="28">
        <v>2.714285714285714</v>
      </c>
      <c r="AP38" s="28">
        <v>3</v>
      </c>
      <c r="AQ38" s="28">
        <v>0.17333333333333331</v>
      </c>
      <c r="AR38" s="28">
        <v>0.29333333333333328</v>
      </c>
      <c r="AS38" s="28">
        <v>0.25333333333333341</v>
      </c>
      <c r="AT38" s="28">
        <v>0.28000000000000003</v>
      </c>
      <c r="AU38" s="25">
        <v>1.6</v>
      </c>
      <c r="AV38" s="25">
        <v>3.44</v>
      </c>
      <c r="AW38" s="25">
        <v>1.84</v>
      </c>
      <c r="AX38" s="25">
        <v>2.895</v>
      </c>
      <c r="AY38">
        <v>2.895</v>
      </c>
      <c r="AZ38">
        <v>6.260504073571429</v>
      </c>
      <c r="BA38" s="75">
        <v>0.51995616258071919</v>
      </c>
      <c r="BB38" s="75">
        <v>0.51988140722208986</v>
      </c>
      <c r="BE38">
        <v>4.5583381427355033E-2</v>
      </c>
      <c r="BF38">
        <v>4.5576827794046308E-2</v>
      </c>
      <c r="BH38">
        <v>9.1160209221401334E-2</v>
      </c>
      <c r="BI38">
        <v>4.5580104610700667E-2</v>
      </c>
      <c r="BJ38">
        <v>0.51991878490140453</v>
      </c>
    </row>
    <row r="39" spans="1:62" x14ac:dyDescent="0.3">
      <c r="A39" s="2" t="s">
        <v>32</v>
      </c>
      <c r="B39" s="13" t="s">
        <v>881</v>
      </c>
      <c r="C39" s="13"/>
      <c r="F39" s="2">
        <v>3.44</v>
      </c>
      <c r="G39" s="2" t="s">
        <v>29</v>
      </c>
      <c r="H39" s="9">
        <v>-1</v>
      </c>
      <c r="I39">
        <v>-1</v>
      </c>
      <c r="J39" t="s">
        <v>1149</v>
      </c>
      <c r="L39" s="25">
        <v>0</v>
      </c>
      <c r="M39">
        <v>0</v>
      </c>
      <c r="N39">
        <v>2</v>
      </c>
      <c r="O39" s="2">
        <v>3.9</v>
      </c>
      <c r="P39" s="2">
        <v>3.9</v>
      </c>
      <c r="Q39" s="2">
        <v>29.65</v>
      </c>
      <c r="R39" s="2" t="s">
        <v>472</v>
      </c>
      <c r="T39" s="25">
        <v>0</v>
      </c>
      <c r="U39" s="25"/>
      <c r="V39" s="25"/>
      <c r="W39">
        <v>0</v>
      </c>
      <c r="X39"/>
      <c r="Y39"/>
      <c r="Z39"/>
      <c r="AA39"/>
      <c r="AB39"/>
      <c r="AC39" s="2" t="s">
        <v>464</v>
      </c>
      <c r="AD39">
        <v>20</v>
      </c>
      <c r="AE39" s="55">
        <f t="shared" si="0"/>
        <v>450.97649999999993</v>
      </c>
      <c r="AF39" s="57">
        <v>0</v>
      </c>
      <c r="AG39" s="55">
        <v>0</v>
      </c>
      <c r="AH39" s="55">
        <v>451.2</v>
      </c>
      <c r="AI39" s="52"/>
      <c r="AJ39" s="51"/>
      <c r="AK39" s="52"/>
      <c r="AL39" s="67">
        <f>N39*AD39/AH39</f>
        <v>8.8652482269503549E-2</v>
      </c>
      <c r="AM39" s="28">
        <v>1.774193548387097</v>
      </c>
      <c r="AN39" s="28">
        <v>2.580645161290323</v>
      </c>
      <c r="AO39" s="28">
        <v>0.80645161290322576</v>
      </c>
      <c r="AP39" s="28">
        <v>0</v>
      </c>
      <c r="AQ39" s="28">
        <v>0.34375</v>
      </c>
      <c r="AR39" s="28">
        <v>0.5</v>
      </c>
      <c r="AS39" s="28">
        <v>0.15625</v>
      </c>
      <c r="AT39" s="28">
        <v>0</v>
      </c>
      <c r="AU39" s="25">
        <v>0.82</v>
      </c>
      <c r="AV39" s="25">
        <v>3.44</v>
      </c>
      <c r="AW39" s="25">
        <v>2.62</v>
      </c>
      <c r="AX39" s="25">
        <v>2.6877419354838712</v>
      </c>
      <c r="AY39">
        <v>2.6877419354838712</v>
      </c>
      <c r="AZ39">
        <v>6.0811360720967738</v>
      </c>
      <c r="BC39" s="75">
        <v>0</v>
      </c>
      <c r="BG39">
        <v>4.4326241134751768E-2</v>
      </c>
      <c r="BH39">
        <v>8.8652482269503549E-2</v>
      </c>
      <c r="BI39">
        <v>4.4326241134751768E-2</v>
      </c>
      <c r="BJ39">
        <v>0</v>
      </c>
    </row>
    <row r="40" spans="1:62" x14ac:dyDescent="0.3">
      <c r="A40" s="5" t="s">
        <v>974</v>
      </c>
      <c r="B40" s="43" t="s">
        <v>975</v>
      </c>
      <c r="C40" s="39"/>
      <c r="D40" s="5"/>
      <c r="E40" s="5"/>
      <c r="F40" s="5">
        <v>3.09</v>
      </c>
      <c r="G40" s="5" t="s">
        <v>29</v>
      </c>
      <c r="H40" s="40">
        <v>-2</v>
      </c>
      <c r="I40" s="5">
        <v>-1</v>
      </c>
      <c r="J40" s="5"/>
      <c r="K40" s="5"/>
      <c r="L40" s="41">
        <v>0</v>
      </c>
      <c r="M40">
        <v>0</v>
      </c>
      <c r="N40">
        <v>0</v>
      </c>
      <c r="O40" s="5" t="s">
        <v>464</v>
      </c>
      <c r="P40" s="5" t="s">
        <v>464</v>
      </c>
      <c r="Q40" s="5" t="s">
        <v>464</v>
      </c>
      <c r="R40" s="5"/>
      <c r="S40" s="5"/>
      <c r="T40" s="41">
        <v>0</v>
      </c>
      <c r="U40" s="41"/>
      <c r="V40" s="41"/>
      <c r="W40">
        <v>0</v>
      </c>
      <c r="X40"/>
      <c r="Y40"/>
      <c r="Z40">
        <v>0</v>
      </c>
      <c r="AA40"/>
      <c r="AB40"/>
      <c r="AC40" s="5" t="s">
        <v>464</v>
      </c>
      <c r="AD40" s="5">
        <v>20</v>
      </c>
      <c r="AE40" s="55" t="e">
        <f t="shared" si="0"/>
        <v>#VALUE!</v>
      </c>
      <c r="AF40" s="57">
        <v>0</v>
      </c>
      <c r="AG40" s="55">
        <v>0</v>
      </c>
      <c r="AH40" s="55">
        <v>0</v>
      </c>
      <c r="AI40" s="52"/>
      <c r="AJ40" s="51"/>
      <c r="AK40" s="52"/>
      <c r="AL40" s="52"/>
      <c r="AM40" s="5">
        <v>1.774193548387097</v>
      </c>
      <c r="AN40" s="5">
        <v>2.67741935483871</v>
      </c>
      <c r="AO40" s="5">
        <v>1.290322580645161</v>
      </c>
      <c r="AP40" s="5">
        <v>0.67741935483870963</v>
      </c>
      <c r="AQ40" s="5">
        <v>0.27638190954773872</v>
      </c>
      <c r="AR40" s="5">
        <v>0.41708542713567842</v>
      </c>
      <c r="AS40" s="5">
        <v>0.20100502512562821</v>
      </c>
      <c r="AT40" s="5">
        <v>0.1055276381909548</v>
      </c>
      <c r="AU40" s="41">
        <v>0.82</v>
      </c>
      <c r="AV40" s="41">
        <v>3.44</v>
      </c>
      <c r="AW40" s="41">
        <v>2.62</v>
      </c>
      <c r="AX40" s="41">
        <v>2.7520967741935478</v>
      </c>
      <c r="AY40" s="5">
        <v>2.7520967741935478</v>
      </c>
      <c r="AZ40" s="5">
        <v>6.1207093292741934</v>
      </c>
      <c r="BH40">
        <v>0</v>
      </c>
      <c r="BI40">
        <v>0</v>
      </c>
      <c r="BJ40">
        <v>0</v>
      </c>
    </row>
    <row r="41" spans="1:62" x14ac:dyDescent="0.3">
      <c r="A41" s="5" t="s">
        <v>33</v>
      </c>
      <c r="B41" s="39" t="s">
        <v>882</v>
      </c>
      <c r="C41" s="39"/>
      <c r="D41" s="5"/>
      <c r="E41" s="5"/>
      <c r="F41" s="5">
        <v>3.06</v>
      </c>
      <c r="G41" s="5" t="s">
        <v>29</v>
      </c>
      <c r="H41" s="40">
        <v>-2</v>
      </c>
      <c r="I41" s="5">
        <v>-1</v>
      </c>
      <c r="J41" s="5"/>
      <c r="K41" s="5"/>
      <c r="L41" s="41">
        <v>0</v>
      </c>
      <c r="M41">
        <v>0</v>
      </c>
      <c r="N41">
        <v>0</v>
      </c>
      <c r="O41" s="5" t="s">
        <v>464</v>
      </c>
      <c r="P41" s="5" t="s">
        <v>464</v>
      </c>
      <c r="Q41" s="5" t="s">
        <v>464</v>
      </c>
      <c r="R41" s="5"/>
      <c r="S41" s="5"/>
      <c r="T41" s="41">
        <v>0</v>
      </c>
      <c r="U41" s="41"/>
      <c r="V41" s="41"/>
      <c r="W41">
        <v>0</v>
      </c>
      <c r="X41"/>
      <c r="Y41"/>
      <c r="Z41">
        <v>0</v>
      </c>
      <c r="AA41"/>
      <c r="AB41"/>
      <c r="AC41" s="5" t="s">
        <v>464</v>
      </c>
      <c r="AD41" s="5">
        <v>20</v>
      </c>
      <c r="AE41" s="55" t="e">
        <f t="shared" si="0"/>
        <v>#VALUE!</v>
      </c>
      <c r="AF41" s="57">
        <v>0</v>
      </c>
      <c r="AG41" s="55">
        <v>0</v>
      </c>
      <c r="AH41" s="55">
        <v>0</v>
      </c>
      <c r="AI41" s="52"/>
      <c r="AJ41" s="51"/>
      <c r="AK41" s="52"/>
      <c r="AL41" s="52"/>
      <c r="AM41" s="5">
        <v>1.774193548387097</v>
      </c>
      <c r="AN41" s="5">
        <v>2.725806451612903</v>
      </c>
      <c r="AO41" s="5">
        <v>1.435483870967742</v>
      </c>
      <c r="AP41" s="5">
        <v>0.90322580645161288</v>
      </c>
      <c r="AQ41" s="5">
        <v>0.25943396226415089</v>
      </c>
      <c r="AR41" s="5">
        <v>0.3985849056603773</v>
      </c>
      <c r="AS41" s="5">
        <v>0.2099056603773585</v>
      </c>
      <c r="AT41" s="5">
        <v>0.13207547169811321</v>
      </c>
      <c r="AU41" s="41">
        <v>0.82</v>
      </c>
      <c r="AV41" s="41">
        <v>3.44</v>
      </c>
      <c r="AW41" s="41">
        <v>2.62</v>
      </c>
      <c r="AX41" s="41">
        <v>2.7669354838709679</v>
      </c>
      <c r="AY41" s="5">
        <v>2.7669354838709679</v>
      </c>
      <c r="AZ41" s="5">
        <v>6.1375918448387097</v>
      </c>
      <c r="BH41">
        <v>0</v>
      </c>
      <c r="BI41">
        <v>0</v>
      </c>
      <c r="BJ41">
        <v>0</v>
      </c>
    </row>
    <row r="42" spans="1:62" x14ac:dyDescent="0.3">
      <c r="A42" s="2" t="s">
        <v>34</v>
      </c>
      <c r="B42" s="13" t="s">
        <v>711</v>
      </c>
      <c r="C42" s="13"/>
      <c r="F42" s="2">
        <v>3.31</v>
      </c>
      <c r="G42" s="2" t="s">
        <v>29</v>
      </c>
      <c r="H42" s="9" t="s">
        <v>542</v>
      </c>
      <c r="I42" t="s">
        <v>623</v>
      </c>
      <c r="J42"/>
      <c r="L42" s="25">
        <v>1</v>
      </c>
      <c r="M42">
        <v>2</v>
      </c>
      <c r="N42">
        <v>0</v>
      </c>
      <c r="O42" s="2">
        <v>3.9</v>
      </c>
      <c r="P42" s="2">
        <v>3.9</v>
      </c>
      <c r="Q42" s="2">
        <v>29.65</v>
      </c>
      <c r="R42" s="2" t="s">
        <v>440</v>
      </c>
      <c r="T42" s="25">
        <v>3.9086759899999999</v>
      </c>
      <c r="U42" s="25">
        <v>3.908676100000001</v>
      </c>
      <c r="V42" s="25">
        <v>10.552604730000001</v>
      </c>
      <c r="W42">
        <v>3.899</v>
      </c>
      <c r="X42">
        <v>3.899</v>
      </c>
      <c r="Y42">
        <v>20.399989999999999</v>
      </c>
      <c r="Z42">
        <v>0</v>
      </c>
      <c r="AA42"/>
      <c r="AB42"/>
      <c r="AC42" s="2" t="s">
        <v>464</v>
      </c>
      <c r="AD42">
        <v>14</v>
      </c>
      <c r="AE42" s="55">
        <f t="shared" si="0"/>
        <v>450.97649999999993</v>
      </c>
      <c r="AF42" s="57">
        <v>155.59136328639269</v>
      </c>
      <c r="AG42" s="55">
        <v>310.12474837798999</v>
      </c>
      <c r="AH42" s="55">
        <v>0</v>
      </c>
      <c r="AI42" s="52"/>
      <c r="AJ42" s="51">
        <v>8.9979287437893268E-2</v>
      </c>
      <c r="AK42" s="52">
        <v>9.0286248183820222E-2</v>
      </c>
      <c r="AL42" s="52"/>
      <c r="AM42" s="28">
        <v>2</v>
      </c>
      <c r="AN42" s="28">
        <v>2.333333333333333</v>
      </c>
      <c r="AO42" s="28">
        <v>0.33333333333333331</v>
      </c>
      <c r="AP42" s="28">
        <v>0</v>
      </c>
      <c r="AQ42" s="28">
        <v>0.42857142857142849</v>
      </c>
      <c r="AR42" s="28">
        <v>0.5</v>
      </c>
      <c r="AS42" s="28">
        <v>7.1428571428571425E-2</v>
      </c>
      <c r="AT42" s="28">
        <v>0</v>
      </c>
      <c r="AU42" s="25">
        <v>0.95</v>
      </c>
      <c r="AV42" s="25">
        <v>3.44</v>
      </c>
      <c r="AW42" s="25">
        <v>2.4900000000000002</v>
      </c>
      <c r="AX42" s="25">
        <v>2.500833333333333</v>
      </c>
      <c r="AY42">
        <v>2.500833333333333</v>
      </c>
      <c r="AZ42">
        <v>5.6917605187500007</v>
      </c>
      <c r="BA42" s="75">
        <v>0.58499657192886345</v>
      </c>
      <c r="BB42" s="75">
        <v>0.58699226437317098</v>
      </c>
      <c r="BE42">
        <v>4.4989643718946627E-2</v>
      </c>
      <c r="BF42">
        <v>4.5143124091910111E-2</v>
      </c>
      <c r="BH42">
        <v>9.0132767810856745E-2</v>
      </c>
      <c r="BI42">
        <v>4.5066383905428373E-2</v>
      </c>
      <c r="BJ42">
        <v>0.58599441815101727</v>
      </c>
    </row>
    <row r="43" spans="1:62" x14ac:dyDescent="0.3">
      <c r="A43" s="2" t="s">
        <v>35</v>
      </c>
      <c r="B43" s="13" t="s">
        <v>712</v>
      </c>
      <c r="C43" s="13"/>
      <c r="F43" s="2">
        <v>2.98</v>
      </c>
      <c r="G43" s="2" t="s">
        <v>29</v>
      </c>
      <c r="H43" s="9" t="s">
        <v>543</v>
      </c>
      <c r="I43" t="s">
        <v>624</v>
      </c>
      <c r="J43"/>
      <c r="L43" s="25">
        <v>1</v>
      </c>
      <c r="M43">
        <v>1</v>
      </c>
      <c r="N43">
        <v>0</v>
      </c>
      <c r="O43" s="2" t="s">
        <v>464</v>
      </c>
      <c r="P43" s="2" t="s">
        <v>464</v>
      </c>
      <c r="Q43" s="2" t="s">
        <v>464</v>
      </c>
      <c r="R43" s="2" t="s">
        <v>440</v>
      </c>
      <c r="T43" s="25">
        <v>3.969049</v>
      </c>
      <c r="U43" s="25">
        <v>3.969049</v>
      </c>
      <c r="V43" s="25">
        <v>3.969049</v>
      </c>
      <c r="W43">
        <v>4</v>
      </c>
      <c r="X43">
        <v>4.2110000000000003</v>
      </c>
      <c r="Y43">
        <v>3.875</v>
      </c>
      <c r="Z43">
        <v>0</v>
      </c>
      <c r="AA43"/>
      <c r="AB43"/>
      <c r="AC43" s="2" t="s">
        <v>464</v>
      </c>
      <c r="AD43">
        <v>6</v>
      </c>
      <c r="AE43" s="55" t="e">
        <f t="shared" si="0"/>
        <v>#VALUE!</v>
      </c>
      <c r="AF43" s="57">
        <v>62.525817922855822</v>
      </c>
      <c r="AG43" s="55">
        <v>65.270499999999998</v>
      </c>
      <c r="AH43" s="55">
        <v>0</v>
      </c>
      <c r="AI43" s="52"/>
      <c r="AJ43" s="51">
        <v>9.5960360045234158E-2</v>
      </c>
      <c r="AK43" s="52">
        <v>9.1925142292459849E-2</v>
      </c>
      <c r="AL43" s="52"/>
      <c r="AM43" s="28">
        <v>2</v>
      </c>
      <c r="AN43" s="28">
        <v>2.8</v>
      </c>
      <c r="AO43" s="28">
        <v>2.4</v>
      </c>
      <c r="AP43" s="28">
        <v>2.8</v>
      </c>
      <c r="AQ43" s="28">
        <v>0.2</v>
      </c>
      <c r="AR43" s="28">
        <v>0.28000000000000003</v>
      </c>
      <c r="AS43" s="28">
        <v>0.24</v>
      </c>
      <c r="AT43" s="28">
        <v>0.28000000000000003</v>
      </c>
      <c r="AU43" s="25">
        <v>1.54</v>
      </c>
      <c r="AV43" s="25">
        <v>3.44</v>
      </c>
      <c r="AW43" s="25">
        <v>1.9</v>
      </c>
      <c r="AX43" s="25">
        <v>2.8380000000000001</v>
      </c>
      <c r="AY43">
        <v>2.8380000000000001</v>
      </c>
      <c r="AZ43">
        <v>5.9914547000000002</v>
      </c>
      <c r="BA43" s="75">
        <v>0.58734468850194366</v>
      </c>
      <c r="BB43" s="75">
        <v>0.56264632646033053</v>
      </c>
      <c r="BE43">
        <v>4.7980180022617079E-2</v>
      </c>
      <c r="BF43">
        <v>4.5962571146229918E-2</v>
      </c>
      <c r="BH43">
        <v>9.3942751168847011E-2</v>
      </c>
      <c r="BI43">
        <v>4.6971375584423498E-2</v>
      </c>
      <c r="BJ43">
        <v>0.57499550748113704</v>
      </c>
    </row>
    <row r="44" spans="1:62" x14ac:dyDescent="0.3">
      <c r="A44" s="2" t="s">
        <v>37</v>
      </c>
      <c r="B44" s="13" t="s">
        <v>713</v>
      </c>
      <c r="C44" s="13"/>
      <c r="F44" s="2">
        <v>4.04</v>
      </c>
      <c r="G44" s="2" t="s">
        <v>36</v>
      </c>
      <c r="H44" s="9" t="s">
        <v>544</v>
      </c>
      <c r="I44" t="s">
        <v>625</v>
      </c>
      <c r="J44"/>
      <c r="L44" s="25">
        <v>1</v>
      </c>
      <c r="M44">
        <v>2</v>
      </c>
      <c r="N44">
        <v>0</v>
      </c>
      <c r="T44" s="25">
        <v>5.7458564399999998</v>
      </c>
      <c r="U44" s="25">
        <v>5.7458564399999998</v>
      </c>
      <c r="V44" s="25">
        <v>11.67169612</v>
      </c>
      <c r="W44">
        <v>5.6660000000000004</v>
      </c>
      <c r="X44">
        <v>5.6659999999999986</v>
      </c>
      <c r="Y44">
        <v>22.968</v>
      </c>
      <c r="Z44">
        <v>0</v>
      </c>
      <c r="AA44"/>
      <c r="AB44"/>
      <c r="AC44" s="2" t="s">
        <v>464</v>
      </c>
      <c r="AD44">
        <v>30</v>
      </c>
      <c r="AE44" s="55">
        <f t="shared" si="0"/>
        <v>0</v>
      </c>
      <c r="AF44" s="57">
        <v>333.30247418302179</v>
      </c>
      <c r="AG44" s="55">
        <v>638.56770625824583</v>
      </c>
      <c r="AH44" s="55">
        <v>0</v>
      </c>
      <c r="AI44" s="52"/>
      <c r="AJ44" s="51">
        <v>9.0008332742008132E-2</v>
      </c>
      <c r="AK44" s="52">
        <v>9.3960279249911127E-2</v>
      </c>
      <c r="AL44" s="52"/>
      <c r="AM44" s="28">
        <v>1.833333333333333</v>
      </c>
      <c r="AN44" s="28">
        <v>2.5</v>
      </c>
      <c r="AO44" s="28">
        <v>0.66666666666666663</v>
      </c>
      <c r="AP44" s="28">
        <v>0</v>
      </c>
      <c r="AQ44" s="28">
        <v>0.36666666666666659</v>
      </c>
      <c r="AR44" s="28">
        <v>0.5</v>
      </c>
      <c r="AS44" s="28">
        <v>0.1333333333333333</v>
      </c>
      <c r="AT44" s="28">
        <v>0</v>
      </c>
      <c r="AU44" s="25">
        <v>0.95</v>
      </c>
      <c r="AV44" s="25">
        <v>3.44</v>
      </c>
      <c r="AW44" s="25">
        <v>2.4900000000000002</v>
      </c>
      <c r="AX44" s="25">
        <v>2.614583333333333</v>
      </c>
      <c r="AY44">
        <v>2.614583333333333</v>
      </c>
      <c r="AZ44">
        <v>5.9505645781250003</v>
      </c>
      <c r="BA44" s="75">
        <v>0.54547732833861384</v>
      </c>
      <c r="BB44" s="75">
        <v>0.56942730227099381</v>
      </c>
      <c r="BE44">
        <v>4.5004166371004073E-2</v>
      </c>
      <c r="BF44">
        <v>4.6980139624955557E-2</v>
      </c>
      <c r="BH44">
        <v>9.1984305995959637E-2</v>
      </c>
      <c r="BI44">
        <v>4.5992152997979818E-2</v>
      </c>
      <c r="BJ44">
        <v>0.55745231530480388</v>
      </c>
    </row>
    <row r="45" spans="1:62" x14ac:dyDescent="0.3">
      <c r="A45" s="2" t="s">
        <v>38</v>
      </c>
      <c r="B45" s="13" t="s">
        <v>714</v>
      </c>
      <c r="C45" s="13"/>
      <c r="F45" s="2">
        <v>3.91</v>
      </c>
      <c r="G45" s="2" t="s">
        <v>36</v>
      </c>
      <c r="H45" s="9" t="s">
        <v>545</v>
      </c>
      <c r="I45" t="s">
        <v>626</v>
      </c>
      <c r="J45"/>
      <c r="L45" s="25">
        <v>1</v>
      </c>
      <c r="M45">
        <v>1</v>
      </c>
      <c r="N45">
        <v>0</v>
      </c>
      <c r="T45" s="25">
        <v>5.8532381300000003</v>
      </c>
      <c r="U45" s="25">
        <v>5.8532371599999999</v>
      </c>
      <c r="V45" s="25">
        <v>11.912811489999999</v>
      </c>
      <c r="W45">
        <v>5.7946</v>
      </c>
      <c r="X45">
        <v>5.7946</v>
      </c>
      <c r="Y45">
        <v>11.787599999999999</v>
      </c>
      <c r="Z45">
        <v>0</v>
      </c>
      <c r="AA45"/>
      <c r="AB45"/>
      <c r="AC45" s="2" t="s">
        <v>464</v>
      </c>
      <c r="AD45">
        <v>30</v>
      </c>
      <c r="AE45" s="55">
        <f t="shared" si="0"/>
        <v>0</v>
      </c>
      <c r="AF45" s="57">
        <v>353.45760058531442</v>
      </c>
      <c r="AG45" s="55">
        <v>342.77011164986573</v>
      </c>
      <c r="AH45" s="55">
        <v>0</v>
      </c>
      <c r="AI45" s="52"/>
      <c r="AJ45" s="51">
        <v>8.487580957467307E-2</v>
      </c>
      <c r="AK45" s="52">
        <v>8.752221672887435E-2</v>
      </c>
      <c r="AL45" s="52"/>
      <c r="AM45" s="28">
        <v>1.833333333333333</v>
      </c>
      <c r="AN45" s="28">
        <v>2.5</v>
      </c>
      <c r="AO45" s="28">
        <v>0.66666666666666663</v>
      </c>
      <c r="AP45" s="28">
        <v>0</v>
      </c>
      <c r="AQ45" s="28">
        <v>0.36666666666666659</v>
      </c>
      <c r="AR45" s="28">
        <v>0.5</v>
      </c>
      <c r="AS45" s="28">
        <v>0.1333333333333333</v>
      </c>
      <c r="AT45" s="28">
        <v>0</v>
      </c>
      <c r="AU45" s="25">
        <v>0.89</v>
      </c>
      <c r="AV45" s="25">
        <v>3.44</v>
      </c>
      <c r="AW45" s="25">
        <v>2.5499999999999998</v>
      </c>
      <c r="AX45" s="25">
        <v>2.6020833333333329</v>
      </c>
      <c r="AY45">
        <v>2.6020833333333329</v>
      </c>
      <c r="AZ45">
        <v>5.9098726145833336</v>
      </c>
      <c r="BA45" s="75">
        <v>0.57410011132036598</v>
      </c>
      <c r="BB45" s="75">
        <v>0.59200041353179045</v>
      </c>
      <c r="BE45">
        <v>4.2437904787336528E-2</v>
      </c>
      <c r="BF45">
        <v>4.3761108364437168E-2</v>
      </c>
      <c r="BH45">
        <v>8.619901315177371E-2</v>
      </c>
      <c r="BI45">
        <v>4.3099506575886848E-2</v>
      </c>
      <c r="BJ45">
        <v>0.58305026242607827</v>
      </c>
    </row>
    <row r="46" spans="1:62" x14ac:dyDescent="0.3">
      <c r="A46" s="2" t="s">
        <v>39</v>
      </c>
      <c r="B46" s="13" t="s">
        <v>715</v>
      </c>
      <c r="C46" s="13"/>
      <c r="F46" s="2">
        <v>3.79</v>
      </c>
      <c r="G46" s="2" t="s">
        <v>36</v>
      </c>
      <c r="H46" s="9">
        <v>-1</v>
      </c>
      <c r="I46">
        <v>-1</v>
      </c>
      <c r="J46" t="s">
        <v>1150</v>
      </c>
      <c r="L46" s="25">
        <v>0</v>
      </c>
      <c r="M46">
        <v>0</v>
      </c>
      <c r="N46">
        <v>1</v>
      </c>
      <c r="T46" s="25">
        <v>0</v>
      </c>
      <c r="U46" s="25"/>
      <c r="V46" s="25"/>
      <c r="W46">
        <v>0</v>
      </c>
      <c r="X46"/>
      <c r="Y46"/>
      <c r="Z46">
        <v>5.532</v>
      </c>
      <c r="AA46">
        <v>5.532</v>
      </c>
      <c r="AB46">
        <v>11.016</v>
      </c>
      <c r="AC46" s="2" t="s">
        <v>464</v>
      </c>
      <c r="AD46">
        <v>30</v>
      </c>
      <c r="AE46" s="55">
        <f t="shared" si="0"/>
        <v>0</v>
      </c>
      <c r="AF46" s="57">
        <v>0</v>
      </c>
      <c r="AG46" s="55">
        <v>0</v>
      </c>
      <c r="AH46" s="55">
        <v>291.95700632233962</v>
      </c>
      <c r="AI46" s="52"/>
      <c r="AJ46" s="51"/>
      <c r="AK46" s="52"/>
      <c r="AL46" s="52">
        <v>0.1027548555107393</v>
      </c>
      <c r="AM46" s="28">
        <v>2</v>
      </c>
      <c r="AN46" s="28">
        <v>2.5</v>
      </c>
      <c r="AO46" s="28">
        <v>0.5</v>
      </c>
      <c r="AP46" s="28">
        <v>0</v>
      </c>
      <c r="AQ46" s="28">
        <v>0.4</v>
      </c>
      <c r="AR46" s="28">
        <v>0.5</v>
      </c>
      <c r="AS46" s="28">
        <v>0.1</v>
      </c>
      <c r="AT46" s="28">
        <v>0</v>
      </c>
      <c r="AU46" s="25">
        <v>1</v>
      </c>
      <c r="AV46" s="25">
        <v>3.44</v>
      </c>
      <c r="AW46" s="25">
        <v>2.44</v>
      </c>
      <c r="AX46" s="25">
        <v>2.6316666666666659</v>
      </c>
      <c r="AY46">
        <v>2.6316666666666668</v>
      </c>
      <c r="AZ46">
        <v>5.9266157452083332</v>
      </c>
      <c r="BC46" s="75">
        <v>0</v>
      </c>
      <c r="BG46">
        <v>5.1377427755369638E-2</v>
      </c>
      <c r="BH46">
        <v>0.1027548555107393</v>
      </c>
      <c r="BI46">
        <v>5.1377427755369638E-2</v>
      </c>
      <c r="BJ46">
        <v>0</v>
      </c>
    </row>
    <row r="47" spans="1:62" x14ac:dyDescent="0.3">
      <c r="A47" s="2" t="s">
        <v>40</v>
      </c>
      <c r="B47" s="13" t="s">
        <v>716</v>
      </c>
      <c r="C47" s="13"/>
      <c r="F47" s="2">
        <v>3.85</v>
      </c>
      <c r="G47" s="2" t="s">
        <v>36</v>
      </c>
      <c r="H47" s="9" t="s">
        <v>546</v>
      </c>
      <c r="I47" t="s">
        <v>627</v>
      </c>
      <c r="J47"/>
      <c r="L47" s="25">
        <v>2</v>
      </c>
      <c r="M47">
        <v>2</v>
      </c>
      <c r="N47">
        <v>0</v>
      </c>
      <c r="T47" s="25">
        <v>5.6269875200000001</v>
      </c>
      <c r="U47" s="25">
        <v>5.6269875200000001</v>
      </c>
      <c r="V47" s="25">
        <v>22.749475</v>
      </c>
      <c r="W47">
        <v>5.5670999999999999</v>
      </c>
      <c r="X47">
        <v>5.5670999999999999</v>
      </c>
      <c r="Y47">
        <v>22.4603</v>
      </c>
      <c r="Z47">
        <v>0</v>
      </c>
      <c r="AA47"/>
      <c r="AB47"/>
      <c r="AC47" s="2" t="s">
        <v>464</v>
      </c>
      <c r="AD47">
        <v>30</v>
      </c>
      <c r="AE47" s="55">
        <f t="shared" si="0"/>
        <v>0</v>
      </c>
      <c r="AF47" s="57">
        <v>623.81230762201892</v>
      </c>
      <c r="AG47" s="55">
        <v>602.84300974379039</v>
      </c>
      <c r="AH47" s="55">
        <v>0</v>
      </c>
      <c r="AI47" s="52"/>
      <c r="AJ47" s="51">
        <v>9.6182776881592519E-2</v>
      </c>
      <c r="AK47" s="52">
        <v>9.9528399650018556E-2</v>
      </c>
      <c r="AL47" s="52"/>
      <c r="AM47" s="28">
        <v>2</v>
      </c>
      <c r="AN47" s="28">
        <v>2.5</v>
      </c>
      <c r="AO47" s="28">
        <v>0.5</v>
      </c>
      <c r="AP47" s="28">
        <v>0</v>
      </c>
      <c r="AQ47" s="28">
        <v>0.4</v>
      </c>
      <c r="AR47" s="28">
        <v>0.5</v>
      </c>
      <c r="AS47" s="28">
        <v>0.1</v>
      </c>
      <c r="AT47" s="28">
        <v>0</v>
      </c>
      <c r="AU47" s="25">
        <v>0.89</v>
      </c>
      <c r="AV47" s="25">
        <v>3.44</v>
      </c>
      <c r="AW47" s="25">
        <v>2.5499999999999998</v>
      </c>
      <c r="AX47" s="25">
        <v>2.6270833333333332</v>
      </c>
      <c r="AY47">
        <v>2.6270833333333332</v>
      </c>
      <c r="AZ47">
        <v>5.9103362479166668</v>
      </c>
      <c r="BA47" s="75">
        <v>0.55608047790729209</v>
      </c>
      <c r="BB47" s="75">
        <v>0</v>
      </c>
      <c r="BE47">
        <v>4.8091388440796259E-2</v>
      </c>
      <c r="BF47">
        <v>4.9764199825009278E-2</v>
      </c>
      <c r="BH47">
        <v>9.7855588265805538E-2</v>
      </c>
      <c r="BI47">
        <v>4.8927794132902769E-2</v>
      </c>
      <c r="BJ47">
        <v>0.27804023895364599</v>
      </c>
    </row>
    <row r="48" spans="1:62" x14ac:dyDescent="0.3">
      <c r="A48" s="2" t="s">
        <v>41</v>
      </c>
      <c r="B48" s="13" t="s">
        <v>717</v>
      </c>
      <c r="C48" s="13"/>
      <c r="F48" s="2">
        <v>3.95</v>
      </c>
      <c r="G48" s="2" t="s">
        <v>36</v>
      </c>
      <c r="H48" s="9" t="s">
        <v>547</v>
      </c>
      <c r="I48" t="s">
        <v>628</v>
      </c>
      <c r="J48"/>
      <c r="L48" s="25">
        <v>1</v>
      </c>
      <c r="M48">
        <v>3</v>
      </c>
      <c r="N48">
        <v>0</v>
      </c>
      <c r="T48" s="25">
        <v>9.3662349099999993</v>
      </c>
      <c r="U48" s="25">
        <v>9.3662349099999993</v>
      </c>
      <c r="V48" s="25">
        <v>9.3662351000000008</v>
      </c>
      <c r="W48">
        <v>5.5609999999999999</v>
      </c>
      <c r="X48">
        <v>5.5609999999999999</v>
      </c>
      <c r="Y48">
        <v>26.24</v>
      </c>
      <c r="Z48">
        <v>0</v>
      </c>
      <c r="AA48"/>
      <c r="AB48"/>
      <c r="AC48" s="2" t="s">
        <v>464</v>
      </c>
      <c r="AD48">
        <v>24</v>
      </c>
      <c r="AE48" s="55">
        <f t="shared" si="0"/>
        <v>0</v>
      </c>
      <c r="AF48" s="57">
        <v>238.908881754341</v>
      </c>
      <c r="AG48" s="55">
        <v>702.74902632242595</v>
      </c>
      <c r="AH48" s="55">
        <v>0</v>
      </c>
      <c r="AI48" s="52"/>
      <c r="AJ48" s="51">
        <v>0.10045670895014321</v>
      </c>
      <c r="AK48" s="52">
        <v>0.1024547844296349</v>
      </c>
      <c r="AL48" s="52"/>
      <c r="AM48" s="28">
        <v>2</v>
      </c>
      <c r="AN48" s="28">
        <v>2.5263157894736841</v>
      </c>
      <c r="AO48" s="28">
        <v>0.52631578947368418</v>
      </c>
      <c r="AP48" s="28">
        <v>0</v>
      </c>
      <c r="AQ48" s="28">
        <v>0.39583333333333343</v>
      </c>
      <c r="AR48" s="28">
        <v>0.5</v>
      </c>
      <c r="AS48" s="28">
        <v>0.1041666666666667</v>
      </c>
      <c r="AT48" s="28">
        <v>0</v>
      </c>
      <c r="AU48" s="25">
        <v>1.1000000000000001</v>
      </c>
      <c r="AV48" s="25">
        <v>3.44</v>
      </c>
      <c r="AW48" s="25">
        <v>2.34</v>
      </c>
      <c r="AX48" s="25">
        <v>2.647368421052632</v>
      </c>
      <c r="AY48">
        <v>2.6473684210526311</v>
      </c>
      <c r="AZ48">
        <v>5.9525974578947363</v>
      </c>
      <c r="BA48" s="75">
        <v>0.55552189395192297</v>
      </c>
      <c r="BB48" s="75">
        <v>0.56657117763069742</v>
      </c>
      <c r="BE48">
        <v>5.0228354475071582E-2</v>
      </c>
      <c r="BF48">
        <v>5.1227392214817473E-2</v>
      </c>
      <c r="BH48">
        <v>0.10145574668988901</v>
      </c>
      <c r="BI48">
        <v>5.0727873344944517E-2</v>
      </c>
      <c r="BJ48">
        <v>0.56104653579131014</v>
      </c>
    </row>
    <row r="49" spans="1:62" x14ac:dyDescent="0.3">
      <c r="A49" s="2" t="s">
        <v>39</v>
      </c>
      <c r="B49" s="13" t="s">
        <v>715</v>
      </c>
      <c r="C49" s="13"/>
      <c r="F49" s="2">
        <v>3.79</v>
      </c>
      <c r="G49" s="2" t="s">
        <v>36</v>
      </c>
      <c r="H49" s="9">
        <v>-1</v>
      </c>
      <c r="I49">
        <v>-1</v>
      </c>
      <c r="J49" t="s">
        <v>1150</v>
      </c>
      <c r="L49" s="25">
        <v>0</v>
      </c>
      <c r="M49">
        <v>0</v>
      </c>
      <c r="N49">
        <v>1</v>
      </c>
      <c r="T49" s="25">
        <v>0</v>
      </c>
      <c r="U49" s="25"/>
      <c r="V49" s="25"/>
      <c r="W49">
        <v>0</v>
      </c>
      <c r="X49"/>
      <c r="Y49"/>
      <c r="Z49">
        <v>5.532</v>
      </c>
      <c r="AA49">
        <v>5.532</v>
      </c>
      <c r="AB49">
        <v>11.016</v>
      </c>
      <c r="AC49" s="2" t="s">
        <v>464</v>
      </c>
      <c r="AD49">
        <v>30</v>
      </c>
      <c r="AE49" s="55">
        <f t="shared" si="0"/>
        <v>0</v>
      </c>
      <c r="AF49" s="57">
        <v>0</v>
      </c>
      <c r="AG49" s="55">
        <v>0</v>
      </c>
      <c r="AH49" s="55">
        <v>291.95700632233962</v>
      </c>
      <c r="AI49" s="52"/>
      <c r="AJ49" s="51"/>
      <c r="AK49" s="52"/>
      <c r="AL49" s="52">
        <v>0.1027548555107393</v>
      </c>
      <c r="AM49" s="28">
        <v>2</v>
      </c>
      <c r="AN49" s="28">
        <v>2.5</v>
      </c>
      <c r="AO49" s="28">
        <v>0.5</v>
      </c>
      <c r="AP49" s="28">
        <v>0</v>
      </c>
      <c r="AQ49" s="28">
        <v>0.4</v>
      </c>
      <c r="AR49" s="28">
        <v>0.5</v>
      </c>
      <c r="AS49" s="28">
        <v>0.1</v>
      </c>
      <c r="AT49" s="28">
        <v>0</v>
      </c>
      <c r="AU49" s="25">
        <v>1</v>
      </c>
      <c r="AV49" s="25">
        <v>3.44</v>
      </c>
      <c r="AW49" s="25">
        <v>2.44</v>
      </c>
      <c r="AX49" s="25">
        <v>2.6316666666666659</v>
      </c>
      <c r="AY49">
        <v>2.6316666666666668</v>
      </c>
      <c r="AZ49">
        <v>5.9266157452083332</v>
      </c>
      <c r="BC49" s="75">
        <v>0</v>
      </c>
      <c r="BG49">
        <v>5.1377427755369638E-2</v>
      </c>
      <c r="BH49">
        <v>0.1027548555107393</v>
      </c>
      <c r="BI49">
        <v>5.1377427755369638E-2</v>
      </c>
      <c r="BJ49">
        <v>0</v>
      </c>
    </row>
    <row r="50" spans="1:62" x14ac:dyDescent="0.3">
      <c r="A50" s="2" t="s">
        <v>42</v>
      </c>
      <c r="B50" s="13" t="s">
        <v>718</v>
      </c>
      <c r="C50" s="13"/>
      <c r="F50" s="2">
        <v>3.82</v>
      </c>
      <c r="G50" s="2" t="s">
        <v>36</v>
      </c>
      <c r="H50" s="9">
        <v>-1</v>
      </c>
      <c r="I50">
        <v>-1</v>
      </c>
      <c r="J50" t="s">
        <v>1151</v>
      </c>
      <c r="L50" s="25">
        <v>0</v>
      </c>
      <c r="M50">
        <v>0</v>
      </c>
      <c r="N50">
        <v>1</v>
      </c>
      <c r="T50" s="25">
        <v>0</v>
      </c>
      <c r="U50" s="25"/>
      <c r="V50" s="25"/>
      <c r="W50">
        <v>0</v>
      </c>
      <c r="X50"/>
      <c r="Y50"/>
      <c r="Z50">
        <v>5.55</v>
      </c>
      <c r="AA50">
        <v>5.55</v>
      </c>
      <c r="AB50">
        <v>11.066000000000001</v>
      </c>
      <c r="AC50" s="2" t="s">
        <v>464</v>
      </c>
      <c r="AD50">
        <v>30</v>
      </c>
      <c r="AE50" s="55">
        <f t="shared" si="0"/>
        <v>0</v>
      </c>
      <c r="AF50" s="57">
        <v>0</v>
      </c>
      <c r="AG50" s="55">
        <v>0</v>
      </c>
      <c r="AH50" s="55">
        <v>295.19382183577648</v>
      </c>
      <c r="AI50" s="52"/>
      <c r="AJ50" s="51"/>
      <c r="AK50" s="52"/>
      <c r="AL50" s="52">
        <v>0.1016281432092089</v>
      </c>
      <c r="AM50" s="28">
        <v>2</v>
      </c>
      <c r="AN50" s="28">
        <v>2.5</v>
      </c>
      <c r="AO50" s="28">
        <v>0.5</v>
      </c>
      <c r="AP50" s="28">
        <v>0</v>
      </c>
      <c r="AQ50" s="28">
        <v>0.4</v>
      </c>
      <c r="AR50" s="28">
        <v>0.5</v>
      </c>
      <c r="AS50" s="28">
        <v>0.1</v>
      </c>
      <c r="AT50" s="28">
        <v>0</v>
      </c>
      <c r="AU50" s="25">
        <v>0.95</v>
      </c>
      <c r="AV50" s="25">
        <v>3.44</v>
      </c>
      <c r="AW50" s="25">
        <v>2.4900000000000002</v>
      </c>
      <c r="AX50" s="25">
        <v>2.6295833333333332</v>
      </c>
      <c r="AY50">
        <v>2.6295833333333332</v>
      </c>
      <c r="AZ50">
        <v>5.9184746406250008</v>
      </c>
      <c r="BC50" s="75">
        <v>0</v>
      </c>
      <c r="BG50">
        <v>5.0814071604604473E-2</v>
      </c>
      <c r="BH50">
        <v>0.1016281432092089</v>
      </c>
      <c r="BI50">
        <v>5.0814071604604473E-2</v>
      </c>
      <c r="BJ50">
        <v>0</v>
      </c>
    </row>
    <row r="51" spans="1:62" x14ac:dyDescent="0.3">
      <c r="A51" s="2" t="s">
        <v>40</v>
      </c>
      <c r="B51" s="13" t="s">
        <v>716</v>
      </c>
      <c r="C51" s="13"/>
      <c r="F51" s="2">
        <v>3.85</v>
      </c>
      <c r="G51" s="2" t="s">
        <v>36</v>
      </c>
      <c r="H51" s="9" t="s">
        <v>546</v>
      </c>
      <c r="I51" t="s">
        <v>627</v>
      </c>
      <c r="J51"/>
      <c r="L51" s="25">
        <v>2</v>
      </c>
      <c r="M51">
        <v>2</v>
      </c>
      <c r="N51">
        <v>0</v>
      </c>
      <c r="T51" s="25">
        <v>5.6269875200000001</v>
      </c>
      <c r="U51" s="25">
        <v>5.6269875200000001</v>
      </c>
      <c r="V51" s="25">
        <v>22.749475</v>
      </c>
      <c r="W51">
        <v>5.5670999999999999</v>
      </c>
      <c r="X51">
        <v>5.5670999999999999</v>
      </c>
      <c r="Y51">
        <v>22.4603</v>
      </c>
      <c r="Z51">
        <v>0</v>
      </c>
      <c r="AA51"/>
      <c r="AB51"/>
      <c r="AC51" s="2" t="s">
        <v>464</v>
      </c>
      <c r="AD51">
        <v>30</v>
      </c>
      <c r="AE51" s="55">
        <f t="shared" si="0"/>
        <v>0</v>
      </c>
      <c r="AF51" s="57">
        <v>623.81230762201892</v>
      </c>
      <c r="AG51" s="55">
        <v>602.84300974379039</v>
      </c>
      <c r="AH51" s="55">
        <v>0</v>
      </c>
      <c r="AI51" s="52"/>
      <c r="AJ51" s="51">
        <v>9.6182776881592519E-2</v>
      </c>
      <c r="AK51" s="52">
        <v>9.9528399650018556E-2</v>
      </c>
      <c r="AL51" s="52"/>
      <c r="AM51" s="28">
        <v>2</v>
      </c>
      <c r="AN51" s="28">
        <v>2.5</v>
      </c>
      <c r="AO51" s="28">
        <v>0.5</v>
      </c>
      <c r="AP51" s="28">
        <v>0</v>
      </c>
      <c r="AQ51" s="28">
        <v>0.4</v>
      </c>
      <c r="AR51" s="28">
        <v>0.5</v>
      </c>
      <c r="AS51" s="28">
        <v>0.1</v>
      </c>
      <c r="AT51" s="28">
        <v>0</v>
      </c>
      <c r="AU51" s="25">
        <v>0.89</v>
      </c>
      <c r="AV51" s="25">
        <v>3.44</v>
      </c>
      <c r="AW51" s="25">
        <v>2.5499999999999998</v>
      </c>
      <c r="AX51" s="25">
        <v>2.6270833333333332</v>
      </c>
      <c r="AY51">
        <v>2.6270833333333332</v>
      </c>
      <c r="AZ51">
        <v>5.9103362479166668</v>
      </c>
      <c r="BA51" s="75">
        <v>0.55608047790729209</v>
      </c>
      <c r="BB51" s="75">
        <v>0</v>
      </c>
      <c r="BE51">
        <v>4.8091388440796259E-2</v>
      </c>
      <c r="BF51">
        <v>4.9764199825009278E-2</v>
      </c>
      <c r="BH51">
        <v>9.7855588265805538E-2</v>
      </c>
      <c r="BI51">
        <v>4.8927794132902769E-2</v>
      </c>
      <c r="BJ51">
        <v>0.27804023895364599</v>
      </c>
    </row>
    <row r="52" spans="1:62" x14ac:dyDescent="0.3">
      <c r="A52" s="2" t="s">
        <v>43</v>
      </c>
      <c r="B52" s="13" t="s">
        <v>719</v>
      </c>
      <c r="C52" s="13"/>
      <c r="F52" s="2">
        <v>4.07</v>
      </c>
      <c r="G52" s="2" t="s">
        <v>36</v>
      </c>
      <c r="H52" s="9" t="s">
        <v>548</v>
      </c>
      <c r="I52">
        <v>-1</v>
      </c>
      <c r="J52"/>
      <c r="L52" s="25">
        <v>1</v>
      </c>
      <c r="M52">
        <v>0</v>
      </c>
      <c r="N52">
        <v>0</v>
      </c>
      <c r="T52" s="25">
        <v>9.9321903099999993</v>
      </c>
      <c r="U52" s="25">
        <v>9.9321903099999993</v>
      </c>
      <c r="V52" s="25">
        <v>9.9321899499999997</v>
      </c>
      <c r="W52">
        <v>0</v>
      </c>
      <c r="X52"/>
      <c r="Y52"/>
      <c r="Z52">
        <v>0</v>
      </c>
      <c r="AA52"/>
      <c r="AB52"/>
      <c r="AC52" s="2" t="s">
        <v>464</v>
      </c>
      <c r="AD52">
        <v>24</v>
      </c>
      <c r="AE52" s="55">
        <f t="shared" si="0"/>
        <v>0</v>
      </c>
      <c r="AF52" s="57">
        <v>275.17611786249188</v>
      </c>
      <c r="AG52" s="55">
        <v>0</v>
      </c>
      <c r="AH52" s="55">
        <v>0</v>
      </c>
      <c r="AI52" s="52"/>
      <c r="AJ52" s="51">
        <v>8.7216871094871057E-2</v>
      </c>
      <c r="AK52" s="52"/>
      <c r="AL52" s="52"/>
      <c r="AM52" s="28">
        <v>1.8421052631578949</v>
      </c>
      <c r="AN52" s="28">
        <v>2.5263157894736841</v>
      </c>
      <c r="AO52" s="28">
        <v>0.68421052631578949</v>
      </c>
      <c r="AP52" s="28">
        <v>0</v>
      </c>
      <c r="AQ52" s="28">
        <v>0.36458333333333343</v>
      </c>
      <c r="AR52" s="28">
        <v>0.5</v>
      </c>
      <c r="AS52" s="28">
        <v>0.13541666666666671</v>
      </c>
      <c r="AT52" s="28">
        <v>0</v>
      </c>
      <c r="AU52" s="25">
        <v>0.89</v>
      </c>
      <c r="AV52" s="25">
        <v>3.44</v>
      </c>
      <c r="AW52" s="25">
        <v>2.5499999999999998</v>
      </c>
      <c r="AX52" s="25">
        <v>2.6236842105263158</v>
      </c>
      <c r="AY52">
        <v>2.623684210526315</v>
      </c>
      <c r="AZ52">
        <v>5.9521582263157891</v>
      </c>
      <c r="BA52" s="75">
        <v>0.56264133404440497</v>
      </c>
      <c r="BE52">
        <v>4.3608435547435528E-2</v>
      </c>
      <c r="BH52">
        <v>8.7216871094871057E-2</v>
      </c>
      <c r="BI52">
        <v>4.3608435547435528E-2</v>
      </c>
      <c r="BJ52">
        <v>0.56264133404440497</v>
      </c>
    </row>
    <row r="53" spans="1:62" x14ac:dyDescent="0.3">
      <c r="A53" s="2" t="s">
        <v>37</v>
      </c>
      <c r="B53" s="13" t="s">
        <v>713</v>
      </c>
      <c r="C53" s="13"/>
      <c r="F53" s="2">
        <v>4.04</v>
      </c>
      <c r="G53" s="2" t="s">
        <v>36</v>
      </c>
      <c r="H53" s="9" t="s">
        <v>544</v>
      </c>
      <c r="I53" t="s">
        <v>625</v>
      </c>
      <c r="J53"/>
      <c r="L53" s="25">
        <v>1</v>
      </c>
      <c r="M53">
        <v>2</v>
      </c>
      <c r="N53">
        <v>0</v>
      </c>
      <c r="T53" s="25">
        <v>5.7458564399999998</v>
      </c>
      <c r="U53" s="25">
        <v>5.7458564399999998</v>
      </c>
      <c r="V53" s="25">
        <v>11.67169612</v>
      </c>
      <c r="W53">
        <v>5.6660000000000004</v>
      </c>
      <c r="X53">
        <v>5.6659999999999986</v>
      </c>
      <c r="Y53">
        <v>22.968</v>
      </c>
      <c r="Z53">
        <v>0</v>
      </c>
      <c r="AA53"/>
      <c r="AB53"/>
      <c r="AC53" s="2" t="s">
        <v>464</v>
      </c>
      <c r="AD53">
        <v>30</v>
      </c>
      <c r="AE53" s="55">
        <f t="shared" si="0"/>
        <v>0</v>
      </c>
      <c r="AF53" s="57">
        <v>333.30247418302179</v>
      </c>
      <c r="AG53" s="55">
        <v>638.56770625824583</v>
      </c>
      <c r="AH53" s="55">
        <v>0</v>
      </c>
      <c r="AI53" s="52"/>
      <c r="AJ53" s="51">
        <v>9.0008332742008132E-2</v>
      </c>
      <c r="AK53" s="52">
        <v>9.3960279249911127E-2</v>
      </c>
      <c r="AL53" s="52"/>
      <c r="AM53" s="28">
        <v>1.833333333333333</v>
      </c>
      <c r="AN53" s="28">
        <v>2.5</v>
      </c>
      <c r="AO53" s="28">
        <v>0.66666666666666663</v>
      </c>
      <c r="AP53" s="28">
        <v>0</v>
      </c>
      <c r="AQ53" s="28">
        <v>0.36666666666666659</v>
      </c>
      <c r="AR53" s="28">
        <v>0.5</v>
      </c>
      <c r="AS53" s="28">
        <v>0.1333333333333333</v>
      </c>
      <c r="AT53" s="28">
        <v>0</v>
      </c>
      <c r="AU53" s="25">
        <v>0.95</v>
      </c>
      <c r="AV53" s="25">
        <v>3.44</v>
      </c>
      <c r="AW53" s="25">
        <v>2.4900000000000002</v>
      </c>
      <c r="AX53" s="25">
        <v>2.614583333333333</v>
      </c>
      <c r="AY53">
        <v>2.614583333333333</v>
      </c>
      <c r="AZ53">
        <v>5.9505645781250003</v>
      </c>
      <c r="BA53" s="75">
        <v>0.54547732833861384</v>
      </c>
      <c r="BB53" s="75">
        <v>0.56942730227099381</v>
      </c>
      <c r="BE53">
        <v>4.5004166371004073E-2</v>
      </c>
      <c r="BF53">
        <v>4.6980139624955557E-2</v>
      </c>
      <c r="BH53">
        <v>9.1984305995959637E-2</v>
      </c>
      <c r="BI53">
        <v>4.5992152997979818E-2</v>
      </c>
      <c r="BJ53">
        <v>0.55745231530480388</v>
      </c>
    </row>
    <row r="54" spans="1:62" x14ac:dyDescent="0.3">
      <c r="A54" s="2" t="s">
        <v>38</v>
      </c>
      <c r="B54" s="13" t="s">
        <v>714</v>
      </c>
      <c r="C54" s="13"/>
      <c r="F54" s="2">
        <v>3.87</v>
      </c>
      <c r="G54" s="2" t="s">
        <v>36</v>
      </c>
      <c r="H54" s="9" t="s">
        <v>545</v>
      </c>
      <c r="I54" t="s">
        <v>626</v>
      </c>
      <c r="J54"/>
      <c r="L54" s="25">
        <v>1</v>
      </c>
      <c r="M54">
        <v>1</v>
      </c>
      <c r="N54">
        <v>0</v>
      </c>
      <c r="T54" s="25">
        <v>5.8532381300000003</v>
      </c>
      <c r="U54" s="25">
        <v>5.8532371599999999</v>
      </c>
      <c r="V54" s="25">
        <v>11.912811489999999</v>
      </c>
      <c r="W54">
        <v>5.7946</v>
      </c>
      <c r="X54">
        <v>5.7946</v>
      </c>
      <c r="Y54">
        <v>11.787599999999999</v>
      </c>
      <c r="Z54">
        <v>0</v>
      </c>
      <c r="AA54"/>
      <c r="AB54"/>
      <c r="AC54" s="2" t="s">
        <v>464</v>
      </c>
      <c r="AD54">
        <v>30</v>
      </c>
      <c r="AE54" s="55">
        <f t="shared" si="0"/>
        <v>0</v>
      </c>
      <c r="AF54" s="57">
        <v>353.45760058531442</v>
      </c>
      <c r="AG54" s="55">
        <v>342.77011164986573</v>
      </c>
      <c r="AH54" s="55">
        <v>0</v>
      </c>
      <c r="AI54" s="52"/>
      <c r="AJ54" s="51">
        <v>8.487580957467307E-2</v>
      </c>
      <c r="AK54" s="52">
        <v>8.752221672887435E-2</v>
      </c>
      <c r="AL54" s="52"/>
      <c r="AM54" s="28">
        <v>1.833333333333333</v>
      </c>
      <c r="AN54" s="28">
        <v>2.5</v>
      </c>
      <c r="AO54" s="28">
        <v>0.66666666666666663</v>
      </c>
      <c r="AP54" s="28">
        <v>0</v>
      </c>
      <c r="AQ54" s="28">
        <v>0.36666666666666659</v>
      </c>
      <c r="AR54" s="28">
        <v>0.5</v>
      </c>
      <c r="AS54" s="28">
        <v>0.1333333333333333</v>
      </c>
      <c r="AT54" s="28">
        <v>0</v>
      </c>
      <c r="AU54" s="25">
        <v>0.89</v>
      </c>
      <c r="AV54" s="25">
        <v>3.44</v>
      </c>
      <c r="AW54" s="25">
        <v>2.5499999999999998</v>
      </c>
      <c r="AX54" s="25">
        <v>2.6020833333333329</v>
      </c>
      <c r="AY54">
        <v>2.6020833333333329</v>
      </c>
      <c r="AZ54">
        <v>5.9098726145833336</v>
      </c>
      <c r="BA54" s="75">
        <v>0.57410011132036598</v>
      </c>
      <c r="BB54" s="75">
        <v>0.59200041353179045</v>
      </c>
      <c r="BE54">
        <v>4.2437904787336528E-2</v>
      </c>
      <c r="BF54">
        <v>4.3761108364437168E-2</v>
      </c>
      <c r="BH54">
        <v>8.619901315177371E-2</v>
      </c>
      <c r="BI54">
        <v>4.3099506575886848E-2</v>
      </c>
      <c r="BJ54">
        <v>0.58305026242607827</v>
      </c>
    </row>
    <row r="55" spans="1:62" x14ac:dyDescent="0.3">
      <c r="A55" s="2" t="s">
        <v>44</v>
      </c>
      <c r="B55" s="13" t="s">
        <v>720</v>
      </c>
      <c r="C55" s="13"/>
      <c r="F55" s="2">
        <v>3.4</v>
      </c>
      <c r="G55" s="2" t="s">
        <v>36</v>
      </c>
      <c r="H55" s="9" t="s">
        <v>549</v>
      </c>
      <c r="I55">
        <v>-1</v>
      </c>
      <c r="J55"/>
      <c r="L55" s="25">
        <v>1</v>
      </c>
      <c r="M55">
        <v>0</v>
      </c>
      <c r="N55">
        <v>0</v>
      </c>
      <c r="T55" s="25">
        <v>15.28115725</v>
      </c>
      <c r="U55" s="25">
        <v>15.28115725</v>
      </c>
      <c r="V55" s="25">
        <v>15.28115725</v>
      </c>
      <c r="W55">
        <v>0</v>
      </c>
      <c r="X55"/>
      <c r="Y55"/>
      <c r="Z55">
        <v>0</v>
      </c>
      <c r="AA55"/>
      <c r="AB55"/>
      <c r="AC55" s="2" t="s">
        <v>464</v>
      </c>
      <c r="AD55">
        <v>20</v>
      </c>
      <c r="AE55" s="55">
        <f t="shared" si="0"/>
        <v>0</v>
      </c>
      <c r="AF55" s="57">
        <v>229.90248606119221</v>
      </c>
      <c r="AG55" s="55">
        <v>0</v>
      </c>
      <c r="AH55" s="55">
        <v>0</v>
      </c>
      <c r="AI55" s="52"/>
      <c r="AJ55" s="51">
        <v>8.6993404650164072E-2</v>
      </c>
      <c r="AK55" s="52"/>
      <c r="AL55" s="52"/>
      <c r="AM55" s="28">
        <v>1.882352941176471</v>
      </c>
      <c r="AN55" s="28">
        <v>2.3529411764705879</v>
      </c>
      <c r="AO55" s="28">
        <v>0.47058823529411759</v>
      </c>
      <c r="AP55" s="28">
        <v>0</v>
      </c>
      <c r="AQ55" s="28">
        <v>0.4</v>
      </c>
      <c r="AR55" s="28">
        <v>0.5</v>
      </c>
      <c r="AS55" s="28">
        <v>9.9999999999999992E-2</v>
      </c>
      <c r="AT55" s="28">
        <v>0</v>
      </c>
      <c r="AU55" s="25">
        <v>0.82</v>
      </c>
      <c r="AV55" s="25">
        <v>3.44</v>
      </c>
      <c r="AW55" s="25">
        <v>2.62</v>
      </c>
      <c r="AX55" s="25">
        <v>2.5211764705882351</v>
      </c>
      <c r="AY55">
        <v>2.521176470588236</v>
      </c>
      <c r="AZ55">
        <v>5.6898745917647062</v>
      </c>
      <c r="BA55" s="75">
        <v>0.57369840599679445</v>
      </c>
      <c r="BE55">
        <v>4.3496702325082043E-2</v>
      </c>
      <c r="BH55">
        <v>8.6993404650164072E-2</v>
      </c>
      <c r="BI55">
        <v>4.3496702325082043E-2</v>
      </c>
      <c r="BJ55">
        <v>0.57369840599679445</v>
      </c>
    </row>
    <row r="56" spans="1:62" x14ac:dyDescent="0.3">
      <c r="A56" s="2" t="s">
        <v>34</v>
      </c>
      <c r="B56" s="13" t="s">
        <v>711</v>
      </c>
      <c r="C56" s="13"/>
      <c r="F56" s="2">
        <v>3.2</v>
      </c>
      <c r="G56" s="2" t="s">
        <v>36</v>
      </c>
      <c r="H56" s="9" t="s">
        <v>542</v>
      </c>
      <c r="I56" t="s">
        <v>623</v>
      </c>
      <c r="J56"/>
      <c r="L56" s="25">
        <v>1</v>
      </c>
      <c r="M56">
        <v>2</v>
      </c>
      <c r="N56">
        <v>0</v>
      </c>
      <c r="T56" s="25">
        <v>3.9086759899999999</v>
      </c>
      <c r="U56" s="25">
        <v>3.908676100000001</v>
      </c>
      <c r="V56" s="25">
        <v>10.552604730000001</v>
      </c>
      <c r="W56">
        <v>3.899</v>
      </c>
      <c r="X56">
        <v>3.899</v>
      </c>
      <c r="Y56">
        <v>20.399989999999999</v>
      </c>
      <c r="Z56">
        <v>0</v>
      </c>
      <c r="AA56"/>
      <c r="AB56"/>
      <c r="AC56" s="2" t="s">
        <v>464</v>
      </c>
      <c r="AD56">
        <v>14</v>
      </c>
      <c r="AE56" s="55">
        <f t="shared" si="0"/>
        <v>0</v>
      </c>
      <c r="AF56" s="57">
        <v>155.59136328639269</v>
      </c>
      <c r="AG56" s="55">
        <v>310.12474837798999</v>
      </c>
      <c r="AH56" s="55">
        <v>0</v>
      </c>
      <c r="AI56" s="52"/>
      <c r="AJ56" s="51">
        <v>8.9979287437893268E-2</v>
      </c>
      <c r="AK56" s="52">
        <v>9.0286248183820222E-2</v>
      </c>
      <c r="AL56" s="52"/>
      <c r="AM56" s="28">
        <v>2</v>
      </c>
      <c r="AN56" s="28">
        <v>2.333333333333333</v>
      </c>
      <c r="AO56" s="28">
        <v>0.33333333333333331</v>
      </c>
      <c r="AP56" s="28">
        <v>0</v>
      </c>
      <c r="AQ56" s="28">
        <v>0.42857142857142849</v>
      </c>
      <c r="AR56" s="28">
        <v>0.5</v>
      </c>
      <c r="AS56" s="28">
        <v>7.1428571428571425E-2</v>
      </c>
      <c r="AT56" s="28">
        <v>0</v>
      </c>
      <c r="AU56" s="25">
        <v>0.95</v>
      </c>
      <c r="AV56" s="25">
        <v>3.44</v>
      </c>
      <c r="AW56" s="25">
        <v>2.4900000000000002</v>
      </c>
      <c r="AX56" s="25">
        <v>2.500833333333333</v>
      </c>
      <c r="AY56">
        <v>2.500833333333333</v>
      </c>
      <c r="AZ56">
        <v>5.6917605187500007</v>
      </c>
      <c r="BA56" s="75">
        <v>0.58499657192886345</v>
      </c>
      <c r="BB56" s="75">
        <v>0.58699226437317098</v>
      </c>
      <c r="BE56">
        <v>4.4989643718946627E-2</v>
      </c>
      <c r="BF56">
        <v>4.5143124091910111E-2</v>
      </c>
      <c r="BH56">
        <v>9.0132767810856745E-2</v>
      </c>
      <c r="BI56">
        <v>4.5066383905428373E-2</v>
      </c>
      <c r="BJ56">
        <v>0.58599441815101727</v>
      </c>
    </row>
    <row r="57" spans="1:62" x14ac:dyDescent="0.3">
      <c r="A57" s="2" t="s">
        <v>45</v>
      </c>
      <c r="B57" s="13" t="s">
        <v>721</v>
      </c>
      <c r="C57" s="13"/>
      <c r="F57" s="2">
        <v>3.3</v>
      </c>
      <c r="G57" s="2" t="s">
        <v>36</v>
      </c>
      <c r="H57" s="9" t="s">
        <v>550</v>
      </c>
      <c r="I57">
        <v>-1</v>
      </c>
      <c r="J57"/>
      <c r="L57" s="25">
        <v>1</v>
      </c>
      <c r="M57">
        <v>0</v>
      </c>
      <c r="N57">
        <v>0</v>
      </c>
      <c r="T57" s="25">
        <v>3.91068857</v>
      </c>
      <c r="U57" s="25">
        <v>3.9106874500000002</v>
      </c>
      <c r="V57" s="25">
        <v>14.360376649999999</v>
      </c>
      <c r="W57">
        <v>0</v>
      </c>
      <c r="X57"/>
      <c r="Y57"/>
      <c r="Z57">
        <v>0</v>
      </c>
      <c r="AA57"/>
      <c r="AB57"/>
      <c r="AC57" s="2" t="s">
        <v>464</v>
      </c>
      <c r="AD57">
        <v>20</v>
      </c>
      <c r="AE57" s="55">
        <f t="shared" si="0"/>
        <v>0</v>
      </c>
      <c r="AF57" s="57">
        <v>215.5098899352688</v>
      </c>
      <c r="AG57" s="55">
        <v>0</v>
      </c>
      <c r="AH57" s="55">
        <v>0</v>
      </c>
      <c r="AI57" s="52"/>
      <c r="AJ57" s="51">
        <v>9.2803165580972902E-2</v>
      </c>
      <c r="AK57" s="52"/>
      <c r="AL57" s="52"/>
      <c r="AM57" s="28">
        <v>2</v>
      </c>
      <c r="AN57" s="28">
        <v>2.3529411764705879</v>
      </c>
      <c r="AO57" s="28">
        <v>0.35294117647058831</v>
      </c>
      <c r="AP57" s="28">
        <v>0</v>
      </c>
      <c r="AQ57" s="28">
        <v>0.42499999999999999</v>
      </c>
      <c r="AR57" s="28">
        <v>0.5</v>
      </c>
      <c r="AS57" s="28">
        <v>7.4999999999999997E-2</v>
      </c>
      <c r="AT57" s="28">
        <v>0</v>
      </c>
      <c r="AU57" s="25">
        <v>0.95</v>
      </c>
      <c r="AV57" s="25">
        <v>3.44</v>
      </c>
      <c r="AW57" s="25">
        <v>2.4900000000000002</v>
      </c>
      <c r="AX57" s="25">
        <v>2.518823529411764</v>
      </c>
      <c r="AY57">
        <v>2.5188235294117649</v>
      </c>
      <c r="AZ57">
        <v>5.720303876470588</v>
      </c>
      <c r="BA57" s="75">
        <v>0.59173155274922506</v>
      </c>
      <c r="BE57">
        <v>4.6401582790486458E-2</v>
      </c>
      <c r="BH57">
        <v>9.2803165580972902E-2</v>
      </c>
      <c r="BI57">
        <v>4.6401582790486458E-2</v>
      </c>
      <c r="BJ57">
        <v>0.59173155274922506</v>
      </c>
    </row>
    <row r="58" spans="1:62" x14ac:dyDescent="0.3">
      <c r="A58" s="2" t="s">
        <v>46</v>
      </c>
      <c r="B58" s="13" t="s">
        <v>722</v>
      </c>
      <c r="C58" s="13"/>
      <c r="F58" s="2">
        <v>3.8</v>
      </c>
      <c r="G58" s="2" t="s">
        <v>36</v>
      </c>
      <c r="H58" s="9" t="s">
        <v>551</v>
      </c>
      <c r="I58" t="s">
        <v>629</v>
      </c>
      <c r="J58"/>
      <c r="L58" s="25">
        <v>2</v>
      </c>
      <c r="M58">
        <v>4</v>
      </c>
      <c r="N58">
        <v>0</v>
      </c>
      <c r="T58" s="25">
        <v>7.41544296</v>
      </c>
      <c r="U58" s="25">
        <v>7.4154429599999991</v>
      </c>
      <c r="V58" s="25">
        <v>7.41544296</v>
      </c>
      <c r="W58">
        <v>7.8</v>
      </c>
      <c r="X58">
        <v>13.010999999999999</v>
      </c>
      <c r="Y58">
        <v>5.5460000000000003</v>
      </c>
      <c r="Z58">
        <v>0</v>
      </c>
      <c r="AA58"/>
      <c r="AB58"/>
      <c r="AC58" s="2" t="s">
        <v>464</v>
      </c>
      <c r="AD58">
        <v>14</v>
      </c>
      <c r="AE58" s="55">
        <f t="shared" si="0"/>
        <v>0</v>
      </c>
      <c r="AF58" s="57">
        <v>288.33429290182369</v>
      </c>
      <c r="AG58" s="55">
        <v>556.51188553357167</v>
      </c>
      <c r="AH58" s="55">
        <v>0</v>
      </c>
      <c r="AI58" s="52"/>
      <c r="AJ58" s="51">
        <v>9.7109503410799117E-2</v>
      </c>
      <c r="AK58" s="52">
        <v>0.10062678166578309</v>
      </c>
      <c r="AL58" s="52"/>
      <c r="AM58" s="28">
        <v>2</v>
      </c>
      <c r="AN58" s="28">
        <v>2.545454545454545</v>
      </c>
      <c r="AO58" s="28">
        <v>0.54545454545454541</v>
      </c>
      <c r="AP58" s="28">
        <v>0</v>
      </c>
      <c r="AQ58" s="28">
        <v>0.39285714285714279</v>
      </c>
      <c r="AR58" s="28">
        <v>0.5</v>
      </c>
      <c r="AS58" s="28">
        <v>0.1071428571428571</v>
      </c>
      <c r="AT58" s="28">
        <v>0</v>
      </c>
      <c r="AU58" s="25">
        <v>1.1000000000000001</v>
      </c>
      <c r="AV58" s="25">
        <v>3.44</v>
      </c>
      <c r="AW58" s="25">
        <v>2.34</v>
      </c>
      <c r="AX58" s="25">
        <v>2.669090909090909</v>
      </c>
      <c r="AY58">
        <v>2.669090909090909</v>
      </c>
      <c r="AZ58">
        <v>5.9831974772727277</v>
      </c>
      <c r="BA58" s="75">
        <v>0.52442413903612473</v>
      </c>
      <c r="BB58" s="75">
        <v>0.54341863036636606</v>
      </c>
      <c r="BE58">
        <v>4.8554751705399558E-2</v>
      </c>
      <c r="BF58">
        <v>5.0313390832891547E-2</v>
      </c>
      <c r="BH58">
        <v>9.8868142538291098E-2</v>
      </c>
      <c r="BI58">
        <v>4.9434071269145549E-2</v>
      </c>
      <c r="BJ58">
        <v>0.53392138470124539</v>
      </c>
    </row>
    <row r="59" spans="1:62" x14ac:dyDescent="0.3">
      <c r="A59" s="2" t="s">
        <v>47</v>
      </c>
      <c r="B59" s="13" t="s">
        <v>723</v>
      </c>
      <c r="C59" s="13"/>
      <c r="F59" s="2">
        <v>3.8</v>
      </c>
      <c r="G59" s="2" t="s">
        <v>36</v>
      </c>
      <c r="H59" s="9">
        <v>-1</v>
      </c>
      <c r="I59">
        <v>-1</v>
      </c>
      <c r="J59" t="s">
        <v>1152</v>
      </c>
      <c r="L59" s="25">
        <v>0</v>
      </c>
      <c r="M59">
        <v>0</v>
      </c>
      <c r="N59">
        <v>2</v>
      </c>
      <c r="T59" s="25">
        <v>0</v>
      </c>
      <c r="U59" s="25"/>
      <c r="V59" s="25"/>
      <c r="W59">
        <v>0</v>
      </c>
      <c r="X59"/>
      <c r="Y59"/>
      <c r="Z59">
        <v>5.5170000000000003</v>
      </c>
      <c r="AA59">
        <v>31.274999999999999</v>
      </c>
      <c r="AB59">
        <v>3.8942000000000001</v>
      </c>
      <c r="AC59" s="2" t="s">
        <v>464</v>
      </c>
      <c r="AD59">
        <v>34</v>
      </c>
      <c r="AE59" s="55">
        <f t="shared" si="0"/>
        <v>0</v>
      </c>
      <c r="AF59" s="57">
        <v>0</v>
      </c>
      <c r="AG59" s="55">
        <v>0</v>
      </c>
      <c r="AH59" s="55">
        <v>671.92152628500003</v>
      </c>
      <c r="AI59" s="52"/>
      <c r="AJ59" s="51"/>
      <c r="AK59" s="52"/>
      <c r="AL59" s="52">
        <v>0.1012022942261822</v>
      </c>
      <c r="AM59" s="28">
        <v>2</v>
      </c>
      <c r="AN59" s="28">
        <v>2.518518518518519</v>
      </c>
      <c r="AO59" s="28">
        <v>0.51851851851851849</v>
      </c>
      <c r="AP59" s="28">
        <v>0</v>
      </c>
      <c r="AQ59" s="28">
        <v>0.39705882352941169</v>
      </c>
      <c r="AR59" s="28">
        <v>0.5</v>
      </c>
      <c r="AS59" s="28">
        <v>0.1029411764705882</v>
      </c>
      <c r="AT59" s="28">
        <v>0</v>
      </c>
      <c r="AU59" s="25">
        <v>1</v>
      </c>
      <c r="AV59" s="25">
        <v>3.44</v>
      </c>
      <c r="AW59" s="25">
        <v>2.44</v>
      </c>
      <c r="AX59" s="25">
        <v>2.6511111111111112</v>
      </c>
      <c r="AY59">
        <v>2.6511111111111112</v>
      </c>
      <c r="AZ59">
        <v>5.9544359512962952</v>
      </c>
      <c r="BG59">
        <v>5.0601147113091112E-2</v>
      </c>
      <c r="BH59">
        <v>0.1012022942261822</v>
      </c>
      <c r="BI59">
        <v>5.0601147113091112E-2</v>
      </c>
      <c r="BJ59">
        <v>0</v>
      </c>
    </row>
    <row r="60" spans="1:62" x14ac:dyDescent="0.3">
      <c r="A60" s="2" t="s">
        <v>40</v>
      </c>
      <c r="B60" s="13" t="s">
        <v>716</v>
      </c>
      <c r="C60" s="13"/>
      <c r="F60" s="2">
        <v>3.85</v>
      </c>
      <c r="G60" s="2" t="s">
        <v>36</v>
      </c>
      <c r="H60" s="9" t="s">
        <v>546</v>
      </c>
      <c r="I60" t="s">
        <v>627</v>
      </c>
      <c r="J60"/>
      <c r="L60" s="25">
        <v>2</v>
      </c>
      <c r="M60">
        <v>2</v>
      </c>
      <c r="N60">
        <v>0</v>
      </c>
      <c r="T60" s="25">
        <v>5.6269875200000001</v>
      </c>
      <c r="U60" s="25">
        <v>5.6269875200000001</v>
      </c>
      <c r="V60" s="25">
        <v>22.749475</v>
      </c>
      <c r="W60">
        <v>5.5670999999999999</v>
      </c>
      <c r="X60">
        <v>5.5670999999999999</v>
      </c>
      <c r="Y60">
        <v>22.4603</v>
      </c>
      <c r="Z60">
        <v>0</v>
      </c>
      <c r="AA60"/>
      <c r="AB60"/>
      <c r="AC60" s="2" t="s">
        <v>464</v>
      </c>
      <c r="AD60">
        <v>30</v>
      </c>
      <c r="AE60" s="55">
        <f t="shared" si="0"/>
        <v>0</v>
      </c>
      <c r="AF60" s="57">
        <v>623.81230762201892</v>
      </c>
      <c r="AG60" s="55">
        <v>602.84300974379039</v>
      </c>
      <c r="AH60" s="55">
        <v>0</v>
      </c>
      <c r="AI60" s="52"/>
      <c r="AJ60" s="51">
        <v>9.6182776881592519E-2</v>
      </c>
      <c r="AK60" s="52">
        <v>9.9528399650018556E-2</v>
      </c>
      <c r="AL60" s="52"/>
      <c r="AM60" s="28">
        <v>2</v>
      </c>
      <c r="AN60" s="28">
        <v>2.5</v>
      </c>
      <c r="AO60" s="28">
        <v>0.5</v>
      </c>
      <c r="AP60" s="28">
        <v>0</v>
      </c>
      <c r="AQ60" s="28">
        <v>0.4</v>
      </c>
      <c r="AR60" s="28">
        <v>0.5</v>
      </c>
      <c r="AS60" s="28">
        <v>0.1</v>
      </c>
      <c r="AT60" s="28">
        <v>0</v>
      </c>
      <c r="AU60" s="25">
        <v>0.89</v>
      </c>
      <c r="AV60" s="25">
        <v>3.44</v>
      </c>
      <c r="AW60" s="25">
        <v>2.5499999999999998</v>
      </c>
      <c r="AX60" s="25">
        <v>2.6270833333333332</v>
      </c>
      <c r="AY60">
        <v>2.6270833333333332</v>
      </c>
      <c r="AZ60">
        <v>5.9103362479166668</v>
      </c>
      <c r="BA60" s="75">
        <v>0.55608047790729209</v>
      </c>
      <c r="BB60" s="75">
        <v>0</v>
      </c>
      <c r="BE60">
        <v>4.8091388440796259E-2</v>
      </c>
      <c r="BF60">
        <v>4.9764199825009278E-2</v>
      </c>
      <c r="BH60">
        <v>9.7855588265805538E-2</v>
      </c>
      <c r="BI60">
        <v>4.8927794132902769E-2</v>
      </c>
      <c r="BJ60">
        <v>0.27804023895364599</v>
      </c>
    </row>
    <row r="61" spans="1:62" x14ac:dyDescent="0.3">
      <c r="A61" s="2" t="s">
        <v>48</v>
      </c>
      <c r="B61" s="13" t="s">
        <v>724</v>
      </c>
      <c r="C61" s="13"/>
      <c r="F61" s="2">
        <v>4.3</v>
      </c>
      <c r="G61" s="2" t="s">
        <v>36</v>
      </c>
      <c r="H61" s="9" t="s">
        <v>552</v>
      </c>
      <c r="I61" t="s">
        <v>630</v>
      </c>
      <c r="J61"/>
      <c r="L61" s="25">
        <v>2</v>
      </c>
      <c r="M61">
        <v>8</v>
      </c>
      <c r="N61">
        <v>0</v>
      </c>
      <c r="T61" s="25">
        <v>7.4836094600000003</v>
      </c>
      <c r="U61" s="25">
        <v>7.4836094600000003</v>
      </c>
      <c r="V61" s="25">
        <v>7.4836094600000003</v>
      </c>
      <c r="W61">
        <v>10.34</v>
      </c>
      <c r="X61">
        <v>10.34</v>
      </c>
      <c r="Y61">
        <v>10.34</v>
      </c>
      <c r="Z61">
        <v>0</v>
      </c>
      <c r="AA61"/>
      <c r="AB61"/>
      <c r="AC61" s="2" t="s">
        <v>464</v>
      </c>
      <c r="AD61">
        <v>14</v>
      </c>
      <c r="AE61" s="55">
        <f t="shared" si="0"/>
        <v>0</v>
      </c>
      <c r="AF61" s="57">
        <v>296.35915518228359</v>
      </c>
      <c r="AG61" s="55">
        <v>1105.507304</v>
      </c>
      <c r="AH61" s="55">
        <v>0</v>
      </c>
      <c r="AI61" s="52"/>
      <c r="AJ61" s="51">
        <v>9.4479956196318104E-2</v>
      </c>
      <c r="AK61" s="52">
        <v>0.1013109543417363</v>
      </c>
      <c r="AL61" s="52"/>
      <c r="AM61" s="28">
        <v>1.8181818181818179</v>
      </c>
      <c r="AN61" s="28">
        <v>2.545454545454545</v>
      </c>
      <c r="AO61" s="28">
        <v>0.72727272727272729</v>
      </c>
      <c r="AP61" s="28">
        <v>0</v>
      </c>
      <c r="AQ61" s="28">
        <v>0.35714285714285721</v>
      </c>
      <c r="AR61" s="28">
        <v>0.5</v>
      </c>
      <c r="AS61" s="28">
        <v>0.1428571428571429</v>
      </c>
      <c r="AT61" s="28">
        <v>0</v>
      </c>
      <c r="AU61" s="25">
        <v>1</v>
      </c>
      <c r="AV61" s="25">
        <v>3.44</v>
      </c>
      <c r="AW61" s="25">
        <v>2.44</v>
      </c>
      <c r="AX61" s="25">
        <v>2.6618181818181821</v>
      </c>
      <c r="AY61">
        <v>2.6618181818181821</v>
      </c>
      <c r="AZ61">
        <v>6.0537295018181814</v>
      </c>
      <c r="BA61" s="75">
        <v>0.50642227837041764</v>
      </c>
      <c r="BB61" s="75">
        <v>0.5430371307011983</v>
      </c>
      <c r="BE61">
        <v>4.7239978098159073E-2</v>
      </c>
      <c r="BF61">
        <v>5.0655477170868157E-2</v>
      </c>
      <c r="BH61">
        <v>9.789545526902721E-2</v>
      </c>
      <c r="BI61">
        <v>4.8947727634513619E-2</v>
      </c>
      <c r="BJ61">
        <v>0.52472970453580792</v>
      </c>
    </row>
    <row r="62" spans="1:62" x14ac:dyDescent="0.3">
      <c r="A62" s="2" t="s">
        <v>49</v>
      </c>
      <c r="B62" s="13" t="s">
        <v>725</v>
      </c>
      <c r="C62" s="13"/>
      <c r="F62" s="2">
        <v>4</v>
      </c>
      <c r="G62" s="2" t="s">
        <v>36</v>
      </c>
      <c r="H62" s="9" t="s">
        <v>553</v>
      </c>
      <c r="I62" t="s">
        <v>631</v>
      </c>
      <c r="J62"/>
      <c r="L62" s="25">
        <v>8</v>
      </c>
      <c r="M62">
        <v>8</v>
      </c>
      <c r="N62">
        <v>0</v>
      </c>
      <c r="T62" s="25">
        <v>5.8017180100000001</v>
      </c>
      <c r="U62" s="25">
        <v>7.9756520899999996</v>
      </c>
      <c r="V62" s="25">
        <v>27.352093400000001</v>
      </c>
      <c r="W62">
        <v>26.646989999999999</v>
      </c>
      <c r="X62">
        <v>7.9359999999999999</v>
      </c>
      <c r="Y62">
        <v>5.7050000000000001</v>
      </c>
      <c r="Z62">
        <v>0</v>
      </c>
      <c r="AA62"/>
      <c r="AB62"/>
      <c r="AC62" s="2" t="s">
        <v>464</v>
      </c>
      <c r="AD62">
        <v>14</v>
      </c>
      <c r="AE62" s="55">
        <f t="shared" si="0"/>
        <v>0</v>
      </c>
      <c r="AF62" s="57">
        <v>1265.6493143942739</v>
      </c>
      <c r="AG62" s="55">
        <v>1206.4392746112001</v>
      </c>
      <c r="AH62" s="55">
        <v>0</v>
      </c>
      <c r="AI62" s="52"/>
      <c r="AJ62" s="51">
        <v>8.8492127105210025E-2</v>
      </c>
      <c r="AK62" s="52">
        <v>9.2835174017436004E-2</v>
      </c>
      <c r="AL62" s="52"/>
      <c r="AM62" s="28">
        <v>1.8181818181818179</v>
      </c>
      <c r="AN62" s="28">
        <v>2.545454545454545</v>
      </c>
      <c r="AO62" s="28">
        <v>0.72727272727272729</v>
      </c>
      <c r="AP62" s="28">
        <v>0</v>
      </c>
      <c r="AQ62" s="28">
        <v>0.35714285714285721</v>
      </c>
      <c r="AR62" s="28">
        <v>0.5</v>
      </c>
      <c r="AS62" s="28">
        <v>0.1428571428571429</v>
      </c>
      <c r="AT62" s="28">
        <v>0</v>
      </c>
      <c r="AU62" s="25">
        <v>0.95</v>
      </c>
      <c r="AV62" s="25">
        <v>3.44</v>
      </c>
      <c r="AW62" s="25">
        <v>2.4900000000000002</v>
      </c>
      <c r="AX62" s="25">
        <v>2.6527272727272719</v>
      </c>
      <c r="AY62">
        <v>2.6527272727272728</v>
      </c>
      <c r="AZ62">
        <v>6.0182046818181814</v>
      </c>
      <c r="BA62" s="75">
        <v>0.5176653673612065</v>
      </c>
      <c r="BB62" s="75">
        <v>0.54307152550012683</v>
      </c>
      <c r="BE62">
        <v>4.4246063552605013E-2</v>
      </c>
      <c r="BF62">
        <v>4.6417587008717988E-2</v>
      </c>
      <c r="BH62">
        <v>9.0663650561323014E-2</v>
      </c>
      <c r="BI62">
        <v>4.53318252806615E-2</v>
      </c>
      <c r="BJ62">
        <v>0.53036844643066661</v>
      </c>
    </row>
    <row r="63" spans="1:62" x14ac:dyDescent="0.3">
      <c r="A63" s="2" t="s">
        <v>38</v>
      </c>
      <c r="B63" s="13" t="s">
        <v>714</v>
      </c>
      <c r="C63" s="13"/>
      <c r="F63" s="2">
        <v>3.91</v>
      </c>
      <c r="G63" s="2" t="s">
        <v>36</v>
      </c>
      <c r="H63" s="9" t="s">
        <v>545</v>
      </c>
      <c r="I63" t="s">
        <v>626</v>
      </c>
      <c r="J63"/>
      <c r="L63" s="25">
        <v>1</v>
      </c>
      <c r="M63">
        <v>1</v>
      </c>
      <c r="N63">
        <v>0</v>
      </c>
      <c r="T63" s="25">
        <v>5.8532381300000003</v>
      </c>
      <c r="U63" s="25">
        <v>5.8532371599999999</v>
      </c>
      <c r="V63" s="25">
        <v>11.912811489999999</v>
      </c>
      <c r="W63">
        <v>5.7946</v>
      </c>
      <c r="X63">
        <v>5.7946</v>
      </c>
      <c r="Y63">
        <v>11.787599999999999</v>
      </c>
      <c r="Z63">
        <v>0</v>
      </c>
      <c r="AA63"/>
      <c r="AB63"/>
      <c r="AC63" s="2" t="s">
        <v>464</v>
      </c>
      <c r="AD63">
        <v>30</v>
      </c>
      <c r="AE63" s="55">
        <f t="shared" si="0"/>
        <v>0</v>
      </c>
      <c r="AF63" s="57">
        <v>353.45760058531442</v>
      </c>
      <c r="AG63" s="55">
        <v>342.77011164986573</v>
      </c>
      <c r="AH63" s="55">
        <v>0</v>
      </c>
      <c r="AI63" s="52"/>
      <c r="AJ63" s="51">
        <v>8.487580957467307E-2</v>
      </c>
      <c r="AK63" s="52">
        <v>8.752221672887435E-2</v>
      </c>
      <c r="AL63" s="52"/>
      <c r="AM63" s="28">
        <v>1.833333333333333</v>
      </c>
      <c r="AN63" s="28">
        <v>2.5</v>
      </c>
      <c r="AO63" s="28">
        <v>0.66666666666666663</v>
      </c>
      <c r="AP63" s="28">
        <v>0</v>
      </c>
      <c r="AQ63" s="28">
        <v>0.36666666666666659</v>
      </c>
      <c r="AR63" s="28">
        <v>0.5</v>
      </c>
      <c r="AS63" s="28">
        <v>0.1333333333333333</v>
      </c>
      <c r="AT63" s="28">
        <v>0</v>
      </c>
      <c r="AU63" s="25">
        <v>0.89</v>
      </c>
      <c r="AV63" s="25">
        <v>3.44</v>
      </c>
      <c r="AW63" s="25">
        <v>2.5499999999999998</v>
      </c>
      <c r="AX63" s="25">
        <v>2.6020833333333329</v>
      </c>
      <c r="AY63">
        <v>2.6020833333333329</v>
      </c>
      <c r="AZ63">
        <v>5.9098726145833336</v>
      </c>
      <c r="BA63" s="75">
        <v>0.57410011132036598</v>
      </c>
      <c r="BB63" s="75">
        <v>0.59200041353179045</v>
      </c>
      <c r="BE63">
        <v>4.2437904787336528E-2</v>
      </c>
      <c r="BF63">
        <v>4.3761108364437168E-2</v>
      </c>
      <c r="BH63">
        <v>8.619901315177371E-2</v>
      </c>
      <c r="BI63">
        <v>4.3099506575886848E-2</v>
      </c>
      <c r="BJ63">
        <v>0.58305026242607827</v>
      </c>
    </row>
    <row r="64" spans="1:62" x14ac:dyDescent="0.3">
      <c r="A64" s="2" t="s">
        <v>51</v>
      </c>
      <c r="B64" s="13" t="s">
        <v>703</v>
      </c>
      <c r="C64" s="13"/>
      <c r="F64" s="2">
        <v>5.5</v>
      </c>
      <c r="G64" s="2" t="s">
        <v>52</v>
      </c>
      <c r="H64" s="9" t="s">
        <v>536</v>
      </c>
      <c r="I64" t="s">
        <v>617</v>
      </c>
      <c r="J64"/>
      <c r="L64" s="25">
        <v>1</v>
      </c>
      <c r="M64">
        <v>4</v>
      </c>
      <c r="N64">
        <v>0</v>
      </c>
      <c r="T64" s="25">
        <v>12.88926011</v>
      </c>
      <c r="U64" s="25">
        <v>12.88926011</v>
      </c>
      <c r="V64" s="25">
        <v>12.88926011</v>
      </c>
      <c r="W64">
        <v>5.5223699999999996</v>
      </c>
      <c r="X64">
        <v>5.5240799999999997</v>
      </c>
      <c r="Y64">
        <v>25.026399999999999</v>
      </c>
      <c r="Z64">
        <v>0</v>
      </c>
      <c r="AA64"/>
      <c r="AB64"/>
      <c r="AC64" s="2" t="s">
        <v>464</v>
      </c>
      <c r="AD64">
        <v>18</v>
      </c>
      <c r="AE64" s="55">
        <f t="shared" si="0"/>
        <v>0</v>
      </c>
      <c r="AF64" s="57">
        <v>195.03203980213701</v>
      </c>
      <c r="AG64" s="55">
        <v>763.45570050087724</v>
      </c>
      <c r="AH64" s="55">
        <v>0</v>
      </c>
      <c r="AI64" s="52"/>
      <c r="AJ64" s="51">
        <v>9.2292528029042184E-2</v>
      </c>
      <c r="AK64" s="52">
        <v>9.4308025930991482E-2</v>
      </c>
      <c r="AL64" s="52"/>
      <c r="AM64" s="28">
        <v>2</v>
      </c>
      <c r="AN64" s="28">
        <v>3</v>
      </c>
      <c r="AO64" s="28">
        <v>1.857142857142857</v>
      </c>
      <c r="AP64" s="28">
        <v>4</v>
      </c>
      <c r="AQ64" s="28">
        <v>0.18421052631578949</v>
      </c>
      <c r="AR64" s="28">
        <v>0.27631578947368418</v>
      </c>
      <c r="AS64" s="28">
        <v>0.1710526315789474</v>
      </c>
      <c r="AT64" s="28">
        <v>0.36842105263157893</v>
      </c>
      <c r="AU64" s="25">
        <v>0.95</v>
      </c>
      <c r="AV64" s="25">
        <v>3.44</v>
      </c>
      <c r="AW64" s="25">
        <v>2.4900000000000002</v>
      </c>
      <c r="AX64" s="25">
        <v>2.782142857142857</v>
      </c>
      <c r="AY64">
        <v>2.7821428571428579</v>
      </c>
      <c r="AZ64">
        <v>6.2021612289285706</v>
      </c>
      <c r="BA64" s="75">
        <v>0.52524560229640982</v>
      </c>
      <c r="BB64" s="75">
        <v>0.53671599358424449</v>
      </c>
      <c r="BE64">
        <v>4.6146264014521092E-2</v>
      </c>
      <c r="BF64">
        <v>4.7154012965495741E-2</v>
      </c>
      <c r="BH64">
        <v>9.3300276980016833E-2</v>
      </c>
      <c r="BI64">
        <v>4.6650138490008423E-2</v>
      </c>
      <c r="BJ64">
        <v>0.53098079794032715</v>
      </c>
    </row>
    <row r="65" spans="1:62" x14ac:dyDescent="0.3">
      <c r="A65" s="2" t="s">
        <v>53</v>
      </c>
      <c r="B65" s="13" t="s">
        <v>726</v>
      </c>
      <c r="C65" s="13"/>
      <c r="F65" s="2">
        <v>1.96</v>
      </c>
      <c r="G65" s="2" t="s">
        <v>54</v>
      </c>
      <c r="H65" s="9" t="s">
        <v>554</v>
      </c>
      <c r="I65">
        <v>-1</v>
      </c>
      <c r="J65"/>
      <c r="L65" s="25">
        <v>1</v>
      </c>
      <c r="M65">
        <v>0</v>
      </c>
      <c r="N65">
        <v>0</v>
      </c>
      <c r="R65" s="2" t="s">
        <v>444</v>
      </c>
      <c r="T65" s="25">
        <v>5.6904349999999999</v>
      </c>
      <c r="U65" s="25">
        <v>5.6904349999999999</v>
      </c>
      <c r="V65" s="25">
        <v>4.0362910000000003</v>
      </c>
      <c r="W65">
        <v>0</v>
      </c>
      <c r="X65"/>
      <c r="Y65"/>
      <c r="Z65">
        <v>0</v>
      </c>
      <c r="AA65"/>
      <c r="AB65"/>
      <c r="AC65" s="2" t="s">
        <v>464</v>
      </c>
      <c r="AD65">
        <v>12</v>
      </c>
      <c r="AE65" s="55">
        <f t="shared" si="0"/>
        <v>0</v>
      </c>
      <c r="AF65" s="57">
        <v>130.69934266020451</v>
      </c>
      <c r="AG65" s="55">
        <v>0</v>
      </c>
      <c r="AH65" s="55">
        <v>0</v>
      </c>
      <c r="AI65" s="52"/>
      <c r="AJ65" s="51">
        <v>9.1813774696617348E-2</v>
      </c>
      <c r="AK65" s="52"/>
      <c r="AL65" s="52"/>
      <c r="AM65" s="28">
        <v>2</v>
      </c>
      <c r="AN65" s="28">
        <v>2.6</v>
      </c>
      <c r="AO65" s="28">
        <v>1.6</v>
      </c>
      <c r="AP65" s="28">
        <v>0</v>
      </c>
      <c r="AQ65" s="28">
        <v>0.32258064516129031</v>
      </c>
      <c r="AR65" s="28">
        <v>0.41935483870967738</v>
      </c>
      <c r="AS65" s="28">
        <v>0.25806451612903231</v>
      </c>
      <c r="AT65" s="28">
        <v>0</v>
      </c>
      <c r="AU65" s="25">
        <v>0.95</v>
      </c>
      <c r="AV65" s="25">
        <v>3.44</v>
      </c>
      <c r="AW65" s="25">
        <v>2.4900000000000002</v>
      </c>
      <c r="AX65" s="25">
        <v>2.633</v>
      </c>
      <c r="AY65">
        <v>2.633</v>
      </c>
      <c r="AZ65">
        <v>5.9240260669999998</v>
      </c>
      <c r="BA65" s="75">
        <v>0</v>
      </c>
      <c r="BE65">
        <v>4.5906887348308653E-2</v>
      </c>
      <c r="BH65">
        <v>9.1813774696617348E-2</v>
      </c>
      <c r="BI65">
        <v>4.5906887348308653E-2</v>
      </c>
      <c r="BJ65">
        <v>0</v>
      </c>
    </row>
    <row r="66" spans="1:62" x14ac:dyDescent="0.3">
      <c r="A66" s="2" t="s">
        <v>44</v>
      </c>
      <c r="B66" s="13" t="s">
        <v>720</v>
      </c>
      <c r="C66" s="13"/>
      <c r="F66" s="2">
        <v>3.63</v>
      </c>
      <c r="G66" s="2" t="s">
        <v>55</v>
      </c>
      <c r="H66" s="9" t="s">
        <v>549</v>
      </c>
      <c r="I66">
        <v>-1</v>
      </c>
      <c r="J66"/>
      <c r="L66" s="25">
        <v>1</v>
      </c>
      <c r="M66">
        <v>0</v>
      </c>
      <c r="N66">
        <v>0</v>
      </c>
      <c r="O66" s="2">
        <v>3.8769</v>
      </c>
      <c r="P66" s="2">
        <v>3.8769</v>
      </c>
      <c r="Q66" s="2">
        <v>29.824000000000002</v>
      </c>
      <c r="R66" s="2" t="s">
        <v>440</v>
      </c>
      <c r="T66" s="25">
        <v>15.28115725</v>
      </c>
      <c r="U66" s="25">
        <v>15.28115725</v>
      </c>
      <c r="V66" s="25">
        <v>15.28115725</v>
      </c>
      <c r="W66">
        <v>0</v>
      </c>
      <c r="X66"/>
      <c r="Y66"/>
      <c r="Z66">
        <v>0</v>
      </c>
      <c r="AA66"/>
      <c r="AB66"/>
      <c r="AC66" s="2" t="s">
        <v>464</v>
      </c>
      <c r="AD66">
        <v>20</v>
      </c>
      <c r="AE66" s="55">
        <f t="shared" si="0"/>
        <v>448.26526606464006</v>
      </c>
      <c r="AF66" s="57">
        <v>229.90248606119221</v>
      </c>
      <c r="AG66" s="55">
        <v>0</v>
      </c>
      <c r="AH66" s="55">
        <v>0</v>
      </c>
      <c r="AI66" s="52"/>
      <c r="AJ66" s="51">
        <v>8.6993404650164072E-2</v>
      </c>
      <c r="AK66" s="52"/>
      <c r="AL66" s="52"/>
      <c r="AM66" s="28">
        <v>1.882352941176471</v>
      </c>
      <c r="AN66" s="28">
        <v>2.3529411764705879</v>
      </c>
      <c r="AO66" s="28">
        <v>0.47058823529411759</v>
      </c>
      <c r="AP66" s="28">
        <v>0</v>
      </c>
      <c r="AQ66" s="28">
        <v>0.4</v>
      </c>
      <c r="AR66" s="28">
        <v>0.5</v>
      </c>
      <c r="AS66" s="28">
        <v>9.9999999999999992E-2</v>
      </c>
      <c r="AT66" s="28">
        <v>0</v>
      </c>
      <c r="AU66" s="25">
        <v>0.82</v>
      </c>
      <c r="AV66" s="25">
        <v>3.44</v>
      </c>
      <c r="AW66" s="25">
        <v>2.62</v>
      </c>
      <c r="AX66" s="25">
        <v>2.5211764705882351</v>
      </c>
      <c r="AY66">
        <v>2.521176470588236</v>
      </c>
      <c r="AZ66">
        <v>5.6898745917647062</v>
      </c>
      <c r="BA66" s="75">
        <v>0.57369840599679445</v>
      </c>
      <c r="BE66">
        <v>4.3496702325082043E-2</v>
      </c>
      <c r="BH66">
        <v>8.6993404650164072E-2</v>
      </c>
      <c r="BI66">
        <v>4.3496702325082043E-2</v>
      </c>
      <c r="BJ66">
        <v>0.57369840599679445</v>
      </c>
    </row>
    <row r="67" spans="1:62" x14ac:dyDescent="0.3">
      <c r="A67" s="2" t="s">
        <v>677</v>
      </c>
      <c r="B67" s="17" t="s">
        <v>893</v>
      </c>
      <c r="C67" s="13"/>
      <c r="F67" s="2">
        <v>2.67</v>
      </c>
      <c r="G67" s="2" t="s">
        <v>55</v>
      </c>
      <c r="H67" s="9">
        <v>-1</v>
      </c>
      <c r="I67">
        <v>-1</v>
      </c>
      <c r="J67"/>
      <c r="K67" s="2">
        <v>2</v>
      </c>
      <c r="L67" s="25">
        <v>0</v>
      </c>
      <c r="M67">
        <v>0</v>
      </c>
      <c r="N67">
        <v>0</v>
      </c>
      <c r="O67" s="2">
        <v>3.8079999999999998</v>
      </c>
      <c r="P67" s="2">
        <v>3.8079999999999998</v>
      </c>
      <c r="Q67" s="2">
        <v>28.87</v>
      </c>
      <c r="R67" s="2" t="s">
        <v>440</v>
      </c>
      <c r="T67" s="25">
        <v>0</v>
      </c>
      <c r="U67" s="25"/>
      <c r="V67" s="25"/>
      <c r="W67">
        <v>0</v>
      </c>
      <c r="X67"/>
      <c r="Y67"/>
      <c r="Z67">
        <v>0</v>
      </c>
      <c r="AA67"/>
      <c r="AB67"/>
      <c r="AC67" s="2" t="s">
        <v>464</v>
      </c>
      <c r="AD67">
        <v>20</v>
      </c>
      <c r="AE67" s="55">
        <f t="shared" ref="AE67:AE130" si="1">O67*P67*Q67</f>
        <v>418.63994367999999</v>
      </c>
      <c r="AF67" s="57">
        <v>0</v>
      </c>
      <c r="AG67" s="55">
        <v>0</v>
      </c>
      <c r="AH67" s="55">
        <v>0</v>
      </c>
      <c r="AI67" s="52">
        <f>K67*AD67/AE67</f>
        <v>9.5547499955176765E-2</v>
      </c>
      <c r="AJ67" s="51"/>
      <c r="AK67" s="52"/>
      <c r="AL67" s="52"/>
      <c r="AM67" s="28">
        <v>1.933534743202417</v>
      </c>
      <c r="AN67" s="28">
        <v>2.4712990936555901</v>
      </c>
      <c r="AO67" s="28">
        <v>0.75528700906344426</v>
      </c>
      <c r="AP67" s="28">
        <v>0</v>
      </c>
      <c r="AQ67" s="28">
        <v>0.37470725995316168</v>
      </c>
      <c r="AR67" s="28">
        <v>0.47892271662763469</v>
      </c>
      <c r="AS67" s="28">
        <v>0.1463700234192038</v>
      </c>
      <c r="AT67" s="28">
        <v>0</v>
      </c>
      <c r="AU67" s="25">
        <v>0.82</v>
      </c>
      <c r="AV67" s="25">
        <v>3.44</v>
      </c>
      <c r="AW67" s="25">
        <v>2.62</v>
      </c>
      <c r="AX67" s="25">
        <v>2.673474320241692</v>
      </c>
      <c r="AY67">
        <v>2.673474320241692</v>
      </c>
      <c r="AZ67">
        <v>6.086490604281928</v>
      </c>
      <c r="BD67">
        <v>4.7773749977588383E-2</v>
      </c>
      <c r="BH67">
        <v>9.5547499955176765E-2</v>
      </c>
      <c r="BI67">
        <v>4.7773749977588383E-2</v>
      </c>
      <c r="BJ67">
        <v>0</v>
      </c>
    </row>
    <row r="68" spans="1:62" x14ac:dyDescent="0.3">
      <c r="A68" s="2" t="s">
        <v>44</v>
      </c>
      <c r="B68" s="17" t="s">
        <v>720</v>
      </c>
      <c r="C68" s="13"/>
      <c r="D68" s="2" t="s">
        <v>676</v>
      </c>
      <c r="E68" s="2" t="s">
        <v>1067</v>
      </c>
      <c r="F68" s="2">
        <v>3.59</v>
      </c>
      <c r="G68" s="2" t="s">
        <v>55</v>
      </c>
      <c r="H68" s="9" t="s">
        <v>549</v>
      </c>
      <c r="I68">
        <v>-1</v>
      </c>
      <c r="J68"/>
      <c r="L68" s="25">
        <v>1</v>
      </c>
      <c r="M68">
        <v>0</v>
      </c>
      <c r="N68">
        <v>0</v>
      </c>
      <c r="O68" s="2">
        <f xml:space="preserve"> 3.857</f>
        <v>3.8570000000000002</v>
      </c>
      <c r="P68" s="2">
        <f xml:space="preserve"> 3.857</f>
        <v>3.8570000000000002</v>
      </c>
      <c r="Q68" s="2">
        <v>14.692</v>
      </c>
      <c r="R68" s="2" t="s">
        <v>439</v>
      </c>
      <c r="T68" s="25">
        <v>15.28115725</v>
      </c>
      <c r="U68" s="25">
        <v>15.28115725</v>
      </c>
      <c r="V68" s="25">
        <v>15.28115725</v>
      </c>
      <c r="W68">
        <v>0</v>
      </c>
      <c r="X68"/>
      <c r="Y68"/>
      <c r="Z68">
        <v>0</v>
      </c>
      <c r="AA68"/>
      <c r="AB68"/>
      <c r="AC68" s="2" t="s">
        <v>464</v>
      </c>
      <c r="AD68">
        <v>20</v>
      </c>
      <c r="AE68" s="55">
        <f t="shared" si="1"/>
        <v>218.56478870800001</v>
      </c>
      <c r="AF68" s="57">
        <v>229.90248606119221</v>
      </c>
      <c r="AG68" s="55">
        <v>0</v>
      </c>
      <c r="AH68" s="55">
        <v>0</v>
      </c>
      <c r="AI68" s="52"/>
      <c r="AJ68" s="51">
        <v>8.6993404650164072E-2</v>
      </c>
      <c r="AK68" s="52"/>
      <c r="AL68" s="52"/>
      <c r="AM68" s="28">
        <v>1.882352941176471</v>
      </c>
      <c r="AN68" s="28">
        <v>2.3529411764705879</v>
      </c>
      <c r="AO68" s="28">
        <v>0.47058823529411759</v>
      </c>
      <c r="AP68" s="28">
        <v>0</v>
      </c>
      <c r="AQ68" s="28">
        <v>0.4</v>
      </c>
      <c r="AR68" s="28">
        <v>0.5</v>
      </c>
      <c r="AS68" s="28">
        <v>9.9999999999999992E-2</v>
      </c>
      <c r="AT68" s="28">
        <v>0</v>
      </c>
      <c r="AU68" s="25">
        <v>0.82</v>
      </c>
      <c r="AV68" s="25">
        <v>3.44</v>
      </c>
      <c r="AW68" s="25">
        <v>2.62</v>
      </c>
      <c r="AX68" s="25">
        <v>2.5211764705882351</v>
      </c>
      <c r="AY68">
        <v>2.521176470588236</v>
      </c>
      <c r="AZ68">
        <v>5.6898745917647062</v>
      </c>
      <c r="BA68" s="75">
        <v>0.57369840599679445</v>
      </c>
      <c r="BE68">
        <v>4.3496702325082043E-2</v>
      </c>
      <c r="BH68">
        <v>8.6993404650164072E-2</v>
      </c>
      <c r="BI68">
        <v>4.3496702325082043E-2</v>
      </c>
      <c r="BJ68">
        <v>0.57369840599679445</v>
      </c>
    </row>
    <row r="69" spans="1:62" x14ac:dyDescent="0.3">
      <c r="A69" s="2" t="s">
        <v>107</v>
      </c>
      <c r="B69" s="13" t="s">
        <v>728</v>
      </c>
      <c r="C69" s="13"/>
      <c r="F69" s="2">
        <v>2.34</v>
      </c>
      <c r="G69" s="2" t="s">
        <v>447</v>
      </c>
      <c r="H69" s="9" t="s">
        <v>555</v>
      </c>
      <c r="I69" t="s">
        <v>632</v>
      </c>
      <c r="J69"/>
      <c r="L69" s="25">
        <v>0</v>
      </c>
      <c r="M69">
        <v>4</v>
      </c>
      <c r="N69">
        <v>0</v>
      </c>
      <c r="T69" s="25">
        <v>0</v>
      </c>
      <c r="U69" s="25"/>
      <c r="V69" s="25"/>
      <c r="W69">
        <v>32.83</v>
      </c>
      <c r="X69">
        <v>5.4109999999999996</v>
      </c>
      <c r="Y69">
        <v>5.4480000000000004</v>
      </c>
      <c r="Z69">
        <v>0</v>
      </c>
      <c r="AA69"/>
      <c r="AB69"/>
      <c r="AD69">
        <v>20</v>
      </c>
      <c r="AE69" s="55">
        <f t="shared" si="1"/>
        <v>0</v>
      </c>
      <c r="AF69" s="57">
        <v>0</v>
      </c>
      <c r="AG69" s="55">
        <v>967.79977224000004</v>
      </c>
      <c r="AH69" s="55">
        <v>0</v>
      </c>
      <c r="AI69" s="52"/>
      <c r="AJ69" s="51"/>
      <c r="AK69" s="52">
        <v>8.2661726417684239E-2</v>
      </c>
      <c r="AL69" s="52"/>
      <c r="AM69" s="28">
        <v>2</v>
      </c>
      <c r="AN69" s="28">
        <v>3.0666666666666669</v>
      </c>
      <c r="AO69" s="28">
        <v>1.7333333333333329</v>
      </c>
      <c r="AP69" s="28">
        <v>1.8666666666666669</v>
      </c>
      <c r="AQ69" s="28">
        <v>0.23076923076923081</v>
      </c>
      <c r="AR69" s="28">
        <v>0.35384615384615392</v>
      </c>
      <c r="AS69" s="28">
        <v>0.2</v>
      </c>
      <c r="AT69" s="28">
        <v>0.2153846153846154</v>
      </c>
      <c r="AU69" s="25">
        <v>1.54</v>
      </c>
      <c r="AV69" s="25">
        <v>3.44</v>
      </c>
      <c r="AW69" s="25">
        <v>1.9</v>
      </c>
      <c r="AX69" s="25">
        <v>2.8706666666666658</v>
      </c>
      <c r="AY69">
        <v>2.8706666666666671</v>
      </c>
      <c r="AZ69">
        <v>6.2652784753333339</v>
      </c>
      <c r="BA69" s="75">
        <v>0.52818907539878324</v>
      </c>
      <c r="BB69" s="75">
        <v>0.54796980145127927</v>
      </c>
      <c r="BF69">
        <v>4.133086320884212E-2</v>
      </c>
      <c r="BH69">
        <v>8.2661726417684239E-2</v>
      </c>
      <c r="BI69">
        <v>4.133086320884212E-2</v>
      </c>
      <c r="BJ69">
        <v>0.53807943842503125</v>
      </c>
    </row>
    <row r="70" spans="1:62" x14ac:dyDescent="0.3">
      <c r="A70" s="2" t="s">
        <v>107</v>
      </c>
      <c r="B70" s="17" t="s">
        <v>728</v>
      </c>
      <c r="C70" s="13"/>
      <c r="D70" s="2" t="s">
        <v>678</v>
      </c>
      <c r="E70" s="2" t="s">
        <v>1067</v>
      </c>
      <c r="F70" s="2">
        <v>1.64</v>
      </c>
      <c r="G70" s="2" t="s">
        <v>447</v>
      </c>
      <c r="H70" s="9" t="s">
        <v>555</v>
      </c>
      <c r="I70" t="s">
        <v>632</v>
      </c>
      <c r="J70"/>
      <c r="L70" s="25">
        <v>0</v>
      </c>
      <c r="M70">
        <v>4</v>
      </c>
      <c r="N70">
        <v>0</v>
      </c>
      <c r="T70" s="25">
        <v>0</v>
      </c>
      <c r="U70" s="25"/>
      <c r="V70" s="25"/>
      <c r="W70">
        <v>32.83</v>
      </c>
      <c r="X70">
        <v>5.4109999999999996</v>
      </c>
      <c r="Y70">
        <v>5.4480000000000004</v>
      </c>
      <c r="Z70">
        <v>0</v>
      </c>
      <c r="AA70"/>
      <c r="AB70"/>
      <c r="AD70">
        <v>20</v>
      </c>
      <c r="AE70" s="55">
        <f t="shared" si="1"/>
        <v>0</v>
      </c>
      <c r="AF70" s="57">
        <v>0</v>
      </c>
      <c r="AG70" s="55">
        <v>967.79977224000004</v>
      </c>
      <c r="AH70" s="55">
        <v>0</v>
      </c>
      <c r="AI70" s="52"/>
      <c r="AJ70" s="51"/>
      <c r="AK70" s="52">
        <v>8.2661726417684239E-2</v>
      </c>
      <c r="AL70" s="52"/>
      <c r="AM70" s="28">
        <v>2</v>
      </c>
      <c r="AN70" s="28">
        <v>3.0666666666666669</v>
      </c>
      <c r="AO70" s="28">
        <v>1.7333333333333329</v>
      </c>
      <c r="AP70" s="28">
        <v>1.8666666666666669</v>
      </c>
      <c r="AQ70" s="28">
        <v>0.23076923076923081</v>
      </c>
      <c r="AR70" s="28">
        <v>0.35384615384615392</v>
      </c>
      <c r="AS70" s="28">
        <v>0.2</v>
      </c>
      <c r="AT70" s="28">
        <v>0.2153846153846154</v>
      </c>
      <c r="AU70" s="25">
        <v>1.54</v>
      </c>
      <c r="AV70" s="25">
        <v>3.44</v>
      </c>
      <c r="AW70" s="25">
        <v>1.9</v>
      </c>
      <c r="AX70" s="25">
        <v>2.8706666666666658</v>
      </c>
      <c r="AY70">
        <v>2.8706666666666671</v>
      </c>
      <c r="AZ70">
        <v>6.2652784753333339</v>
      </c>
      <c r="BA70" s="75">
        <v>0.52818907539878324</v>
      </c>
      <c r="BB70" s="75">
        <v>0.54796980145127927</v>
      </c>
      <c r="BF70">
        <v>4.133086320884212E-2</v>
      </c>
      <c r="BH70">
        <v>8.2661726417684239E-2</v>
      </c>
      <c r="BI70">
        <v>4.133086320884212E-2</v>
      </c>
      <c r="BJ70">
        <v>0.53807943842503125</v>
      </c>
    </row>
    <row r="71" spans="1:62" x14ac:dyDescent="0.3">
      <c r="A71" s="2" t="s">
        <v>185</v>
      </c>
      <c r="B71" s="13" t="s">
        <v>729</v>
      </c>
      <c r="C71" s="13"/>
      <c r="F71" s="2">
        <v>4.5999999999999996</v>
      </c>
      <c r="G71" s="2" t="s">
        <v>57</v>
      </c>
      <c r="H71" s="9" t="s">
        <v>556</v>
      </c>
      <c r="I71" t="s">
        <v>633</v>
      </c>
      <c r="J71"/>
      <c r="L71" s="25">
        <v>2</v>
      </c>
      <c r="M71">
        <v>4</v>
      </c>
      <c r="N71">
        <v>0</v>
      </c>
      <c r="T71" s="25">
        <v>13.81974189</v>
      </c>
      <c r="U71" s="25">
        <v>13.81974189</v>
      </c>
      <c r="V71" s="25">
        <v>5.7110870199999999</v>
      </c>
      <c r="W71">
        <v>3.94</v>
      </c>
      <c r="X71">
        <v>27.15</v>
      </c>
      <c r="Y71">
        <v>5.6920000000000002</v>
      </c>
      <c r="Z71">
        <v>0</v>
      </c>
      <c r="AA71"/>
      <c r="AB71"/>
      <c r="AD71">
        <v>14</v>
      </c>
      <c r="AE71" s="55">
        <f t="shared" si="1"/>
        <v>0</v>
      </c>
      <c r="AF71" s="57">
        <v>309.44138863753989</v>
      </c>
      <c r="AG71" s="55">
        <v>608.87893199999996</v>
      </c>
      <c r="AH71" s="55">
        <v>0</v>
      </c>
      <c r="AI71" s="52"/>
      <c r="AJ71" s="51">
        <v>9.0485633235046756E-2</v>
      </c>
      <c r="AK71" s="52">
        <v>9.1972306901891634E-2</v>
      </c>
      <c r="AL71" s="52"/>
      <c r="AM71" s="28">
        <v>2</v>
      </c>
      <c r="AN71" s="28">
        <v>2.545454545454545</v>
      </c>
      <c r="AO71" s="28">
        <v>0.54545454545454541</v>
      </c>
      <c r="AP71" s="28">
        <v>2.545454545454545</v>
      </c>
      <c r="AQ71" s="28">
        <v>0.26190476190476192</v>
      </c>
      <c r="AR71" s="28">
        <v>0.33333333333333331</v>
      </c>
      <c r="AS71" s="28">
        <v>7.1428571428571425E-2</v>
      </c>
      <c r="AT71" s="28">
        <v>0.33333333333333331</v>
      </c>
      <c r="AU71" s="25">
        <v>0.95</v>
      </c>
      <c r="AV71" s="25">
        <v>3.44</v>
      </c>
      <c r="AW71" s="25">
        <v>2.4900000000000002</v>
      </c>
      <c r="AX71" s="25">
        <v>2.6345454545454539</v>
      </c>
      <c r="AY71">
        <v>2.6345454545454552</v>
      </c>
      <c r="AZ71">
        <v>6.036062318181818</v>
      </c>
      <c r="BA71" s="75">
        <v>0.52932707238284982</v>
      </c>
      <c r="BB71" s="75">
        <v>0.53802388525275069</v>
      </c>
      <c r="BE71">
        <v>4.5242816617523378E-2</v>
      </c>
      <c r="BF71">
        <v>4.5986153450945817E-2</v>
      </c>
      <c r="BH71">
        <v>9.1228970068469195E-2</v>
      </c>
      <c r="BI71">
        <v>4.5614485034234598E-2</v>
      </c>
      <c r="BJ71">
        <v>0.5336754788178002</v>
      </c>
    </row>
    <row r="72" spans="1:62" x14ac:dyDescent="0.3">
      <c r="A72" s="2" t="s">
        <v>49</v>
      </c>
      <c r="B72" s="13" t="s">
        <v>725</v>
      </c>
      <c r="C72" s="13"/>
      <c r="F72" s="2">
        <v>3.9</v>
      </c>
      <c r="G72" s="2" t="s">
        <v>57</v>
      </c>
      <c r="H72" s="9" t="s">
        <v>553</v>
      </c>
      <c r="I72" t="s">
        <v>631</v>
      </c>
      <c r="J72"/>
      <c r="L72" s="25">
        <v>8</v>
      </c>
      <c r="M72">
        <v>8</v>
      </c>
      <c r="N72">
        <v>0</v>
      </c>
      <c r="T72" s="25">
        <v>5.8017180100000001</v>
      </c>
      <c r="U72" s="25">
        <v>7.9756520899999996</v>
      </c>
      <c r="V72" s="25">
        <v>27.352093400000001</v>
      </c>
      <c r="W72">
        <v>26.646989999999999</v>
      </c>
      <c r="X72">
        <v>7.9359999999999999</v>
      </c>
      <c r="Y72">
        <v>5.7050000000000001</v>
      </c>
      <c r="Z72">
        <v>0</v>
      </c>
      <c r="AA72"/>
      <c r="AB72"/>
      <c r="AD72">
        <v>14</v>
      </c>
      <c r="AE72" s="55">
        <f t="shared" si="1"/>
        <v>0</v>
      </c>
      <c r="AF72" s="57">
        <v>1265.6493143942739</v>
      </c>
      <c r="AG72" s="55">
        <v>1206.4392746112001</v>
      </c>
      <c r="AH72" s="55">
        <v>0</v>
      </c>
      <c r="AI72" s="52"/>
      <c r="AJ72" s="51">
        <v>8.8492127105210025E-2</v>
      </c>
      <c r="AK72" s="52">
        <v>9.2835174017436004E-2</v>
      </c>
      <c r="AL72" s="52"/>
      <c r="AM72" s="28">
        <v>1.8181818181818179</v>
      </c>
      <c r="AN72" s="28">
        <v>2.545454545454545</v>
      </c>
      <c r="AO72" s="28">
        <v>0.72727272727272729</v>
      </c>
      <c r="AP72" s="28">
        <v>0</v>
      </c>
      <c r="AQ72" s="28">
        <v>0.35714285714285721</v>
      </c>
      <c r="AR72" s="28">
        <v>0.5</v>
      </c>
      <c r="AS72" s="28">
        <v>0.1428571428571429</v>
      </c>
      <c r="AT72" s="28">
        <v>0</v>
      </c>
      <c r="AU72" s="25">
        <v>0.95</v>
      </c>
      <c r="AV72" s="25">
        <v>3.44</v>
      </c>
      <c r="AW72" s="25">
        <v>2.4900000000000002</v>
      </c>
      <c r="AX72" s="25">
        <v>2.6527272727272719</v>
      </c>
      <c r="AY72">
        <v>2.6527272727272728</v>
      </c>
      <c r="AZ72">
        <v>6.0182046818181814</v>
      </c>
      <c r="BA72" s="75">
        <v>0.5176653673612065</v>
      </c>
      <c r="BB72" s="75">
        <v>0.54307152550012683</v>
      </c>
      <c r="BE72">
        <v>4.4246063552605013E-2</v>
      </c>
      <c r="BF72">
        <v>4.6417587008717988E-2</v>
      </c>
      <c r="BH72">
        <v>9.0663650561323014E-2</v>
      </c>
      <c r="BI72">
        <v>4.53318252806615E-2</v>
      </c>
      <c r="BJ72">
        <v>0.53036844643066661</v>
      </c>
    </row>
    <row r="73" spans="1:62" x14ac:dyDescent="0.3">
      <c r="A73" s="2" t="s">
        <v>56</v>
      </c>
      <c r="B73" s="13" t="s">
        <v>730</v>
      </c>
      <c r="C73" s="13"/>
      <c r="F73" s="2">
        <v>3.6</v>
      </c>
      <c r="G73" s="2" t="s">
        <v>57</v>
      </c>
      <c r="H73" s="9" t="s">
        <v>557</v>
      </c>
      <c r="I73" t="s">
        <v>634</v>
      </c>
      <c r="J73"/>
      <c r="L73" s="25">
        <v>1</v>
      </c>
      <c r="M73">
        <v>4</v>
      </c>
      <c r="N73">
        <v>0</v>
      </c>
      <c r="T73" s="25">
        <v>2.92483936</v>
      </c>
      <c r="U73" s="25">
        <v>2.92483936</v>
      </c>
      <c r="V73" s="25">
        <v>3.4422619999999999</v>
      </c>
      <c r="W73">
        <v>4.1684000000000001</v>
      </c>
      <c r="X73">
        <v>4.1684000000000001</v>
      </c>
      <c r="Y73">
        <v>4.1684000000000001</v>
      </c>
      <c r="Z73">
        <v>0</v>
      </c>
      <c r="AA73"/>
      <c r="AB73"/>
      <c r="AD73">
        <v>2</v>
      </c>
      <c r="AE73" s="55">
        <f t="shared" si="1"/>
        <v>0</v>
      </c>
      <c r="AF73" s="57">
        <v>25.502259160055111</v>
      </c>
      <c r="AG73" s="55">
        <v>72.428278301504008</v>
      </c>
      <c r="AH73" s="55">
        <v>0</v>
      </c>
      <c r="AI73" s="52"/>
      <c r="AJ73" s="51">
        <v>7.8424424575398208E-2</v>
      </c>
      <c r="AK73" s="52">
        <v>0.1104540959360879</v>
      </c>
      <c r="AL73" s="52"/>
      <c r="AM73" s="28">
        <v>2</v>
      </c>
      <c r="AN73" s="28">
        <v>2</v>
      </c>
      <c r="AO73" s="28">
        <v>4</v>
      </c>
      <c r="AP73" s="28">
        <v>0</v>
      </c>
      <c r="AQ73" s="28">
        <v>0.25</v>
      </c>
      <c r="AR73" s="28">
        <v>0.25</v>
      </c>
      <c r="AS73" s="28">
        <v>0.5</v>
      </c>
      <c r="AT73" s="28">
        <v>0</v>
      </c>
      <c r="AU73" s="25">
        <v>1.91</v>
      </c>
      <c r="AV73" s="25">
        <v>3.44</v>
      </c>
      <c r="AW73" s="25">
        <v>1.53</v>
      </c>
      <c r="AX73" s="25">
        <v>2.6749999999999998</v>
      </c>
      <c r="AY73">
        <v>2.6749999999999998</v>
      </c>
      <c r="AZ73">
        <v>5.9690498749999996</v>
      </c>
      <c r="BA73" s="75">
        <v>0.32856522012819489</v>
      </c>
      <c r="BB73" s="75">
        <v>0.46275601691422702</v>
      </c>
      <c r="BE73">
        <v>3.9212212287699097E-2</v>
      </c>
      <c r="BF73">
        <v>5.5227047968043973E-2</v>
      </c>
      <c r="BH73">
        <v>9.4439260255743063E-2</v>
      </c>
      <c r="BI73">
        <v>4.7219630127871531E-2</v>
      </c>
      <c r="BJ73">
        <v>0.39566061852121093</v>
      </c>
    </row>
    <row r="74" spans="1:62" x14ac:dyDescent="0.3">
      <c r="A74" s="2" t="s">
        <v>58</v>
      </c>
      <c r="B74" s="13" t="s">
        <v>731</v>
      </c>
      <c r="C74" s="13"/>
      <c r="F74" s="2">
        <v>4.2</v>
      </c>
      <c r="G74" s="2" t="s">
        <v>57</v>
      </c>
      <c r="H74" s="9">
        <v>-1</v>
      </c>
      <c r="I74">
        <v>-1</v>
      </c>
      <c r="J74"/>
      <c r="K74" s="2">
        <v>4</v>
      </c>
      <c r="L74" s="25">
        <v>0</v>
      </c>
      <c r="M74">
        <v>0</v>
      </c>
      <c r="N74">
        <v>0</v>
      </c>
      <c r="O74" s="2">
        <v>44.2</v>
      </c>
      <c r="P74" s="2">
        <v>7.92</v>
      </c>
      <c r="Q74" s="2">
        <v>6.46</v>
      </c>
      <c r="S74" s="2" t="s">
        <v>1142</v>
      </c>
      <c r="T74" s="25">
        <v>0</v>
      </c>
      <c r="U74" s="25"/>
      <c r="V74" s="25"/>
      <c r="W74">
        <v>0</v>
      </c>
      <c r="X74"/>
      <c r="Y74"/>
      <c r="Z74">
        <v>0</v>
      </c>
      <c r="AA74"/>
      <c r="AB74"/>
      <c r="AD74">
        <v>34</v>
      </c>
      <c r="AE74" s="55">
        <f t="shared" si="1"/>
        <v>2261.4134400000003</v>
      </c>
      <c r="AF74" s="57">
        <v>0</v>
      </c>
      <c r="AG74" s="55">
        <v>0</v>
      </c>
      <c r="AH74" s="55">
        <v>0</v>
      </c>
      <c r="AI74" s="52">
        <f>K74*AD74/AE74</f>
        <v>6.0139379024827931E-2</v>
      </c>
      <c r="AJ74" s="51"/>
      <c r="AK74" s="52"/>
      <c r="AL74" s="52"/>
      <c r="AM74" s="28">
        <v>1.8518518518518521</v>
      </c>
      <c r="AN74" s="28">
        <v>2.518518518518519</v>
      </c>
      <c r="AO74" s="28">
        <v>0.66666666666666663</v>
      </c>
      <c r="AP74" s="28">
        <v>3.1111111111111112</v>
      </c>
      <c r="AQ74" s="28">
        <v>0.22727272727272729</v>
      </c>
      <c r="AR74" s="28">
        <v>0.30909090909090908</v>
      </c>
      <c r="AS74" s="28">
        <v>8.1818181818181804E-2</v>
      </c>
      <c r="AT74" s="28">
        <v>0.38181818181818178</v>
      </c>
      <c r="AU74" s="25">
        <v>0.82</v>
      </c>
      <c r="AV74" s="25">
        <v>3.44</v>
      </c>
      <c r="AW74" s="25">
        <v>2.62</v>
      </c>
      <c r="AX74" s="25">
        <v>2.6207407407407399</v>
      </c>
      <c r="AY74">
        <v>2.6207407407407408</v>
      </c>
      <c r="AZ74">
        <v>5.9672971914814816</v>
      </c>
      <c r="BD74">
        <v>3.0069689512413969E-2</v>
      </c>
      <c r="BH74">
        <v>6.0139379024827931E-2</v>
      </c>
      <c r="BI74">
        <v>3.0069689512413969E-2</v>
      </c>
      <c r="BJ74">
        <v>0</v>
      </c>
    </row>
    <row r="75" spans="1:62" x14ac:dyDescent="0.3">
      <c r="A75" s="2" t="s">
        <v>59</v>
      </c>
      <c r="B75" s="13" t="s">
        <v>732</v>
      </c>
      <c r="C75" s="13"/>
      <c r="F75" s="2">
        <v>3.55</v>
      </c>
      <c r="G75" s="2" t="s">
        <v>57</v>
      </c>
      <c r="H75" s="9">
        <v>-1</v>
      </c>
      <c r="I75">
        <v>-1</v>
      </c>
      <c r="J75" t="s">
        <v>1153</v>
      </c>
      <c r="L75" s="25">
        <v>0</v>
      </c>
      <c r="M75">
        <v>0</v>
      </c>
      <c r="N75">
        <v>4</v>
      </c>
      <c r="T75" s="25">
        <v>0</v>
      </c>
      <c r="U75" s="25"/>
      <c r="V75" s="25"/>
      <c r="W75">
        <v>0</v>
      </c>
      <c r="X75"/>
      <c r="Y75"/>
      <c r="Z75">
        <v>34.1</v>
      </c>
      <c r="AA75">
        <v>7.85</v>
      </c>
      <c r="AB75">
        <v>6.52</v>
      </c>
      <c r="AD75">
        <v>34</v>
      </c>
      <c r="AE75" s="55">
        <f t="shared" si="1"/>
        <v>0</v>
      </c>
      <c r="AF75" s="57">
        <v>0</v>
      </c>
      <c r="AG75" s="55">
        <v>0</v>
      </c>
      <c r="AH75" s="55">
        <v>1745.3062</v>
      </c>
      <c r="AI75" s="52"/>
      <c r="AJ75" s="51"/>
      <c r="AK75" s="52"/>
      <c r="AL75" s="52">
        <v>7.7923289334559179E-2</v>
      </c>
      <c r="AM75" s="28">
        <v>1.62962962962963</v>
      </c>
      <c r="AN75" s="28">
        <v>2.518518518518519</v>
      </c>
      <c r="AO75" s="28">
        <v>0.88888888888888884</v>
      </c>
      <c r="AP75" s="28">
        <v>0</v>
      </c>
      <c r="AQ75" s="28">
        <v>0.32352941176470579</v>
      </c>
      <c r="AR75" s="28">
        <v>0.5</v>
      </c>
      <c r="AS75" s="28">
        <v>0.1764705882352941</v>
      </c>
      <c r="AT75" s="28">
        <v>0</v>
      </c>
      <c r="AU75" s="25">
        <v>0.82</v>
      </c>
      <c r="AV75" s="25">
        <v>3.44</v>
      </c>
      <c r="AW75" s="25">
        <v>2.62</v>
      </c>
      <c r="AX75" s="25">
        <v>2.642962962962963</v>
      </c>
      <c r="AY75">
        <v>2.642962962962963</v>
      </c>
      <c r="AZ75">
        <v>5.9454711914814808</v>
      </c>
      <c r="BC75" s="75">
        <v>0.52945551775309363</v>
      </c>
      <c r="BG75">
        <v>3.8961644667279589E-2</v>
      </c>
      <c r="BH75">
        <v>7.7923289334559179E-2</v>
      </c>
      <c r="BI75">
        <v>3.8961644667279589E-2</v>
      </c>
      <c r="BJ75">
        <v>0.52945551775309363</v>
      </c>
    </row>
    <row r="76" spans="1:62" x14ac:dyDescent="0.3">
      <c r="A76" s="2" t="s">
        <v>60</v>
      </c>
      <c r="B76" s="13" t="s">
        <v>733</v>
      </c>
      <c r="C76" s="13"/>
      <c r="F76" s="2">
        <v>2.54</v>
      </c>
      <c r="G76" s="2" t="s">
        <v>62</v>
      </c>
      <c r="H76" s="9" t="s">
        <v>558</v>
      </c>
      <c r="I76" t="s">
        <v>635</v>
      </c>
      <c r="J76"/>
      <c r="L76" s="25">
        <v>1</v>
      </c>
      <c r="M76">
        <v>2</v>
      </c>
      <c r="N76">
        <v>0</v>
      </c>
      <c r="O76" s="2">
        <v>3.8860999999999999</v>
      </c>
      <c r="P76" s="2">
        <v>3.8860999999999999</v>
      </c>
      <c r="Q76" s="2">
        <v>12.5922</v>
      </c>
      <c r="R76" s="2" t="s">
        <v>440</v>
      </c>
      <c r="T76" s="25">
        <v>3.8962357000000001</v>
      </c>
      <c r="U76" s="25">
        <v>3.8962353200000002</v>
      </c>
      <c r="V76" s="25">
        <v>6.87349342</v>
      </c>
      <c r="W76">
        <v>3.8839999999999999</v>
      </c>
      <c r="X76">
        <v>3.8839999999999999</v>
      </c>
      <c r="Y76">
        <v>12.6</v>
      </c>
      <c r="Z76">
        <v>0</v>
      </c>
      <c r="AA76"/>
      <c r="AB76"/>
      <c r="AD76">
        <v>8</v>
      </c>
      <c r="AE76" s="55">
        <f t="shared" si="1"/>
        <v>190.164548614962</v>
      </c>
      <c r="AF76" s="57">
        <v>95.595427689592043</v>
      </c>
      <c r="AG76" s="55">
        <v>190.07674560000001</v>
      </c>
      <c r="AH76" s="55">
        <v>0</v>
      </c>
      <c r="AI76" s="52"/>
      <c r="AJ76" s="51">
        <v>8.3686010862117841E-2</v>
      </c>
      <c r="AK76" s="52">
        <v>8.4176525379230829E-2</v>
      </c>
      <c r="AL76" s="52"/>
      <c r="AM76" s="28">
        <v>2</v>
      </c>
      <c r="AN76" s="28">
        <v>2.285714285714286</v>
      </c>
      <c r="AO76" s="28">
        <v>0.2857142857142857</v>
      </c>
      <c r="AP76" s="28">
        <v>0</v>
      </c>
      <c r="AQ76" s="28">
        <v>0.4375</v>
      </c>
      <c r="AR76" s="28">
        <v>0.5</v>
      </c>
      <c r="AS76" s="28">
        <v>6.25E-2</v>
      </c>
      <c r="AT76" s="28">
        <v>0</v>
      </c>
      <c r="AU76" s="25">
        <v>0.95</v>
      </c>
      <c r="AV76" s="25">
        <v>3.44</v>
      </c>
      <c r="AW76" s="25">
        <v>2.4900000000000002</v>
      </c>
      <c r="AX76" s="25">
        <v>2.4571428571428569</v>
      </c>
      <c r="AY76">
        <v>2.4571428571428569</v>
      </c>
      <c r="AZ76">
        <v>5.6224409357142857</v>
      </c>
      <c r="BA76" s="75">
        <v>0.57028696666713652</v>
      </c>
      <c r="BB76" s="75">
        <v>0.57362962851932398</v>
      </c>
      <c r="BE76">
        <v>4.184300543105892E-2</v>
      </c>
      <c r="BF76">
        <v>4.2088262689615408E-2</v>
      </c>
      <c r="BH76">
        <v>8.3931268120674335E-2</v>
      </c>
      <c r="BI76">
        <v>4.1965634060337167E-2</v>
      </c>
      <c r="BJ76">
        <v>0.57195829759323025</v>
      </c>
    </row>
    <row r="77" spans="1:62" x14ac:dyDescent="0.3">
      <c r="A77" s="2" t="s">
        <v>61</v>
      </c>
      <c r="B77" s="17" t="s">
        <v>894</v>
      </c>
      <c r="C77" s="13"/>
      <c r="F77" s="2">
        <v>2.3199999999999998</v>
      </c>
      <c r="G77" s="2" t="s">
        <v>62</v>
      </c>
      <c r="H77" s="32" t="s">
        <v>558</v>
      </c>
      <c r="I77" s="1" t="s">
        <v>635</v>
      </c>
      <c r="J77"/>
      <c r="L77" s="25">
        <v>0</v>
      </c>
      <c r="M77">
        <v>2</v>
      </c>
      <c r="N77">
        <v>0</v>
      </c>
      <c r="O77" s="2">
        <v>3.8915000000000002</v>
      </c>
      <c r="P77" s="2">
        <v>3.8915000000000002</v>
      </c>
      <c r="Q77" s="2">
        <v>12.589499999999999</v>
      </c>
      <c r="R77" s="2" t="s">
        <v>440</v>
      </c>
      <c r="T77" s="25">
        <v>0</v>
      </c>
      <c r="U77" s="25"/>
      <c r="V77" s="25"/>
      <c r="W77">
        <v>3.8839999999999999</v>
      </c>
      <c r="X77">
        <v>3.8839999999999999</v>
      </c>
      <c r="Y77">
        <v>12.6</v>
      </c>
      <c r="Z77">
        <v>0</v>
      </c>
      <c r="AA77"/>
      <c r="AB77"/>
      <c r="AD77">
        <v>8</v>
      </c>
      <c r="AE77" s="55">
        <f t="shared" si="1"/>
        <v>190.65252074137501</v>
      </c>
      <c r="AF77" s="57">
        <v>0</v>
      </c>
      <c r="AG77" s="55">
        <v>190.07674560000001</v>
      </c>
      <c r="AH77" s="55">
        <v>0</v>
      </c>
      <c r="AI77" s="52"/>
      <c r="AJ77" s="51"/>
      <c r="AK77" s="52">
        <v>8.4176525379230829E-2</v>
      </c>
      <c r="AL77" s="52"/>
      <c r="AM77" s="28">
        <v>2</v>
      </c>
      <c r="AN77" s="28">
        <v>2.285714285714286</v>
      </c>
      <c r="AO77" s="28">
        <v>0.3</v>
      </c>
      <c r="AP77" s="28">
        <v>0</v>
      </c>
      <c r="AQ77" s="28">
        <v>0.43613707165109028</v>
      </c>
      <c r="AR77" s="28">
        <v>0.49844236760124599</v>
      </c>
      <c r="AS77" s="28">
        <v>6.5420560747663545E-2</v>
      </c>
      <c r="AT77" s="28">
        <v>0</v>
      </c>
      <c r="AU77" s="25">
        <v>0.95</v>
      </c>
      <c r="AV77" s="25">
        <v>3.44</v>
      </c>
      <c r="AW77" s="25">
        <v>2.4900000000000002</v>
      </c>
      <c r="AX77" s="25">
        <v>2.4592857142857141</v>
      </c>
      <c r="AY77">
        <v>2.459285714285715</v>
      </c>
      <c r="AZ77">
        <v>5.625208883928571</v>
      </c>
      <c r="BA77" s="75">
        <v>0.57028696666713652</v>
      </c>
      <c r="BB77" s="75">
        <v>0.57362962851932398</v>
      </c>
      <c r="BF77">
        <v>4.2088262689615408E-2</v>
      </c>
      <c r="BH77">
        <v>8.4176525379230829E-2</v>
      </c>
      <c r="BI77">
        <v>4.2088262689615408E-2</v>
      </c>
      <c r="BJ77">
        <v>0.57195829759323025</v>
      </c>
    </row>
    <row r="78" spans="1:62" x14ac:dyDescent="0.3">
      <c r="A78" s="2" t="s">
        <v>883</v>
      </c>
      <c r="B78" s="17" t="s">
        <v>895</v>
      </c>
      <c r="C78" s="13"/>
      <c r="F78" s="2">
        <v>2.2200000000000002</v>
      </c>
      <c r="G78" s="2" t="s">
        <v>62</v>
      </c>
      <c r="H78" s="32" t="s">
        <v>558</v>
      </c>
      <c r="I78" s="1" t="s">
        <v>635</v>
      </c>
      <c r="J78"/>
      <c r="L78" s="25">
        <v>0</v>
      </c>
      <c r="M78">
        <v>2</v>
      </c>
      <c r="N78">
        <v>0</v>
      </c>
      <c r="O78" s="2">
        <v>3.8965000000000001</v>
      </c>
      <c r="P78" s="2">
        <v>3.8965000000000001</v>
      </c>
      <c r="Q78" s="2">
        <v>12.6137</v>
      </c>
      <c r="R78" s="2" t="s">
        <v>440</v>
      </c>
      <c r="T78" s="25">
        <v>0</v>
      </c>
      <c r="U78" s="25"/>
      <c r="V78" s="25"/>
      <c r="W78">
        <v>3.8839999999999999</v>
      </c>
      <c r="X78">
        <v>3.8839999999999999</v>
      </c>
      <c r="Y78">
        <v>12.6</v>
      </c>
      <c r="Z78">
        <v>0</v>
      </c>
      <c r="AA78"/>
      <c r="AB78"/>
      <c r="AD78">
        <v>8</v>
      </c>
      <c r="AE78" s="55">
        <f t="shared" si="1"/>
        <v>191.51017750782501</v>
      </c>
      <c r="AF78" s="57">
        <v>0</v>
      </c>
      <c r="AG78" s="55">
        <v>190.07674560000001</v>
      </c>
      <c r="AH78" s="55">
        <v>0</v>
      </c>
      <c r="AI78" s="52"/>
      <c r="AJ78" s="51"/>
      <c r="AK78" s="52">
        <v>8.4176525379230829E-2</v>
      </c>
      <c r="AL78" s="52"/>
      <c r="AM78" s="28">
        <v>2</v>
      </c>
      <c r="AN78" s="28">
        <v>2.285714285714286</v>
      </c>
      <c r="AO78" s="28">
        <v>0.31428571428571428</v>
      </c>
      <c r="AP78" s="28">
        <v>0</v>
      </c>
      <c r="AQ78" s="28">
        <v>0.43478260869565211</v>
      </c>
      <c r="AR78" s="28">
        <v>0.49689440993788808</v>
      </c>
      <c r="AS78" s="28">
        <v>6.8322981366459631E-2</v>
      </c>
      <c r="AT78" s="28">
        <v>0</v>
      </c>
      <c r="AU78" s="25">
        <v>0.95</v>
      </c>
      <c r="AV78" s="25">
        <v>3.44</v>
      </c>
      <c r="AW78" s="25">
        <v>2.4900000000000002</v>
      </c>
      <c r="AX78" s="25">
        <v>2.4614285714285709</v>
      </c>
      <c r="AY78">
        <v>2.4614285714285709</v>
      </c>
      <c r="AZ78">
        <v>5.627976832142858</v>
      </c>
      <c r="BA78" s="75">
        <v>0.57028696666713652</v>
      </c>
      <c r="BB78" s="75">
        <v>0.57362962851932398</v>
      </c>
      <c r="BF78">
        <v>4.2088262689615408E-2</v>
      </c>
      <c r="BH78">
        <v>8.4176525379230829E-2</v>
      </c>
      <c r="BI78">
        <v>4.2088262689615408E-2</v>
      </c>
      <c r="BJ78">
        <v>0.57195829759323025</v>
      </c>
    </row>
    <row r="79" spans="1:62" x14ac:dyDescent="0.3">
      <c r="A79" s="2" t="s">
        <v>884</v>
      </c>
      <c r="B79" s="17" t="s">
        <v>896</v>
      </c>
      <c r="C79" s="13"/>
      <c r="F79" s="2">
        <v>2.16</v>
      </c>
      <c r="G79" s="2" t="s">
        <v>62</v>
      </c>
      <c r="H79" s="32" t="s">
        <v>558</v>
      </c>
      <c r="I79" s="1" t="s">
        <v>635</v>
      </c>
      <c r="J79"/>
      <c r="L79" s="25">
        <v>0</v>
      </c>
      <c r="M79">
        <v>2</v>
      </c>
      <c r="N79">
        <v>0</v>
      </c>
      <c r="O79" s="2">
        <v>3.9016999999999999</v>
      </c>
      <c r="P79" s="2">
        <v>3.9016999999999999</v>
      </c>
      <c r="Q79" s="2">
        <v>12.593500000000001</v>
      </c>
      <c r="R79" s="2" t="s">
        <v>440</v>
      </c>
      <c r="T79" s="25">
        <v>0</v>
      </c>
      <c r="U79" s="25"/>
      <c r="V79" s="25"/>
      <c r="W79">
        <v>3.8839999999999999</v>
      </c>
      <c r="X79">
        <v>3.8839999999999999</v>
      </c>
      <c r="Y79">
        <v>12.6</v>
      </c>
      <c r="Z79">
        <v>0</v>
      </c>
      <c r="AA79"/>
      <c r="AB79"/>
      <c r="AD79">
        <v>8</v>
      </c>
      <c r="AE79" s="55">
        <f t="shared" si="1"/>
        <v>191.71416120521499</v>
      </c>
      <c r="AF79" s="57">
        <v>0</v>
      </c>
      <c r="AG79" s="55">
        <v>190.07674560000001</v>
      </c>
      <c r="AH79" s="55">
        <v>0</v>
      </c>
      <c r="AI79" s="52"/>
      <c r="AJ79" s="51"/>
      <c r="AK79" s="52">
        <v>8.4176525379230829E-2</v>
      </c>
      <c r="AL79" s="52"/>
      <c r="AM79" s="28">
        <v>2</v>
      </c>
      <c r="AN79" s="28">
        <v>2.285714285714286</v>
      </c>
      <c r="AO79" s="28">
        <v>0.32857142857142863</v>
      </c>
      <c r="AP79" s="28">
        <v>0</v>
      </c>
      <c r="AQ79" s="28">
        <v>0.43343653250774</v>
      </c>
      <c r="AR79" s="28">
        <v>0.49535603715170279</v>
      </c>
      <c r="AS79" s="28">
        <v>7.1207430340557279E-2</v>
      </c>
      <c r="AT79" s="28">
        <v>0</v>
      </c>
      <c r="AU79" s="25">
        <v>0.95</v>
      </c>
      <c r="AV79" s="25">
        <v>3.44</v>
      </c>
      <c r="AW79" s="25">
        <v>2.4900000000000002</v>
      </c>
      <c r="AX79" s="25">
        <v>2.463571428571429</v>
      </c>
      <c r="AY79">
        <v>2.463571428571429</v>
      </c>
      <c r="AZ79">
        <v>5.6307447803571433</v>
      </c>
      <c r="BA79" s="75">
        <v>0.57028696666713652</v>
      </c>
      <c r="BB79" s="75">
        <v>0.57362962851932398</v>
      </c>
      <c r="BF79">
        <v>4.2088262689615408E-2</v>
      </c>
      <c r="BH79">
        <v>8.4176525379230829E-2</v>
      </c>
      <c r="BI79">
        <v>4.2088262689615408E-2</v>
      </c>
      <c r="BJ79">
        <v>0.57195829759323025</v>
      </c>
    </row>
    <row r="80" spans="1:62" x14ac:dyDescent="0.3">
      <c r="A80" s="2" t="s">
        <v>885</v>
      </c>
      <c r="B80" s="17" t="s">
        <v>897</v>
      </c>
      <c r="C80" s="13"/>
      <c r="F80" s="2">
        <v>2.1</v>
      </c>
      <c r="G80" s="2" t="s">
        <v>62</v>
      </c>
      <c r="H80" s="32" t="s">
        <v>558</v>
      </c>
      <c r="I80" s="1" t="s">
        <v>635</v>
      </c>
      <c r="J80"/>
      <c r="L80" s="25">
        <v>0</v>
      </c>
      <c r="M80">
        <v>2</v>
      </c>
      <c r="N80">
        <v>0</v>
      </c>
      <c r="O80" s="2">
        <v>3.9022000000000001</v>
      </c>
      <c r="P80" s="2">
        <v>3.9022000000000001</v>
      </c>
      <c r="Q80" s="2">
        <v>12.6189</v>
      </c>
      <c r="R80" s="2" t="s">
        <v>440</v>
      </c>
      <c r="T80" s="25">
        <v>0</v>
      </c>
      <c r="U80" s="25"/>
      <c r="V80" s="25"/>
      <c r="W80">
        <v>3.8839999999999999</v>
      </c>
      <c r="X80">
        <v>3.8839999999999999</v>
      </c>
      <c r="Y80">
        <v>12.6</v>
      </c>
      <c r="Z80">
        <v>0</v>
      </c>
      <c r="AA80"/>
      <c r="AB80"/>
      <c r="AD80">
        <v>8</v>
      </c>
      <c r="AE80" s="55">
        <f t="shared" si="1"/>
        <v>192.15007039947599</v>
      </c>
      <c r="AF80" s="57">
        <v>0</v>
      </c>
      <c r="AG80" s="55">
        <v>190.07674560000001</v>
      </c>
      <c r="AH80" s="55">
        <v>0</v>
      </c>
      <c r="AI80" s="52"/>
      <c r="AJ80" s="51"/>
      <c r="AK80" s="52">
        <v>8.4176525379230829E-2</v>
      </c>
      <c r="AL80" s="52"/>
      <c r="AM80" s="28">
        <v>2</v>
      </c>
      <c r="AN80" s="28">
        <v>2.285714285714286</v>
      </c>
      <c r="AO80" s="28">
        <v>0.34285714285714292</v>
      </c>
      <c r="AP80" s="28">
        <v>0</v>
      </c>
      <c r="AQ80" s="28">
        <v>0.4320987654320988</v>
      </c>
      <c r="AR80" s="28">
        <v>0.49382716049382719</v>
      </c>
      <c r="AS80" s="28">
        <v>7.4074074074074084E-2</v>
      </c>
      <c r="AT80" s="28">
        <v>0</v>
      </c>
      <c r="AU80" s="25">
        <v>0.95</v>
      </c>
      <c r="AV80" s="25">
        <v>3.44</v>
      </c>
      <c r="AW80" s="25">
        <v>2.4900000000000002</v>
      </c>
      <c r="AX80" s="25">
        <v>2.4657142857142849</v>
      </c>
      <c r="AY80">
        <v>2.4657142857142862</v>
      </c>
      <c r="AZ80">
        <v>5.6335127285714286</v>
      </c>
      <c r="BA80" s="75">
        <v>0.57028696666713652</v>
      </c>
      <c r="BB80" s="75">
        <v>0.57362962851932398</v>
      </c>
      <c r="BF80">
        <v>4.2088262689615408E-2</v>
      </c>
      <c r="BH80">
        <v>8.4176525379230829E-2</v>
      </c>
      <c r="BI80">
        <v>4.2088262689615408E-2</v>
      </c>
      <c r="BJ80">
        <v>0.57195829759323025</v>
      </c>
    </row>
    <row r="81" spans="1:62" x14ac:dyDescent="0.3">
      <c r="A81" s="2" t="s">
        <v>886</v>
      </c>
      <c r="B81" s="17" t="s">
        <v>898</v>
      </c>
      <c r="C81" s="13"/>
      <c r="F81" s="2">
        <v>2.08</v>
      </c>
      <c r="G81" s="2" t="s">
        <v>62</v>
      </c>
      <c r="H81" s="32" t="s">
        <v>558</v>
      </c>
      <c r="I81" s="1" t="s">
        <v>635</v>
      </c>
      <c r="J81"/>
      <c r="L81" s="25">
        <v>0</v>
      </c>
      <c r="M81">
        <v>2</v>
      </c>
      <c r="N81">
        <v>0</v>
      </c>
      <c r="O81" s="2">
        <v>3.9043999999999999</v>
      </c>
      <c r="P81" s="2">
        <v>3.9043999999999999</v>
      </c>
      <c r="Q81" s="2">
        <v>12.6092</v>
      </c>
      <c r="R81" s="2" t="s">
        <v>440</v>
      </c>
      <c r="T81" s="25">
        <v>0</v>
      </c>
      <c r="U81" s="25"/>
      <c r="V81" s="25"/>
      <c r="W81">
        <v>3.8839999999999999</v>
      </c>
      <c r="X81">
        <v>3.8839999999999999</v>
      </c>
      <c r="Y81">
        <v>12.6</v>
      </c>
      <c r="Z81">
        <v>0</v>
      </c>
      <c r="AA81"/>
      <c r="AB81"/>
      <c r="AD81">
        <v>8</v>
      </c>
      <c r="AE81" s="55">
        <f t="shared" si="1"/>
        <v>192.21892385811199</v>
      </c>
      <c r="AF81" s="57">
        <v>0</v>
      </c>
      <c r="AG81" s="55">
        <v>190.07674560000001</v>
      </c>
      <c r="AH81" s="55">
        <v>0</v>
      </c>
      <c r="AI81" s="52"/>
      <c r="AJ81" s="51"/>
      <c r="AK81" s="52">
        <v>8.4176525379230829E-2</v>
      </c>
      <c r="AL81" s="52"/>
      <c r="AM81" s="28">
        <v>2</v>
      </c>
      <c r="AN81" s="28">
        <v>2.285714285714286</v>
      </c>
      <c r="AO81" s="28">
        <v>0.35714285714285721</v>
      </c>
      <c r="AP81" s="28">
        <v>0</v>
      </c>
      <c r="AQ81" s="28">
        <v>0.43076923076923068</v>
      </c>
      <c r="AR81" s="28">
        <v>0.49230769230769222</v>
      </c>
      <c r="AS81" s="28">
        <v>7.6923076923076913E-2</v>
      </c>
      <c r="AT81" s="28">
        <v>0</v>
      </c>
      <c r="AU81" s="25">
        <v>0.95</v>
      </c>
      <c r="AV81" s="25">
        <v>3.44</v>
      </c>
      <c r="AW81" s="25">
        <v>2.4900000000000002</v>
      </c>
      <c r="AX81" s="25">
        <v>2.467857142857143</v>
      </c>
      <c r="AY81">
        <v>2.467857142857143</v>
      </c>
      <c r="AZ81">
        <v>5.6362806767857148</v>
      </c>
      <c r="BA81" s="75">
        <v>0.57028696666713652</v>
      </c>
      <c r="BB81" s="75">
        <v>0.57362962851932398</v>
      </c>
      <c r="BF81">
        <v>4.2088262689615408E-2</v>
      </c>
      <c r="BH81">
        <v>8.4176525379230829E-2</v>
      </c>
      <c r="BI81">
        <v>4.2088262689615408E-2</v>
      </c>
      <c r="BJ81">
        <v>0.57195829759323025</v>
      </c>
    </row>
    <row r="82" spans="1:62" x14ac:dyDescent="0.3">
      <c r="A82" s="2" t="s">
        <v>215</v>
      </c>
      <c r="B82" s="17" t="s">
        <v>734</v>
      </c>
      <c r="C82" s="13"/>
      <c r="F82" s="2">
        <v>4.0999999999999996</v>
      </c>
      <c r="G82" s="2" t="s">
        <v>64</v>
      </c>
      <c r="H82" s="9" t="s">
        <v>587</v>
      </c>
      <c r="I82" t="s">
        <v>636</v>
      </c>
      <c r="J82"/>
      <c r="L82" s="25">
        <v>1</v>
      </c>
      <c r="M82">
        <v>1</v>
      </c>
      <c r="N82">
        <v>0</v>
      </c>
      <c r="O82" s="2">
        <v>3.87</v>
      </c>
      <c r="P82" s="2">
        <v>3.87</v>
      </c>
      <c r="Q82" s="2">
        <v>15.1</v>
      </c>
      <c r="R82" s="2" t="s">
        <v>439</v>
      </c>
      <c r="T82" s="25">
        <v>3.950634</v>
      </c>
      <c r="U82" s="25">
        <v>3.950634</v>
      </c>
      <c r="V82" s="25">
        <v>15.513552000000001</v>
      </c>
      <c r="W82">
        <v>3.8658999999999999</v>
      </c>
      <c r="X82">
        <v>3.8658999999999999</v>
      </c>
      <c r="Y82">
        <v>15.2538</v>
      </c>
      <c r="Z82">
        <v>0</v>
      </c>
      <c r="AA82"/>
      <c r="AB82"/>
      <c r="AD82">
        <v>20</v>
      </c>
      <c r="AE82" s="55">
        <f t="shared" si="1"/>
        <v>226.15119000000001</v>
      </c>
      <c r="AF82" s="57">
        <v>242.1279024923125</v>
      </c>
      <c r="AG82" s="55">
        <v>227.970829547178</v>
      </c>
      <c r="AH82" s="55">
        <v>0</v>
      </c>
      <c r="AI82" s="52"/>
      <c r="AJ82" s="51">
        <v>8.2600971611006269E-2</v>
      </c>
      <c r="AK82" s="52">
        <v>8.7730522539775438E-2</v>
      </c>
      <c r="AL82" s="52"/>
      <c r="AM82" s="28">
        <v>1.9375</v>
      </c>
      <c r="AN82" s="28">
        <v>2.5</v>
      </c>
      <c r="AO82" s="28">
        <v>0.5625</v>
      </c>
      <c r="AP82" s="28">
        <v>2.625</v>
      </c>
      <c r="AQ82" s="28">
        <v>0.25409836065573771</v>
      </c>
      <c r="AR82" s="28">
        <v>0.32786885245901642</v>
      </c>
      <c r="AS82" s="28">
        <v>7.3770491803278687E-2</v>
      </c>
      <c r="AT82" s="28">
        <v>0.34426229508196721</v>
      </c>
      <c r="AU82" s="25">
        <v>0.79</v>
      </c>
      <c r="AV82" s="25">
        <v>3.44</v>
      </c>
      <c r="AW82" s="25">
        <v>2.65</v>
      </c>
      <c r="AX82" s="25">
        <v>2.6056249999999999</v>
      </c>
      <c r="AY82">
        <v>2.6056249999999999</v>
      </c>
      <c r="AZ82">
        <v>5.9703320286696879</v>
      </c>
      <c r="BA82" s="75">
        <v>0.52453741991489755</v>
      </c>
      <c r="BB82" s="75">
        <v>0.55711138795694093</v>
      </c>
      <c r="BE82">
        <v>4.1300485805503127E-2</v>
      </c>
      <c r="BF82">
        <v>4.3865261269887712E-2</v>
      </c>
      <c r="BH82">
        <v>8.5165747075390846E-2</v>
      </c>
      <c r="BI82">
        <v>4.2582873537695423E-2</v>
      </c>
      <c r="BJ82">
        <v>0.54082440393591924</v>
      </c>
    </row>
    <row r="83" spans="1:62" x14ac:dyDescent="0.3">
      <c r="A83" s="2" t="s">
        <v>679</v>
      </c>
      <c r="B83" s="17" t="s">
        <v>899</v>
      </c>
      <c r="C83" s="2" t="s">
        <v>681</v>
      </c>
      <c r="F83" s="2">
        <v>4.3</v>
      </c>
      <c r="G83" s="2" t="s">
        <v>64</v>
      </c>
      <c r="H83" s="12" t="s">
        <v>683</v>
      </c>
      <c r="I83">
        <v>7221084</v>
      </c>
      <c r="J83"/>
      <c r="L83" s="25">
        <v>0</v>
      </c>
      <c r="M83">
        <v>2</v>
      </c>
      <c r="N83">
        <v>0</v>
      </c>
      <c r="O83" s="1">
        <v>3.87</v>
      </c>
      <c r="P83" s="1">
        <v>3.87</v>
      </c>
      <c r="Q83" s="2">
        <v>17.2</v>
      </c>
      <c r="R83" s="2" t="s">
        <v>439</v>
      </c>
      <c r="T83" s="25">
        <v>0</v>
      </c>
      <c r="U83" s="25"/>
      <c r="V83" s="25"/>
      <c r="W83">
        <v>3.8607</v>
      </c>
      <c r="X83">
        <v>3.8607</v>
      </c>
      <c r="Y83">
        <v>29.216000000000001</v>
      </c>
      <c r="Z83">
        <v>0</v>
      </c>
      <c r="AA83"/>
      <c r="AB83"/>
      <c r="AD83">
        <v>20</v>
      </c>
      <c r="AE83" s="55">
        <f t="shared" si="1"/>
        <v>257.60268000000002</v>
      </c>
      <c r="AF83" s="57">
        <v>0</v>
      </c>
      <c r="AG83" s="55">
        <v>435.46461117984001</v>
      </c>
      <c r="AH83" s="55">
        <v>0</v>
      </c>
      <c r="AI83" s="52"/>
      <c r="AJ83" s="51"/>
      <c r="AK83" s="52">
        <v>9.1855914288016927E-2</v>
      </c>
      <c r="AL83" s="52"/>
      <c r="AM83" s="28">
        <v>1.940917661847894</v>
      </c>
      <c r="AN83" s="28">
        <v>2.5141420490257702</v>
      </c>
      <c r="AO83" s="28">
        <v>0.56568196103079826</v>
      </c>
      <c r="AP83" s="28">
        <v>2.6398491514770579</v>
      </c>
      <c r="AQ83" s="28">
        <v>0.2533639645553003</v>
      </c>
      <c r="AR83" s="28">
        <v>0.32819166393173621</v>
      </c>
      <c r="AS83" s="28">
        <v>7.3843124384640635E-2</v>
      </c>
      <c r="AT83" s="28">
        <v>0.34460124712832302</v>
      </c>
      <c r="AU83" s="25">
        <v>0.79</v>
      </c>
      <c r="AV83" s="25">
        <v>3.44</v>
      </c>
      <c r="AW83" s="25">
        <v>2.65</v>
      </c>
      <c r="AX83" s="25">
        <v>2.62350722815839</v>
      </c>
      <c r="AY83">
        <v>2.6235072281583909</v>
      </c>
      <c r="AZ83">
        <v>6.0278785903935539</v>
      </c>
      <c r="BB83" s="75">
        <v>0</v>
      </c>
      <c r="BF83">
        <v>4.5927957144008463E-2</v>
      </c>
      <c r="BH83">
        <v>9.1855914288016927E-2</v>
      </c>
      <c r="BI83">
        <v>4.5927957144008463E-2</v>
      </c>
      <c r="BJ83">
        <v>0</v>
      </c>
    </row>
    <row r="84" spans="1:62" x14ac:dyDescent="0.3">
      <c r="A84" s="2" t="s">
        <v>680</v>
      </c>
      <c r="B84" s="17" t="s">
        <v>900</v>
      </c>
      <c r="C84" s="2" t="s">
        <v>682</v>
      </c>
      <c r="F84" s="2">
        <v>4.2</v>
      </c>
      <c r="G84" s="2" t="s">
        <v>64</v>
      </c>
      <c r="H84" s="9">
        <v>-1</v>
      </c>
      <c r="I84">
        <v>-1</v>
      </c>
      <c r="J84"/>
      <c r="K84" s="2">
        <v>1</v>
      </c>
      <c r="L84" s="25">
        <v>0</v>
      </c>
      <c r="M84">
        <v>0</v>
      </c>
      <c r="N84">
        <v>0</v>
      </c>
      <c r="O84" s="1">
        <v>3.87</v>
      </c>
      <c r="P84" s="1">
        <v>3.87</v>
      </c>
      <c r="Q84" s="2">
        <v>14.4</v>
      </c>
      <c r="R84" s="2" t="s">
        <v>439</v>
      </c>
      <c r="T84" s="25">
        <v>0</v>
      </c>
      <c r="U84" s="25"/>
      <c r="V84" s="25"/>
      <c r="W84">
        <v>0</v>
      </c>
      <c r="X84"/>
      <c r="Y84"/>
      <c r="Z84">
        <v>0</v>
      </c>
      <c r="AA84"/>
      <c r="AB84"/>
      <c r="AD84">
        <v>20</v>
      </c>
      <c r="AE84" s="55">
        <f t="shared" si="1"/>
        <v>215.66736</v>
      </c>
      <c r="AF84" s="57">
        <v>0</v>
      </c>
      <c r="AG84" s="55">
        <v>0</v>
      </c>
      <c r="AH84" s="55">
        <v>0</v>
      </c>
      <c r="AI84" s="52">
        <f>K84*AD84/AE84</f>
        <v>9.2735405116471964E-2</v>
      </c>
      <c r="AJ84" s="51"/>
      <c r="AK84" s="52"/>
      <c r="AL84" s="52"/>
      <c r="AM84" s="28">
        <v>1.937926753569212</v>
      </c>
      <c r="AN84" s="28">
        <v>2.4829298572315328</v>
      </c>
      <c r="AO84" s="28">
        <v>0.55865921787709494</v>
      </c>
      <c r="AP84" s="28">
        <v>2.6070763500931098</v>
      </c>
      <c r="AQ84" s="28">
        <v>0.25544100801832759</v>
      </c>
      <c r="AR84" s="28">
        <v>0.32727867779414171</v>
      </c>
      <c r="AS84" s="28">
        <v>7.3637702503681887E-2</v>
      </c>
      <c r="AT84" s="28">
        <v>0.3436426116838488</v>
      </c>
      <c r="AU84" s="25">
        <v>0.79</v>
      </c>
      <c r="AV84" s="25">
        <v>3.44</v>
      </c>
      <c r="AW84" s="25">
        <v>2.65</v>
      </c>
      <c r="AX84" s="25">
        <v>2.671675977653631</v>
      </c>
      <c r="AY84">
        <v>2.671675977653631</v>
      </c>
      <c r="AZ84">
        <v>6.2243029613210306</v>
      </c>
      <c r="BD84">
        <v>4.6367702558235982E-2</v>
      </c>
      <c r="BH84">
        <v>9.2735405116471964E-2</v>
      </c>
      <c r="BI84">
        <v>4.6367702558235982E-2</v>
      </c>
      <c r="BJ84">
        <v>0</v>
      </c>
    </row>
    <row r="85" spans="1:62" x14ac:dyDescent="0.3">
      <c r="A85" s="2" t="s">
        <v>855</v>
      </c>
      <c r="B85" s="17" t="s">
        <v>901</v>
      </c>
      <c r="C85" s="2" t="s">
        <v>854</v>
      </c>
      <c r="F85" s="2">
        <v>4</v>
      </c>
      <c r="G85" s="2" t="s">
        <v>64</v>
      </c>
      <c r="H85" s="9">
        <v>-1</v>
      </c>
      <c r="I85">
        <v>-1</v>
      </c>
      <c r="J85"/>
      <c r="K85" s="2">
        <v>2</v>
      </c>
      <c r="L85" s="25">
        <v>0</v>
      </c>
      <c r="M85">
        <v>0</v>
      </c>
      <c r="N85">
        <v>0</v>
      </c>
      <c r="O85" s="1">
        <v>3.87</v>
      </c>
      <c r="P85" s="1">
        <v>3.87</v>
      </c>
      <c r="Q85" s="2">
        <v>28.5</v>
      </c>
      <c r="R85" s="2" t="s">
        <v>439</v>
      </c>
      <c r="T85" s="25">
        <v>0</v>
      </c>
      <c r="U85" s="25"/>
      <c r="V85" s="25"/>
      <c r="W85">
        <v>0</v>
      </c>
      <c r="X85"/>
      <c r="Y85"/>
      <c r="Z85">
        <v>0</v>
      </c>
      <c r="AA85"/>
      <c r="AB85"/>
      <c r="AD85">
        <v>20</v>
      </c>
      <c r="AE85" s="55">
        <f t="shared" si="1"/>
        <v>426.84165000000002</v>
      </c>
      <c r="AF85" s="57">
        <v>0</v>
      </c>
      <c r="AG85" s="55">
        <v>0</v>
      </c>
      <c r="AH85" s="55">
        <v>0</v>
      </c>
      <c r="AI85" s="52">
        <f>K85*AD85/AE85</f>
        <v>9.3711567275592711E-2</v>
      </c>
      <c r="AJ85" s="51"/>
      <c r="AK85" s="52"/>
      <c r="AL85" s="52"/>
      <c r="AM85" s="28">
        <v>1.9375</v>
      </c>
      <c r="AN85" s="28">
        <v>2.5</v>
      </c>
      <c r="AO85" s="28">
        <v>0.5625</v>
      </c>
      <c r="AP85" s="28">
        <v>2.625</v>
      </c>
      <c r="AQ85" s="28">
        <v>0.25409836065573771</v>
      </c>
      <c r="AR85" s="28">
        <v>0.32786885245901642</v>
      </c>
      <c r="AS85" s="28">
        <v>7.3770491803278687E-2</v>
      </c>
      <c r="AT85" s="28">
        <v>0.34426229508196721</v>
      </c>
      <c r="AU85" s="25">
        <v>1</v>
      </c>
      <c r="AV85" s="25">
        <v>3.44</v>
      </c>
      <c r="AW85" s="25">
        <v>2.44</v>
      </c>
      <c r="AX85" s="25">
        <v>2.6937500000000001</v>
      </c>
      <c r="AY85">
        <v>2.6937500000000001</v>
      </c>
      <c r="AZ85">
        <v>6.2824412981156881</v>
      </c>
      <c r="BD85">
        <v>4.6855783637796362E-2</v>
      </c>
      <c r="BH85">
        <v>9.3711567275592711E-2</v>
      </c>
      <c r="BI85">
        <v>4.6855783637796362E-2</v>
      </c>
      <c r="BJ85">
        <v>0</v>
      </c>
    </row>
    <row r="86" spans="1:62" x14ac:dyDescent="0.3">
      <c r="A86" s="2" t="s">
        <v>65</v>
      </c>
      <c r="B86" s="13" t="s">
        <v>735</v>
      </c>
      <c r="C86" s="13"/>
      <c r="F86" s="2">
        <v>2.62</v>
      </c>
      <c r="G86" s="2" t="s">
        <v>66</v>
      </c>
      <c r="H86" s="9" t="s">
        <v>559</v>
      </c>
      <c r="I86" t="s">
        <v>637</v>
      </c>
      <c r="J86"/>
      <c r="L86" s="25">
        <v>2</v>
      </c>
      <c r="M86">
        <v>4</v>
      </c>
      <c r="N86">
        <v>0</v>
      </c>
      <c r="O86" s="2">
        <v>5.4580000000000002</v>
      </c>
      <c r="P86" s="2">
        <v>5.4210000000000003</v>
      </c>
      <c r="Q86" s="2">
        <v>41.02</v>
      </c>
      <c r="R86" s="2" t="s">
        <v>450</v>
      </c>
      <c r="T86" s="25">
        <v>5.5344280000000001</v>
      </c>
      <c r="U86" s="25">
        <v>5.4860709999999999</v>
      </c>
      <c r="V86" s="25">
        <v>20.96113527</v>
      </c>
      <c r="W86">
        <v>5.4676999999999998</v>
      </c>
      <c r="X86">
        <v>5.4396000000000004</v>
      </c>
      <c r="Y86">
        <v>41.247500000000002</v>
      </c>
      <c r="Z86">
        <v>0</v>
      </c>
      <c r="AA86"/>
      <c r="AB86"/>
      <c r="AD86">
        <v>30</v>
      </c>
      <c r="AE86" s="55">
        <f t="shared" si="1"/>
        <v>1213.6922943600002</v>
      </c>
      <c r="AF86" s="57">
        <v>630.95473618941708</v>
      </c>
      <c r="AG86" s="55">
        <v>1226.7873076977</v>
      </c>
      <c r="AH86" s="55">
        <v>0</v>
      </c>
      <c r="AI86" s="52"/>
      <c r="AJ86" s="51">
        <v>9.5093984653104466E-2</v>
      </c>
      <c r="AK86" s="52">
        <v>9.781646683743643E-2</v>
      </c>
      <c r="AL86" s="52"/>
      <c r="AM86" s="28">
        <v>2</v>
      </c>
      <c r="AN86" s="28">
        <v>3.125</v>
      </c>
      <c r="AO86" s="28">
        <v>2.583333333333333</v>
      </c>
      <c r="AP86" s="28">
        <v>2.916666666666667</v>
      </c>
      <c r="AQ86" s="28">
        <v>0.18823529411764711</v>
      </c>
      <c r="AR86" s="28">
        <v>0.29411764705882348</v>
      </c>
      <c r="AS86" s="28">
        <v>0.24313725490196081</v>
      </c>
      <c r="AT86" s="28">
        <v>0.2745098039215686</v>
      </c>
      <c r="AU86" s="25">
        <v>1.54</v>
      </c>
      <c r="AV86" s="25">
        <v>3.44</v>
      </c>
      <c r="AW86" s="25">
        <v>1.9</v>
      </c>
      <c r="AX86" s="25">
        <v>2.839583333333334</v>
      </c>
      <c r="AY86">
        <v>2.8395833333333331</v>
      </c>
      <c r="AZ86">
        <v>6.168614470625001</v>
      </c>
      <c r="BA86" s="75">
        <v>0.52762523515344584</v>
      </c>
      <c r="BB86" s="75">
        <v>0</v>
      </c>
      <c r="BE86">
        <v>4.7546992326552233E-2</v>
      </c>
      <c r="BF86">
        <v>4.8908233418718222E-2</v>
      </c>
      <c r="BH86">
        <v>9.6455225745270448E-2</v>
      </c>
      <c r="BI86">
        <v>4.8227612872635231E-2</v>
      </c>
      <c r="BJ86">
        <v>0.26381261757672292</v>
      </c>
    </row>
    <row r="87" spans="1:62" x14ac:dyDescent="0.3">
      <c r="A87" s="2" t="s">
        <v>67</v>
      </c>
      <c r="B87" s="13" t="s">
        <v>736</v>
      </c>
      <c r="C87" s="13"/>
      <c r="F87" s="2">
        <v>2.67</v>
      </c>
      <c r="G87" s="2" t="s">
        <v>66</v>
      </c>
      <c r="H87" s="9">
        <v>-1</v>
      </c>
      <c r="I87">
        <v>-1</v>
      </c>
      <c r="J87"/>
      <c r="K87" s="2">
        <v>4</v>
      </c>
      <c r="L87" s="25">
        <v>0</v>
      </c>
      <c r="M87">
        <v>0</v>
      </c>
      <c r="N87">
        <v>0</v>
      </c>
      <c r="O87" s="2">
        <v>5.4359999999999999</v>
      </c>
      <c r="P87" s="2">
        <v>5.42</v>
      </c>
      <c r="Q87" s="2">
        <v>41.19</v>
      </c>
      <c r="R87" s="2" t="s">
        <v>450</v>
      </c>
      <c r="T87" s="25">
        <v>0</v>
      </c>
      <c r="U87" s="25"/>
      <c r="V87" s="25"/>
      <c r="W87">
        <v>0</v>
      </c>
      <c r="X87"/>
      <c r="Y87"/>
      <c r="Z87">
        <v>0</v>
      </c>
      <c r="AA87"/>
      <c r="AB87"/>
      <c r="AD87">
        <v>30</v>
      </c>
      <c r="AE87" s="55">
        <f t="shared" si="1"/>
        <v>1213.5859128</v>
      </c>
      <c r="AF87" s="57">
        <v>0</v>
      </c>
      <c r="AG87" s="55">
        <v>0</v>
      </c>
      <c r="AH87" s="55">
        <v>0</v>
      </c>
      <c r="AI87" s="52">
        <f>K87*AD87/AE87</f>
        <v>9.8880514955166685E-2</v>
      </c>
      <c r="AJ87" s="51"/>
      <c r="AK87" s="52"/>
      <c r="AL87" s="52"/>
      <c r="AM87" s="28">
        <v>2</v>
      </c>
      <c r="AN87" s="28">
        <v>3</v>
      </c>
      <c r="AO87" s="28">
        <v>2.208333333333333</v>
      </c>
      <c r="AP87" s="28">
        <v>2.333333333333333</v>
      </c>
      <c r="AQ87" s="28">
        <v>0.20960698689956331</v>
      </c>
      <c r="AR87" s="28">
        <v>0.31441048034934499</v>
      </c>
      <c r="AS87" s="28">
        <v>0.23144104803493451</v>
      </c>
      <c r="AT87" s="28">
        <v>0.24454148471615719</v>
      </c>
      <c r="AU87" s="25">
        <v>1.1000000000000001</v>
      </c>
      <c r="AV87" s="25">
        <v>3.44</v>
      </c>
      <c r="AW87" s="25">
        <v>2.34</v>
      </c>
      <c r="AX87" s="25">
        <v>2.80125</v>
      </c>
      <c r="AY87">
        <v>2.80125</v>
      </c>
      <c r="AZ87">
        <v>6.1250013054166672</v>
      </c>
      <c r="BD87">
        <v>4.9440257477583342E-2</v>
      </c>
      <c r="BH87">
        <v>9.8880514955166685E-2</v>
      </c>
      <c r="BI87">
        <v>4.9440257477583342E-2</v>
      </c>
      <c r="BJ87">
        <v>0</v>
      </c>
    </row>
    <row r="88" spans="1:62" x14ac:dyDescent="0.3">
      <c r="A88" s="2" t="s">
        <v>68</v>
      </c>
      <c r="B88" s="13" t="s">
        <v>737</v>
      </c>
      <c r="C88" s="13"/>
      <c r="F88" s="2">
        <v>2.71</v>
      </c>
      <c r="G88" s="2" t="s">
        <v>66</v>
      </c>
      <c r="H88" s="9">
        <v>-1</v>
      </c>
      <c r="I88">
        <v>-1</v>
      </c>
      <c r="J88"/>
      <c r="K88" s="2">
        <v>4</v>
      </c>
      <c r="L88" s="25">
        <v>0</v>
      </c>
      <c r="M88">
        <v>0</v>
      </c>
      <c r="N88">
        <v>0</v>
      </c>
      <c r="O88" s="2">
        <v>5.4370000000000003</v>
      </c>
      <c r="P88" s="2">
        <v>5.4359999999999999</v>
      </c>
      <c r="Q88" s="2">
        <v>41.29</v>
      </c>
      <c r="R88" s="2" t="s">
        <v>450</v>
      </c>
      <c r="T88" s="25">
        <v>0</v>
      </c>
      <c r="U88" s="25"/>
      <c r="V88" s="25"/>
      <c r="W88">
        <v>0</v>
      </c>
      <c r="X88"/>
      <c r="Y88"/>
      <c r="Z88">
        <v>0</v>
      </c>
      <c r="AA88"/>
      <c r="AB88"/>
      <c r="AD88">
        <v>30</v>
      </c>
      <c r="AE88" s="55">
        <f t="shared" si="1"/>
        <v>1220.3479162799999</v>
      </c>
      <c r="AF88" s="57">
        <v>0</v>
      </c>
      <c r="AG88" s="55">
        <v>0</v>
      </c>
      <c r="AH88" s="55">
        <v>0</v>
      </c>
      <c r="AI88" s="52">
        <f>K88*AD88/AE88</f>
        <v>9.8332613510577649E-2</v>
      </c>
      <c r="AJ88" s="51"/>
      <c r="AK88" s="52"/>
      <c r="AL88" s="52"/>
      <c r="AM88" s="28">
        <v>2</v>
      </c>
      <c r="AN88" s="28">
        <v>2.875</v>
      </c>
      <c r="AO88" s="28">
        <v>1.833333333333333</v>
      </c>
      <c r="AP88" s="28">
        <v>1.75</v>
      </c>
      <c r="AQ88" s="28">
        <v>0.23645320197044331</v>
      </c>
      <c r="AR88" s="28">
        <v>0.33990147783251229</v>
      </c>
      <c r="AS88" s="28">
        <v>0.21674876847290639</v>
      </c>
      <c r="AT88" s="28">
        <v>0.2068965517241379</v>
      </c>
      <c r="AU88" s="25">
        <v>1.1000000000000001</v>
      </c>
      <c r="AV88" s="25">
        <v>3.44</v>
      </c>
      <c r="AW88" s="25">
        <v>2.34</v>
      </c>
      <c r="AX88" s="25">
        <v>2.7629166666666669</v>
      </c>
      <c r="AY88">
        <v>2.762916666666666</v>
      </c>
      <c r="AZ88">
        <v>6.0813881402083334</v>
      </c>
      <c r="BD88">
        <v>4.9166306755288817E-2</v>
      </c>
      <c r="BH88">
        <v>9.8332613510577649E-2</v>
      </c>
      <c r="BI88">
        <v>4.9166306755288817E-2</v>
      </c>
      <c r="BJ88">
        <v>0</v>
      </c>
    </row>
    <row r="89" spans="1:62" x14ac:dyDescent="0.3">
      <c r="A89" s="2" t="s">
        <v>69</v>
      </c>
      <c r="B89" s="13" t="s">
        <v>738</v>
      </c>
      <c r="C89" s="13"/>
      <c r="F89" s="2">
        <v>2.75</v>
      </c>
      <c r="G89" s="2" t="s">
        <v>70</v>
      </c>
      <c r="H89" s="9" t="s">
        <v>560</v>
      </c>
      <c r="I89" t="s">
        <v>638</v>
      </c>
      <c r="J89"/>
      <c r="L89" s="25">
        <v>2</v>
      </c>
      <c r="M89">
        <v>4</v>
      </c>
      <c r="N89">
        <v>0</v>
      </c>
      <c r="T89" s="25">
        <v>8.3195821399999996</v>
      </c>
      <c r="U89" s="25">
        <v>8.3195821399999996</v>
      </c>
      <c r="V89" s="25">
        <v>8.2425581700000006</v>
      </c>
      <c r="W89">
        <v>5.5339970000000003</v>
      </c>
      <c r="X89">
        <v>5.4998300000000002</v>
      </c>
      <c r="Y89">
        <v>16.550709999999999</v>
      </c>
      <c r="Z89">
        <v>0</v>
      </c>
      <c r="AA89"/>
      <c r="AB89"/>
      <c r="AD89">
        <v>12</v>
      </c>
      <c r="AE89" s="55">
        <f t="shared" si="1"/>
        <v>0</v>
      </c>
      <c r="AF89" s="57">
        <v>248.80917443900231</v>
      </c>
      <c r="AG89" s="55">
        <v>503.73811661477208</v>
      </c>
      <c r="AH89" s="55">
        <v>0</v>
      </c>
      <c r="AI89" s="52"/>
      <c r="AJ89" s="51">
        <v>9.6459465588893734E-2</v>
      </c>
      <c r="AK89" s="52">
        <v>9.5287607621536111E-2</v>
      </c>
      <c r="AL89" s="52"/>
      <c r="AM89" s="28">
        <v>2</v>
      </c>
      <c r="AN89" s="28">
        <v>3.333333333333333</v>
      </c>
      <c r="AO89" s="28">
        <v>2.666666666666667</v>
      </c>
      <c r="AP89" s="28">
        <v>4.666666666666667</v>
      </c>
      <c r="AQ89" s="28">
        <v>0.15789473684210531</v>
      </c>
      <c r="AR89" s="28">
        <v>0.26315789473684209</v>
      </c>
      <c r="AS89" s="28">
        <v>0.2105263157894737</v>
      </c>
      <c r="AT89" s="28">
        <v>0.36842105263157898</v>
      </c>
      <c r="AU89" s="25">
        <v>2.02</v>
      </c>
      <c r="AV89" s="25">
        <v>3.44</v>
      </c>
      <c r="AW89" s="25">
        <v>1.42</v>
      </c>
      <c r="AX89" s="25">
        <v>3.0044444444444438</v>
      </c>
      <c r="AY89">
        <v>3.0044444444444438</v>
      </c>
      <c r="AZ89">
        <v>6.4228342255555546</v>
      </c>
      <c r="BA89" s="75">
        <v>0.52562348257484404</v>
      </c>
      <c r="BB89" s="75">
        <v>0.51923783589802341</v>
      </c>
      <c r="BE89">
        <v>4.8229732794446867E-2</v>
      </c>
      <c r="BF89">
        <v>4.7643803810768062E-2</v>
      </c>
      <c r="BH89">
        <v>9.5873536605214915E-2</v>
      </c>
      <c r="BI89">
        <v>4.7936768302607458E-2</v>
      </c>
      <c r="BJ89">
        <v>0.52243065923643373</v>
      </c>
    </row>
    <row r="90" spans="1:62" x14ac:dyDescent="0.3">
      <c r="A90" s="2" t="s">
        <v>71</v>
      </c>
      <c r="B90" s="13" t="s">
        <v>739</v>
      </c>
      <c r="C90" s="13"/>
      <c r="F90" s="2">
        <v>3.59</v>
      </c>
      <c r="G90" s="2" t="s">
        <v>77</v>
      </c>
      <c r="H90" s="9" t="s">
        <v>561</v>
      </c>
      <c r="I90" t="s">
        <v>639</v>
      </c>
      <c r="J90"/>
      <c r="L90" s="25">
        <v>2</v>
      </c>
      <c r="M90">
        <v>2</v>
      </c>
      <c r="N90">
        <v>0</v>
      </c>
      <c r="T90" s="25">
        <v>3.8703880000000002</v>
      </c>
      <c r="U90" s="25">
        <v>3.8703880000000002</v>
      </c>
      <c r="V90" s="25">
        <v>13.604850000000001</v>
      </c>
      <c r="W90">
        <v>3.8415499999999998</v>
      </c>
      <c r="X90">
        <v>3.8415499999999998</v>
      </c>
      <c r="Y90">
        <v>13.4695</v>
      </c>
      <c r="Z90">
        <v>0</v>
      </c>
      <c r="AA90"/>
      <c r="AB90"/>
      <c r="AD90">
        <v>8</v>
      </c>
      <c r="AE90" s="55">
        <f t="shared" si="1"/>
        <v>0</v>
      </c>
      <c r="AF90" s="57">
        <v>203.79933701026059</v>
      </c>
      <c r="AG90" s="55">
        <v>198.77623248847371</v>
      </c>
      <c r="AH90" s="55">
        <v>0</v>
      </c>
      <c r="AI90" s="52"/>
      <c r="AJ90" s="51">
        <v>7.8508596910668346E-2</v>
      </c>
      <c r="AK90" s="52">
        <v>8.0492520658513728E-2</v>
      </c>
      <c r="AL90" s="52"/>
      <c r="AM90" s="28">
        <v>1.857142857142857</v>
      </c>
      <c r="AN90" s="28">
        <v>2.285714285714286</v>
      </c>
      <c r="AO90" s="28">
        <v>0.42857142857142849</v>
      </c>
      <c r="AP90" s="28">
        <v>0</v>
      </c>
      <c r="AQ90" s="28">
        <v>0.40625000000000011</v>
      </c>
      <c r="AR90" s="28">
        <v>0.5</v>
      </c>
      <c r="AS90" s="28">
        <v>9.375E-2</v>
      </c>
      <c r="AT90" s="28">
        <v>0</v>
      </c>
      <c r="AU90" s="25">
        <v>0.82</v>
      </c>
      <c r="AV90" s="25">
        <v>3.44</v>
      </c>
      <c r="AW90" s="25">
        <v>2.62</v>
      </c>
      <c r="AX90" s="25">
        <v>2.46</v>
      </c>
      <c r="AY90">
        <v>2.46</v>
      </c>
      <c r="AZ90">
        <v>5.5854910899999997</v>
      </c>
      <c r="BA90" s="75">
        <v>0.55645098073491572</v>
      </c>
      <c r="BB90" s="75">
        <v>0.57051257855519</v>
      </c>
      <c r="BE90">
        <v>3.9254298455334173E-2</v>
      </c>
      <c r="BF90">
        <v>4.0246260329256871E-2</v>
      </c>
      <c r="BH90">
        <v>7.950055878459103E-2</v>
      </c>
      <c r="BI90">
        <v>3.9750279392295522E-2</v>
      </c>
      <c r="BJ90">
        <v>0.56348177964505286</v>
      </c>
    </row>
    <row r="91" spans="1:62" x14ac:dyDescent="0.3">
      <c r="A91" s="2" t="s">
        <v>72</v>
      </c>
      <c r="B91" s="17" t="s">
        <v>902</v>
      </c>
      <c r="C91" s="13"/>
      <c r="F91" s="2">
        <v>3.74</v>
      </c>
      <c r="G91" s="2" t="s">
        <v>77</v>
      </c>
      <c r="H91" s="32" t="s">
        <v>561</v>
      </c>
      <c r="I91" s="1" t="s">
        <v>639</v>
      </c>
      <c r="J91"/>
      <c r="L91" s="25">
        <v>0</v>
      </c>
      <c r="M91">
        <v>2</v>
      </c>
      <c r="N91">
        <v>0</v>
      </c>
      <c r="T91" s="25">
        <v>0</v>
      </c>
      <c r="U91" s="25"/>
      <c r="V91" s="25"/>
      <c r="W91">
        <v>3.8415499999999998</v>
      </c>
      <c r="X91">
        <v>3.8415499999999998</v>
      </c>
      <c r="Y91">
        <v>13.4695</v>
      </c>
      <c r="Z91">
        <v>0</v>
      </c>
      <c r="AA91"/>
      <c r="AB91"/>
      <c r="AD91">
        <v>8</v>
      </c>
      <c r="AE91" s="55">
        <f t="shared" si="1"/>
        <v>0</v>
      </c>
      <c r="AF91" s="57">
        <v>0</v>
      </c>
      <c r="AG91" s="55">
        <v>198.77623248847371</v>
      </c>
      <c r="AH91" s="55">
        <v>0</v>
      </c>
      <c r="AI91" s="52"/>
      <c r="AJ91" s="51"/>
      <c r="AK91" s="52">
        <v>8.0492520658513728E-2</v>
      </c>
      <c r="AL91" s="52"/>
      <c r="AM91" s="28">
        <v>1.857142857142857</v>
      </c>
      <c r="AN91" s="28">
        <v>2.285714285714286</v>
      </c>
      <c r="AO91" s="28">
        <v>0.42857142857142849</v>
      </c>
      <c r="AP91" s="28">
        <v>0</v>
      </c>
      <c r="AQ91" s="28">
        <v>0.40625000000000011</v>
      </c>
      <c r="AR91" s="28">
        <v>0.5</v>
      </c>
      <c r="AS91" s="28">
        <v>9.375E-2</v>
      </c>
      <c r="AT91" s="28">
        <v>0</v>
      </c>
      <c r="AU91" s="25">
        <v>0.82</v>
      </c>
      <c r="AV91" s="25">
        <v>3.44</v>
      </c>
      <c r="AW91" s="25">
        <v>2.62</v>
      </c>
      <c r="AX91" s="25">
        <v>2.4569999999999999</v>
      </c>
      <c r="AY91">
        <v>2.4569999999999999</v>
      </c>
      <c r="AZ91">
        <v>5.5866607328571423</v>
      </c>
      <c r="BA91" s="75">
        <v>0.55645098073491572</v>
      </c>
      <c r="BB91" s="75">
        <v>0.57051257855519</v>
      </c>
      <c r="BF91">
        <v>4.0246260329256871E-2</v>
      </c>
      <c r="BH91">
        <v>8.0492520658513728E-2</v>
      </c>
      <c r="BI91">
        <v>4.0246260329256871E-2</v>
      </c>
      <c r="BJ91">
        <v>0.56348177964505286</v>
      </c>
    </row>
    <row r="92" spans="1:62" x14ac:dyDescent="0.3">
      <c r="A92" s="2" t="s">
        <v>76</v>
      </c>
      <c r="B92" s="17" t="s">
        <v>903</v>
      </c>
      <c r="C92" s="13"/>
      <c r="F92" s="2">
        <v>3.82</v>
      </c>
      <c r="G92" s="2" t="s">
        <v>77</v>
      </c>
      <c r="H92" s="32" t="s">
        <v>1154</v>
      </c>
      <c r="I92" s="1" t="s">
        <v>1155</v>
      </c>
      <c r="J92"/>
      <c r="L92" s="25">
        <v>0</v>
      </c>
      <c r="M92">
        <v>1</v>
      </c>
      <c r="N92">
        <v>0</v>
      </c>
      <c r="T92" s="25">
        <v>0</v>
      </c>
      <c r="U92" s="25"/>
      <c r="V92" s="25"/>
      <c r="W92">
        <v>6.7352999999999987</v>
      </c>
      <c r="X92">
        <v>8.0756999999999994</v>
      </c>
      <c r="Y92">
        <v>15.016999999999999</v>
      </c>
      <c r="Z92">
        <v>0</v>
      </c>
      <c r="AA92"/>
      <c r="AB92"/>
      <c r="AD92">
        <v>8</v>
      </c>
      <c r="AE92" s="55">
        <f t="shared" si="1"/>
        <v>0</v>
      </c>
      <c r="AF92" s="57">
        <v>0</v>
      </c>
      <c r="AG92" s="55">
        <v>801.31327174450405</v>
      </c>
      <c r="AH92" s="55">
        <v>0</v>
      </c>
      <c r="AI92" s="52"/>
      <c r="AJ92" s="51"/>
      <c r="AK92" s="52">
        <v>9.9836110071951645E-3</v>
      </c>
      <c r="AL92" s="52"/>
      <c r="AM92" s="28">
        <v>1.857142857142857</v>
      </c>
      <c r="AN92" s="28">
        <v>2.285714285714286</v>
      </c>
      <c r="AO92" s="28">
        <v>0.42857142857142849</v>
      </c>
      <c r="AP92" s="28">
        <v>0</v>
      </c>
      <c r="AQ92" s="28">
        <v>0.40625000000000011</v>
      </c>
      <c r="AR92" s="28">
        <v>0.5</v>
      </c>
      <c r="AS92" s="28">
        <v>9.375E-2</v>
      </c>
      <c r="AT92" s="28">
        <v>0</v>
      </c>
      <c r="AU92" s="25">
        <v>0.82</v>
      </c>
      <c r="AV92" s="25">
        <v>3.44</v>
      </c>
      <c r="AW92" s="25">
        <v>2.62</v>
      </c>
      <c r="AX92" s="25">
        <v>2.4510000000000001</v>
      </c>
      <c r="AY92">
        <v>2.4510000000000001</v>
      </c>
      <c r="AZ92">
        <v>5.5890000185714284</v>
      </c>
      <c r="BB92" s="75">
        <v>0.26693366029414328</v>
      </c>
      <c r="BF92">
        <v>4.9918055035975822E-3</v>
      </c>
      <c r="BH92">
        <v>9.9836110071951645E-3</v>
      </c>
      <c r="BI92">
        <v>4.9918055035975822E-3</v>
      </c>
      <c r="BJ92">
        <v>0.26693366029414328</v>
      </c>
    </row>
    <row r="93" spans="1:62" x14ac:dyDescent="0.3">
      <c r="A93" s="2" t="s">
        <v>75</v>
      </c>
      <c r="B93" s="17" t="s">
        <v>904</v>
      </c>
      <c r="C93" s="13"/>
      <c r="F93" s="2">
        <v>4.16</v>
      </c>
      <c r="G93" s="2" t="s">
        <v>77</v>
      </c>
      <c r="H93" s="32" t="s">
        <v>1156</v>
      </c>
      <c r="I93" s="1" t="s">
        <v>1157</v>
      </c>
      <c r="J93"/>
      <c r="L93" s="25">
        <v>0</v>
      </c>
      <c r="M93">
        <v>4</v>
      </c>
      <c r="N93">
        <v>0</v>
      </c>
      <c r="T93" s="25">
        <v>0</v>
      </c>
      <c r="U93" s="25"/>
      <c r="V93" s="25"/>
      <c r="W93">
        <v>18.184000000000001</v>
      </c>
      <c r="X93">
        <v>13.009</v>
      </c>
      <c r="Y93">
        <v>13.112</v>
      </c>
      <c r="Z93">
        <v>0</v>
      </c>
      <c r="AA93"/>
      <c r="AB93"/>
      <c r="AD93">
        <v>8</v>
      </c>
      <c r="AE93" s="55">
        <f t="shared" si="1"/>
        <v>0</v>
      </c>
      <c r="AF93" s="57">
        <v>0</v>
      </c>
      <c r="AG93" s="55">
        <v>2626.6697286954709</v>
      </c>
      <c r="AH93" s="55">
        <v>0</v>
      </c>
      <c r="AI93" s="52"/>
      <c r="AJ93" s="51"/>
      <c r="AK93" s="52">
        <v>1.2182726914773829E-2</v>
      </c>
      <c r="AL93" s="52"/>
      <c r="AM93" s="28">
        <v>1.857142857142857</v>
      </c>
      <c r="AN93" s="28">
        <v>2.285714285714286</v>
      </c>
      <c r="AO93" s="28">
        <v>0.42857142857142849</v>
      </c>
      <c r="AP93" s="28">
        <v>0</v>
      </c>
      <c r="AQ93" s="28">
        <v>0.40625000000000011</v>
      </c>
      <c r="AR93" s="28">
        <v>0.5</v>
      </c>
      <c r="AS93" s="28">
        <v>9.375E-2</v>
      </c>
      <c r="AT93" s="28">
        <v>0</v>
      </c>
      <c r="AU93" s="25">
        <v>0.82</v>
      </c>
      <c r="AV93" s="25">
        <v>3.44</v>
      </c>
      <c r="AW93" s="25">
        <v>2.62</v>
      </c>
      <c r="AX93" s="25">
        <v>2.4449999999999998</v>
      </c>
      <c r="AY93">
        <v>2.4449999999999998</v>
      </c>
      <c r="AZ93">
        <v>5.5913393042857136</v>
      </c>
      <c r="BF93">
        <v>6.0913634573869172E-3</v>
      </c>
      <c r="BH93">
        <v>1.2182726914773829E-2</v>
      </c>
      <c r="BI93">
        <v>6.0913634573869172E-3</v>
      </c>
      <c r="BJ93">
        <v>0</v>
      </c>
    </row>
    <row r="94" spans="1:62" x14ac:dyDescent="0.3">
      <c r="A94" s="2" t="s">
        <v>74</v>
      </c>
      <c r="B94" s="17" t="s">
        <v>905</v>
      </c>
      <c r="C94" s="13"/>
      <c r="F94" s="2">
        <v>3.52</v>
      </c>
      <c r="G94" s="2" t="s">
        <v>77</v>
      </c>
      <c r="H94" s="32" t="s">
        <v>1158</v>
      </c>
      <c r="I94" s="1" t="s">
        <v>1159</v>
      </c>
      <c r="J94"/>
      <c r="L94" s="25">
        <v>0</v>
      </c>
      <c r="M94">
        <v>4</v>
      </c>
      <c r="N94">
        <v>0</v>
      </c>
      <c r="T94" s="25">
        <v>0</v>
      </c>
      <c r="U94" s="25"/>
      <c r="V94" s="25"/>
      <c r="W94">
        <v>10.103899999999999</v>
      </c>
      <c r="X94">
        <v>13.944800000000001</v>
      </c>
      <c r="Y94">
        <v>16.4237</v>
      </c>
      <c r="Z94">
        <v>0</v>
      </c>
      <c r="AA94"/>
      <c r="AB94"/>
      <c r="AD94">
        <v>8</v>
      </c>
      <c r="AE94" s="55">
        <f t="shared" si="1"/>
        <v>0</v>
      </c>
      <c r="AF94" s="57">
        <v>0</v>
      </c>
      <c r="AG94" s="55">
        <v>2303.3090882103638</v>
      </c>
      <c r="AH94" s="55">
        <v>0</v>
      </c>
      <c r="AI94" s="52"/>
      <c r="AJ94" s="51"/>
      <c r="AK94" s="52">
        <v>1.3893055067508771E-2</v>
      </c>
      <c r="AL94" s="52"/>
      <c r="AM94" s="28">
        <v>1.857142857142857</v>
      </c>
      <c r="AN94" s="28">
        <v>2.285714285714286</v>
      </c>
      <c r="AO94" s="28">
        <v>0.42857142857142849</v>
      </c>
      <c r="AP94" s="28">
        <v>0</v>
      </c>
      <c r="AQ94" s="28">
        <v>0.40625000000000011</v>
      </c>
      <c r="AR94" s="28">
        <v>0.5</v>
      </c>
      <c r="AS94" s="28">
        <v>9.375E-2</v>
      </c>
      <c r="AT94" s="28">
        <v>0</v>
      </c>
      <c r="AU94" s="25">
        <v>0.82</v>
      </c>
      <c r="AV94" s="25">
        <v>3.44</v>
      </c>
      <c r="AW94" s="25">
        <v>2.62</v>
      </c>
      <c r="AX94" s="25">
        <v>2.4390000000000001</v>
      </c>
      <c r="AY94">
        <v>2.4390000000000001</v>
      </c>
      <c r="AZ94">
        <v>5.5936785899999997</v>
      </c>
      <c r="BF94">
        <v>6.9465275337543854E-3</v>
      </c>
      <c r="BH94">
        <v>1.3893055067508771E-2</v>
      </c>
      <c r="BI94">
        <v>6.9465275337543854E-3</v>
      </c>
      <c r="BJ94">
        <v>0</v>
      </c>
    </row>
    <row r="95" spans="1:62" x14ac:dyDescent="0.3">
      <c r="A95" s="2" t="s">
        <v>73</v>
      </c>
      <c r="B95" s="13" t="s">
        <v>740</v>
      </c>
      <c r="C95" s="13"/>
      <c r="F95" s="2">
        <v>3.43</v>
      </c>
      <c r="G95" s="2" t="s">
        <v>77</v>
      </c>
      <c r="H95" s="32" t="s">
        <v>1160</v>
      </c>
      <c r="I95" s="1" t="s">
        <v>1161</v>
      </c>
      <c r="J95"/>
      <c r="L95" s="25">
        <v>0</v>
      </c>
      <c r="M95">
        <v>2</v>
      </c>
      <c r="N95">
        <v>0</v>
      </c>
      <c r="T95" s="25">
        <v>0</v>
      </c>
      <c r="U95" s="25"/>
      <c r="V95" s="25"/>
      <c r="W95">
        <v>5.4507000000000003</v>
      </c>
      <c r="X95">
        <v>9.7352000000000007</v>
      </c>
      <c r="Y95">
        <v>31.373799999999999</v>
      </c>
      <c r="Z95">
        <v>0</v>
      </c>
      <c r="AA95"/>
      <c r="AB95"/>
      <c r="AD95">
        <v>8</v>
      </c>
      <c r="AE95" s="55">
        <f t="shared" si="1"/>
        <v>0</v>
      </c>
      <c r="AF95" s="57">
        <v>0</v>
      </c>
      <c r="AG95" s="55">
        <v>1647.0185271674609</v>
      </c>
      <c r="AH95" s="55">
        <v>0</v>
      </c>
      <c r="AI95" s="52"/>
      <c r="AJ95" s="51"/>
      <c r="AK95" s="52">
        <v>9.714523386398553E-3</v>
      </c>
      <c r="AL95" s="52"/>
      <c r="AM95" s="28">
        <v>1.857142857142857</v>
      </c>
      <c r="AN95" s="28">
        <v>2.285714285714286</v>
      </c>
      <c r="AO95" s="28">
        <v>0.42857142857142849</v>
      </c>
      <c r="AP95" s="28">
        <v>0</v>
      </c>
      <c r="AQ95" s="28">
        <v>0.40625000000000011</v>
      </c>
      <c r="AR95" s="28">
        <v>0.5</v>
      </c>
      <c r="AS95" s="28">
        <v>9.375E-2</v>
      </c>
      <c r="AT95" s="28">
        <v>0</v>
      </c>
      <c r="AU95" s="25">
        <v>0.82</v>
      </c>
      <c r="AV95" s="25">
        <v>3.44</v>
      </c>
      <c r="AW95" s="25">
        <v>2.62</v>
      </c>
      <c r="AX95" s="25">
        <v>2.4300000000000002</v>
      </c>
      <c r="AY95">
        <v>2.4300000000000002</v>
      </c>
      <c r="AZ95">
        <v>5.5971875185714284</v>
      </c>
      <c r="BF95">
        <v>4.8572616931992756E-3</v>
      </c>
      <c r="BH95">
        <v>9.714523386398553E-3</v>
      </c>
      <c r="BI95">
        <v>4.8572616931992756E-3</v>
      </c>
      <c r="BJ95">
        <v>0</v>
      </c>
    </row>
    <row r="96" spans="1:62" x14ac:dyDescent="0.3">
      <c r="A96" s="2" t="s">
        <v>44</v>
      </c>
      <c r="B96" s="17" t="s">
        <v>720</v>
      </c>
      <c r="C96" s="13"/>
      <c r="D96" s="2" t="s">
        <v>676</v>
      </c>
      <c r="E96" s="2" t="s">
        <v>1067</v>
      </c>
      <c r="F96" s="2">
        <v>3.44</v>
      </c>
      <c r="G96" s="2" t="s">
        <v>78</v>
      </c>
      <c r="H96" s="9" t="s">
        <v>549</v>
      </c>
      <c r="I96">
        <v>-1</v>
      </c>
      <c r="J96"/>
      <c r="L96" s="25">
        <v>1</v>
      </c>
      <c r="M96">
        <v>0</v>
      </c>
      <c r="N96">
        <v>0</v>
      </c>
      <c r="T96" s="25">
        <v>15.28115725</v>
      </c>
      <c r="U96" s="25">
        <v>15.28115725</v>
      </c>
      <c r="V96" s="25">
        <v>15.28115725</v>
      </c>
      <c r="W96">
        <v>0</v>
      </c>
      <c r="X96"/>
      <c r="Y96"/>
      <c r="Z96">
        <v>0</v>
      </c>
      <c r="AA96"/>
      <c r="AB96"/>
      <c r="AD96">
        <v>20</v>
      </c>
      <c r="AE96" s="55">
        <f t="shared" si="1"/>
        <v>0</v>
      </c>
      <c r="AF96" s="57">
        <v>229.90248606119221</v>
      </c>
      <c r="AG96" s="55">
        <v>0</v>
      </c>
      <c r="AH96" s="55">
        <v>0</v>
      </c>
      <c r="AI96" s="52"/>
      <c r="AJ96" s="51">
        <v>8.6993404650164072E-2</v>
      </c>
      <c r="AK96" s="52"/>
      <c r="AL96" s="52"/>
      <c r="AM96" s="28">
        <v>1.882352941176471</v>
      </c>
      <c r="AN96" s="28">
        <v>2.3529411764705879</v>
      </c>
      <c r="AO96" s="28">
        <v>0.47058823529411759</v>
      </c>
      <c r="AP96" s="28">
        <v>0</v>
      </c>
      <c r="AQ96" s="28">
        <v>0.4</v>
      </c>
      <c r="AR96" s="28">
        <v>0.5</v>
      </c>
      <c r="AS96" s="28">
        <v>9.9999999999999992E-2</v>
      </c>
      <c r="AT96" s="28">
        <v>0</v>
      </c>
      <c r="AU96" s="25">
        <v>0.82</v>
      </c>
      <c r="AV96" s="25">
        <v>3.44</v>
      </c>
      <c r="AW96" s="25">
        <v>2.62</v>
      </c>
      <c r="AX96" s="25">
        <v>2.5211764705882351</v>
      </c>
      <c r="AY96">
        <v>2.521176470588236</v>
      </c>
      <c r="AZ96">
        <v>5.6898745917647062</v>
      </c>
      <c r="BA96" s="75">
        <v>0.57369840599679445</v>
      </c>
      <c r="BE96">
        <v>4.3496702325082043E-2</v>
      </c>
      <c r="BH96">
        <v>8.6993404650164072E-2</v>
      </c>
      <c r="BI96">
        <v>4.3496702325082043E-2</v>
      </c>
      <c r="BJ96">
        <v>0.57369840599679445</v>
      </c>
    </row>
    <row r="97" spans="1:62" x14ac:dyDescent="0.3">
      <c r="A97" s="2" t="s">
        <v>44</v>
      </c>
      <c r="B97" s="13" t="s">
        <v>720</v>
      </c>
      <c r="C97" s="13"/>
      <c r="F97" s="2">
        <v>3.69</v>
      </c>
      <c r="G97" s="2" t="s">
        <v>78</v>
      </c>
      <c r="H97" s="9" t="s">
        <v>549</v>
      </c>
      <c r="I97">
        <v>-1</v>
      </c>
      <c r="J97"/>
      <c r="L97" s="25">
        <v>1</v>
      </c>
      <c r="M97">
        <v>0</v>
      </c>
      <c r="N97">
        <v>0</v>
      </c>
      <c r="O97" s="2">
        <v>3.87</v>
      </c>
      <c r="P97" s="2">
        <v>3.87</v>
      </c>
      <c r="Q97" s="2">
        <v>29.8</v>
      </c>
      <c r="R97" s="2" t="s">
        <v>440</v>
      </c>
      <c r="T97" s="25">
        <v>15.28115725</v>
      </c>
      <c r="U97" s="25">
        <v>15.28115725</v>
      </c>
      <c r="V97" s="25">
        <v>15.28115725</v>
      </c>
      <c r="W97">
        <v>0</v>
      </c>
      <c r="X97"/>
      <c r="Y97"/>
      <c r="Z97">
        <v>0</v>
      </c>
      <c r="AA97"/>
      <c r="AB97"/>
      <c r="AC97" s="2">
        <v>3</v>
      </c>
      <c r="AD97">
        <v>20</v>
      </c>
      <c r="AE97" s="55">
        <f t="shared" si="1"/>
        <v>446.31162</v>
      </c>
      <c r="AF97" s="57">
        <v>229.90248606119221</v>
      </c>
      <c r="AG97" s="55">
        <v>0</v>
      </c>
      <c r="AH97" s="55">
        <v>0</v>
      </c>
      <c r="AI97" s="52"/>
      <c r="AJ97" s="51">
        <v>8.6993404650164072E-2</v>
      </c>
      <c r="AK97" s="52"/>
      <c r="AL97" s="52"/>
      <c r="AM97" s="28">
        <v>1.882352941176471</v>
      </c>
      <c r="AN97" s="28">
        <v>2.3529411764705879</v>
      </c>
      <c r="AO97" s="28">
        <v>0.47058823529411759</v>
      </c>
      <c r="AP97" s="28">
        <v>0</v>
      </c>
      <c r="AQ97" s="28">
        <v>0.4</v>
      </c>
      <c r="AR97" s="28">
        <v>0.5</v>
      </c>
      <c r="AS97" s="28">
        <v>9.9999999999999992E-2</v>
      </c>
      <c r="AT97" s="28">
        <v>0</v>
      </c>
      <c r="AU97" s="25">
        <v>0.82</v>
      </c>
      <c r="AV97" s="25">
        <v>3.44</v>
      </c>
      <c r="AW97" s="25">
        <v>2.62</v>
      </c>
      <c r="AX97" s="25">
        <v>2.5211764705882351</v>
      </c>
      <c r="AY97">
        <v>2.521176470588236</v>
      </c>
      <c r="AZ97">
        <v>5.6898745917647062</v>
      </c>
      <c r="BA97" s="75">
        <v>0.57369840599679445</v>
      </c>
      <c r="BE97">
        <v>4.3496702325082043E-2</v>
      </c>
      <c r="BH97">
        <v>8.6993404650164072E-2</v>
      </c>
      <c r="BI97">
        <v>4.3496702325082043E-2</v>
      </c>
      <c r="BJ97">
        <v>0.57369840599679445</v>
      </c>
    </row>
    <row r="98" spans="1:62" x14ac:dyDescent="0.3">
      <c r="A98" s="2" t="s">
        <v>44</v>
      </c>
      <c r="B98" s="13" t="s">
        <v>720</v>
      </c>
      <c r="C98" s="13"/>
      <c r="F98" s="2">
        <v>3.78</v>
      </c>
      <c r="G98" s="2" t="s">
        <v>80</v>
      </c>
      <c r="H98" s="9" t="s">
        <v>549</v>
      </c>
      <c r="I98">
        <v>-1</v>
      </c>
      <c r="J98"/>
      <c r="L98" s="25">
        <v>1</v>
      </c>
      <c r="M98">
        <v>0</v>
      </c>
      <c r="N98">
        <v>0</v>
      </c>
      <c r="O98" s="2">
        <v>3.859</v>
      </c>
      <c r="P98" s="2">
        <v>3.859</v>
      </c>
      <c r="Q98" s="2">
        <v>29.047999999999998</v>
      </c>
      <c r="R98" s="2" t="s">
        <v>440</v>
      </c>
      <c r="T98" s="25">
        <v>15.28115725</v>
      </c>
      <c r="U98" s="25">
        <v>15.28115725</v>
      </c>
      <c r="V98" s="25">
        <v>15.28115725</v>
      </c>
      <c r="W98">
        <v>0</v>
      </c>
      <c r="X98"/>
      <c r="Y98"/>
      <c r="Z98">
        <v>0</v>
      </c>
      <c r="AA98"/>
      <c r="AB98"/>
      <c r="AC98" s="2">
        <v>3</v>
      </c>
      <c r="AD98">
        <v>20</v>
      </c>
      <c r="AE98" s="55">
        <f t="shared" si="1"/>
        <v>432.57935928799998</v>
      </c>
      <c r="AF98" s="57">
        <v>229.90248606119221</v>
      </c>
      <c r="AG98" s="55">
        <v>0</v>
      </c>
      <c r="AH98" s="55">
        <v>0</v>
      </c>
      <c r="AI98" s="52"/>
      <c r="AJ98" s="51">
        <v>8.6993404650164072E-2</v>
      </c>
      <c r="AK98" s="52"/>
      <c r="AL98" s="52"/>
      <c r="AM98" s="28">
        <v>1.882352941176471</v>
      </c>
      <c r="AN98" s="28">
        <v>2.3529411764705879</v>
      </c>
      <c r="AO98" s="28">
        <v>0.47058823529411759</v>
      </c>
      <c r="AP98" s="28">
        <v>0</v>
      </c>
      <c r="AQ98" s="28">
        <v>0.4</v>
      </c>
      <c r="AR98" s="28">
        <v>0.5</v>
      </c>
      <c r="AS98" s="28">
        <v>9.9999999999999992E-2</v>
      </c>
      <c r="AT98" s="28">
        <v>0</v>
      </c>
      <c r="AU98" s="25">
        <v>0.82</v>
      </c>
      <c r="AV98" s="25">
        <v>3.44</v>
      </c>
      <c r="AW98" s="25">
        <v>2.62</v>
      </c>
      <c r="AX98" s="25">
        <v>2.5211764705882351</v>
      </c>
      <c r="AY98">
        <v>2.521176470588236</v>
      </c>
      <c r="AZ98">
        <v>5.6898745917647062</v>
      </c>
      <c r="BA98" s="75">
        <v>0.57369840599679445</v>
      </c>
      <c r="BE98">
        <v>4.3496702325082043E-2</v>
      </c>
      <c r="BH98">
        <v>8.6993404650164072E-2</v>
      </c>
      <c r="BI98">
        <v>4.3496702325082043E-2</v>
      </c>
      <c r="BJ98">
        <v>0.57369840599679445</v>
      </c>
    </row>
    <row r="99" spans="1:62" x14ac:dyDescent="0.3">
      <c r="A99" s="2" t="s">
        <v>79</v>
      </c>
      <c r="B99" s="17" t="s">
        <v>906</v>
      </c>
      <c r="C99" s="13"/>
      <c r="F99" s="2">
        <v>3.2</v>
      </c>
      <c r="G99" s="2" t="s">
        <v>80</v>
      </c>
      <c r="H99" s="9">
        <v>-1</v>
      </c>
      <c r="I99">
        <v>-1</v>
      </c>
      <c r="J99"/>
      <c r="K99" s="2">
        <v>2</v>
      </c>
      <c r="L99" s="25">
        <v>0</v>
      </c>
      <c r="M99">
        <v>0</v>
      </c>
      <c r="N99">
        <v>0</v>
      </c>
      <c r="O99" s="2">
        <v>3.8650000000000002</v>
      </c>
      <c r="P99" s="2">
        <v>3.8650000000000002</v>
      </c>
      <c r="Q99" s="2">
        <v>29.241</v>
      </c>
      <c r="R99"/>
      <c r="S99"/>
      <c r="T99" s="25">
        <v>0</v>
      </c>
      <c r="U99" s="25"/>
      <c r="V99" s="25"/>
      <c r="W99">
        <v>0</v>
      </c>
      <c r="X99"/>
      <c r="Y99"/>
      <c r="Z99">
        <v>0</v>
      </c>
      <c r="AA99"/>
      <c r="AB99"/>
      <c r="AC99" s="2">
        <v>3</v>
      </c>
      <c r="AD99">
        <v>20</v>
      </c>
      <c r="AE99" s="55">
        <f t="shared" si="1"/>
        <v>436.80863722500004</v>
      </c>
      <c r="AF99" s="57">
        <v>0</v>
      </c>
      <c r="AG99" s="55">
        <v>0</v>
      </c>
      <c r="AH99" s="55">
        <v>0</v>
      </c>
      <c r="AI99" s="52">
        <f>K99*AD99/AE99</f>
        <v>9.1573280817238076E-2</v>
      </c>
      <c r="AJ99" s="51"/>
      <c r="AK99" s="52"/>
      <c r="AL99" s="52"/>
      <c r="AM99" s="28">
        <v>1.882352941176471</v>
      </c>
      <c r="AN99" s="28">
        <v>2.3529411764705879</v>
      </c>
      <c r="AO99" s="28">
        <v>0.49411764705882361</v>
      </c>
      <c r="AP99" s="28">
        <v>0</v>
      </c>
      <c r="AQ99" s="28">
        <v>0.39800995024875629</v>
      </c>
      <c r="AR99" s="28">
        <v>0.4975124378109454</v>
      </c>
      <c r="AS99" s="28">
        <v>0.1044776119402985</v>
      </c>
      <c r="AT99" s="28">
        <v>0</v>
      </c>
      <c r="AU99" s="25">
        <v>0.82</v>
      </c>
      <c r="AV99" s="25">
        <v>3.44</v>
      </c>
      <c r="AW99" s="25">
        <v>2.62</v>
      </c>
      <c r="AX99" s="25">
        <v>2.5228823529411768</v>
      </c>
      <c r="AY99">
        <v>2.5228823529411768</v>
      </c>
      <c r="AZ99">
        <v>5.6932629430588237</v>
      </c>
      <c r="BD99">
        <v>4.5786640408619038E-2</v>
      </c>
      <c r="BH99">
        <v>9.1573280817238076E-2</v>
      </c>
      <c r="BI99">
        <v>4.5786640408619038E-2</v>
      </c>
      <c r="BJ99">
        <v>0</v>
      </c>
    </row>
    <row r="100" spans="1:62" x14ac:dyDescent="0.3">
      <c r="A100" s="2" t="s">
        <v>81</v>
      </c>
      <c r="B100" s="17" t="s">
        <v>907</v>
      </c>
      <c r="C100" s="13"/>
      <c r="F100" s="2">
        <v>2.93</v>
      </c>
      <c r="G100" s="2" t="s">
        <v>80</v>
      </c>
      <c r="H100" s="9">
        <v>-1</v>
      </c>
      <c r="I100">
        <v>-1</v>
      </c>
      <c r="J100"/>
      <c r="K100" s="2">
        <v>2</v>
      </c>
      <c r="L100" s="25">
        <v>0</v>
      </c>
      <c r="M100">
        <v>0</v>
      </c>
      <c r="N100">
        <v>0</v>
      </c>
      <c r="O100" s="2">
        <v>3.8660000000000001</v>
      </c>
      <c r="P100" s="2">
        <v>3.8660000000000001</v>
      </c>
      <c r="Q100" s="2">
        <v>29.145</v>
      </c>
      <c r="T100" s="25">
        <v>0</v>
      </c>
      <c r="U100" s="25"/>
      <c r="V100" s="25"/>
      <c r="W100">
        <v>0</v>
      </c>
      <c r="X100"/>
      <c r="Y100"/>
      <c r="Z100">
        <v>0</v>
      </c>
      <c r="AA100"/>
      <c r="AB100"/>
      <c r="AC100" s="2">
        <v>3</v>
      </c>
      <c r="AD100">
        <v>20</v>
      </c>
      <c r="AE100" s="55">
        <f t="shared" si="1"/>
        <v>435.59988762</v>
      </c>
      <c r="AF100" s="57">
        <v>0</v>
      </c>
      <c r="AG100" s="55">
        <v>0</v>
      </c>
      <c r="AH100" s="55">
        <v>0</v>
      </c>
      <c r="AI100" s="52">
        <f t="shared" ref="AI100:AI105" si="2">K100*AD100/AE100</f>
        <v>9.1827388245091582E-2</v>
      </c>
      <c r="AJ100" s="51"/>
      <c r="AK100" s="52"/>
      <c r="AL100" s="52"/>
      <c r="AM100" s="28">
        <v>1.882352941176471</v>
      </c>
      <c r="AN100" s="28">
        <v>2.3529411764705879</v>
      </c>
      <c r="AO100" s="28">
        <v>0.51764705882352946</v>
      </c>
      <c r="AP100" s="28">
        <v>0</v>
      </c>
      <c r="AQ100" s="28">
        <v>0.39603960396039611</v>
      </c>
      <c r="AR100" s="28">
        <v>0.49504950495049499</v>
      </c>
      <c r="AS100" s="28">
        <v>0.1089108910891089</v>
      </c>
      <c r="AT100" s="28">
        <v>0</v>
      </c>
      <c r="AU100" s="25">
        <v>0.82</v>
      </c>
      <c r="AV100" s="25">
        <v>3.44</v>
      </c>
      <c r="AW100" s="25">
        <v>2.62</v>
      </c>
      <c r="AX100" s="25">
        <v>2.5245882352941171</v>
      </c>
      <c r="AY100">
        <v>2.524588235294118</v>
      </c>
      <c r="AZ100">
        <v>5.6966512943529413</v>
      </c>
      <c r="BD100">
        <v>4.5913694122545791E-2</v>
      </c>
      <c r="BH100">
        <v>9.1827388245091582E-2</v>
      </c>
      <c r="BI100">
        <v>4.5913694122545791E-2</v>
      </c>
      <c r="BJ100">
        <v>0</v>
      </c>
    </row>
    <row r="101" spans="1:62" x14ac:dyDescent="0.3">
      <c r="A101" s="2" t="s">
        <v>82</v>
      </c>
      <c r="B101" s="17" t="s">
        <v>908</v>
      </c>
      <c r="C101" s="13"/>
      <c r="F101" s="2">
        <v>2.69</v>
      </c>
      <c r="G101" s="2" t="s">
        <v>80</v>
      </c>
      <c r="H101" s="9">
        <v>-1</v>
      </c>
      <c r="I101">
        <v>-1</v>
      </c>
      <c r="J101"/>
      <c r="K101" s="2">
        <v>2</v>
      </c>
      <c r="L101" s="25">
        <v>0</v>
      </c>
      <c r="M101">
        <v>0</v>
      </c>
      <c r="N101">
        <v>0</v>
      </c>
      <c r="O101" s="2">
        <v>3.871</v>
      </c>
      <c r="P101" s="2">
        <v>3.871</v>
      </c>
      <c r="Q101" s="2">
        <v>29.241</v>
      </c>
      <c r="T101" s="25">
        <v>0</v>
      </c>
      <c r="U101" s="25"/>
      <c r="V101" s="25"/>
      <c r="W101">
        <v>0</v>
      </c>
      <c r="X101"/>
      <c r="Y101"/>
      <c r="Z101">
        <v>0</v>
      </c>
      <c r="AA101"/>
      <c r="AB101"/>
      <c r="AC101" s="2">
        <v>3</v>
      </c>
      <c r="AD101">
        <v>20</v>
      </c>
      <c r="AE101" s="55">
        <f t="shared" si="1"/>
        <v>438.16588748099997</v>
      </c>
      <c r="AF101" s="57">
        <v>0</v>
      </c>
      <c r="AG101" s="55">
        <v>0</v>
      </c>
      <c r="AH101" s="55">
        <v>0</v>
      </c>
      <c r="AI101" s="52">
        <f t="shared" si="2"/>
        <v>9.1289626013468489E-2</v>
      </c>
      <c r="AJ101" s="51"/>
      <c r="AK101" s="52"/>
      <c r="AL101" s="52"/>
      <c r="AM101" s="28">
        <v>1.882352941176471</v>
      </c>
      <c r="AN101" s="28">
        <v>2.3529411764705879</v>
      </c>
      <c r="AO101" s="28">
        <v>0.54117647058823526</v>
      </c>
      <c r="AP101" s="28">
        <v>0</v>
      </c>
      <c r="AQ101" s="28">
        <v>0.39408866995073888</v>
      </c>
      <c r="AR101" s="28">
        <v>0.49261083743842371</v>
      </c>
      <c r="AS101" s="28">
        <v>0.1133004926108374</v>
      </c>
      <c r="AT101" s="28">
        <v>0</v>
      </c>
      <c r="AU101" s="25">
        <v>0.82</v>
      </c>
      <c r="AV101" s="25">
        <v>3.44</v>
      </c>
      <c r="AW101" s="25">
        <v>2.62</v>
      </c>
      <c r="AX101" s="25">
        <v>2.5262941176470588</v>
      </c>
      <c r="AY101">
        <v>2.5262941176470588</v>
      </c>
      <c r="AZ101">
        <v>5.7000396456470588</v>
      </c>
      <c r="BD101">
        <v>4.5644813006734238E-2</v>
      </c>
      <c r="BH101">
        <v>9.1289626013468489E-2</v>
      </c>
      <c r="BI101">
        <v>4.5644813006734238E-2</v>
      </c>
      <c r="BJ101">
        <v>0</v>
      </c>
    </row>
    <row r="102" spans="1:62" x14ac:dyDescent="0.3">
      <c r="A102" s="2" t="s">
        <v>83</v>
      </c>
      <c r="B102" s="17" t="s">
        <v>909</v>
      </c>
      <c r="C102" s="13"/>
      <c r="F102" s="2">
        <v>2.4300000000000002</v>
      </c>
      <c r="G102" s="2" t="s">
        <v>80</v>
      </c>
      <c r="H102" s="9">
        <v>-1</v>
      </c>
      <c r="I102">
        <v>-1</v>
      </c>
      <c r="J102"/>
      <c r="K102" s="2">
        <v>2</v>
      </c>
      <c r="L102" s="25">
        <v>0</v>
      </c>
      <c r="M102">
        <v>0</v>
      </c>
      <c r="N102">
        <v>0</v>
      </c>
      <c r="O102" s="2">
        <v>3.8740000000000001</v>
      </c>
      <c r="P102" s="2">
        <v>3.8740000000000001</v>
      </c>
      <c r="Q102" s="2">
        <v>32.945999999999998</v>
      </c>
      <c r="T102" s="25">
        <v>0</v>
      </c>
      <c r="U102" s="25"/>
      <c r="V102" s="25"/>
      <c r="W102">
        <v>0</v>
      </c>
      <c r="X102"/>
      <c r="Y102"/>
      <c r="Z102">
        <v>0</v>
      </c>
      <c r="AA102"/>
      <c r="AB102"/>
      <c r="AC102" s="2">
        <v>3</v>
      </c>
      <c r="AD102">
        <v>20</v>
      </c>
      <c r="AE102" s="55">
        <f t="shared" si="1"/>
        <v>494.44948269600002</v>
      </c>
      <c r="AF102" s="57">
        <v>0</v>
      </c>
      <c r="AG102" s="55">
        <v>0</v>
      </c>
      <c r="AH102" s="55">
        <v>0</v>
      </c>
      <c r="AI102" s="52">
        <f t="shared" si="2"/>
        <v>8.0898052075813381E-2</v>
      </c>
      <c r="AJ102" s="51"/>
      <c r="AK102" s="52"/>
      <c r="AL102" s="52"/>
      <c r="AM102" s="28">
        <v>1.882352941176471</v>
      </c>
      <c r="AN102" s="28">
        <v>2.3529411764705879</v>
      </c>
      <c r="AO102" s="28">
        <v>0.56470588235294128</v>
      </c>
      <c r="AP102" s="28">
        <v>0</v>
      </c>
      <c r="AQ102" s="28">
        <v>0.39215686274509798</v>
      </c>
      <c r="AR102" s="28">
        <v>0.49019607843137247</v>
      </c>
      <c r="AS102" s="28">
        <v>0.1176470588235294</v>
      </c>
      <c r="AT102" s="28">
        <v>0</v>
      </c>
      <c r="AU102" s="25">
        <v>0.82</v>
      </c>
      <c r="AV102" s="25">
        <v>3.44</v>
      </c>
      <c r="AW102" s="25">
        <v>2.62</v>
      </c>
      <c r="AX102" s="25">
        <v>2.528</v>
      </c>
      <c r="AY102">
        <v>2.528</v>
      </c>
      <c r="AZ102">
        <v>5.7034279969411772</v>
      </c>
      <c r="BD102">
        <v>4.0449026037906691E-2</v>
      </c>
      <c r="BH102">
        <v>8.0898052075813381E-2</v>
      </c>
      <c r="BI102">
        <v>4.0449026037906691E-2</v>
      </c>
      <c r="BJ102">
        <v>0</v>
      </c>
    </row>
    <row r="103" spans="1:62" x14ac:dyDescent="0.3">
      <c r="A103" s="5" t="s">
        <v>84</v>
      </c>
      <c r="B103" s="17" t="s">
        <v>910</v>
      </c>
      <c r="C103" s="13"/>
      <c r="F103" s="2">
        <v>2.41</v>
      </c>
      <c r="G103" s="2" t="s">
        <v>80</v>
      </c>
      <c r="H103" s="9">
        <v>-1</v>
      </c>
      <c r="I103">
        <v>-1</v>
      </c>
      <c r="J103"/>
      <c r="K103" s="2">
        <v>2</v>
      </c>
      <c r="L103" s="25">
        <v>0</v>
      </c>
      <c r="M103">
        <v>0</v>
      </c>
      <c r="N103">
        <v>0</v>
      </c>
      <c r="O103" s="2">
        <v>3.8759999999999999</v>
      </c>
      <c r="P103" s="2">
        <v>3.8759999999999999</v>
      </c>
      <c r="Q103" s="2">
        <f>AVERAGE(Q99:Q102)</f>
        <v>30.143249999999998</v>
      </c>
      <c r="T103" s="25">
        <v>0</v>
      </c>
      <c r="U103" s="25"/>
      <c r="V103" s="25"/>
      <c r="W103">
        <v>0</v>
      </c>
      <c r="X103"/>
      <c r="Y103"/>
      <c r="Z103">
        <v>0</v>
      </c>
      <c r="AA103"/>
      <c r="AB103"/>
      <c r="AC103" s="2">
        <v>3</v>
      </c>
      <c r="AD103">
        <v>20</v>
      </c>
      <c r="AE103" s="55">
        <f t="shared" si="1"/>
        <v>452.85337861199991</v>
      </c>
      <c r="AF103" s="57">
        <v>0</v>
      </c>
      <c r="AG103" s="55">
        <v>0</v>
      </c>
      <c r="AH103" s="55">
        <v>0</v>
      </c>
      <c r="AI103" s="52">
        <f t="shared" si="2"/>
        <v>8.8328809917683285E-2</v>
      </c>
      <c r="AJ103" s="51"/>
      <c r="AK103" s="52"/>
      <c r="AL103" s="52"/>
      <c r="AM103" s="28">
        <v>1.882352941176471</v>
      </c>
      <c r="AN103" s="28">
        <v>2.3529411764705879</v>
      </c>
      <c r="AO103" s="28">
        <v>0.58823529411764708</v>
      </c>
      <c r="AP103" s="28">
        <v>0</v>
      </c>
      <c r="AQ103" s="28">
        <v>0.3902439024390244</v>
      </c>
      <c r="AR103" s="28">
        <v>0.48780487804878048</v>
      </c>
      <c r="AS103" s="28">
        <v>0.12195121951219511</v>
      </c>
      <c r="AT103" s="28">
        <v>0</v>
      </c>
      <c r="AU103" s="25">
        <v>0.82</v>
      </c>
      <c r="AV103" s="25">
        <v>3.44</v>
      </c>
      <c r="AW103" s="25">
        <v>2.62</v>
      </c>
      <c r="AX103" s="25">
        <v>2.5297058823529408</v>
      </c>
      <c r="AY103">
        <v>2.5297058823529408</v>
      </c>
      <c r="AZ103">
        <v>5.7068163482352947</v>
      </c>
      <c r="BD103">
        <v>4.4164404958841642E-2</v>
      </c>
      <c r="BH103">
        <v>8.8328809917683285E-2</v>
      </c>
      <c r="BI103">
        <v>4.4164404958841642E-2</v>
      </c>
      <c r="BJ103">
        <v>0</v>
      </c>
    </row>
    <row r="104" spans="1:62" x14ac:dyDescent="0.3">
      <c r="A104" s="2" t="s">
        <v>85</v>
      </c>
      <c r="B104" s="17" t="s">
        <v>911</v>
      </c>
      <c r="C104" s="13"/>
      <c r="F104" s="2">
        <v>3.06</v>
      </c>
      <c r="G104" s="2" t="s">
        <v>80</v>
      </c>
      <c r="H104" s="9">
        <v>-1</v>
      </c>
      <c r="I104">
        <v>-1</v>
      </c>
      <c r="J104"/>
      <c r="K104" s="2">
        <v>2</v>
      </c>
      <c r="L104" s="25">
        <v>0</v>
      </c>
      <c r="M104">
        <v>0</v>
      </c>
      <c r="N104">
        <v>0</v>
      </c>
      <c r="O104" s="2">
        <v>3.8660000000000001</v>
      </c>
      <c r="P104" s="2">
        <v>3.8660000000000001</v>
      </c>
      <c r="Q104" s="2">
        <v>29.114000000000001</v>
      </c>
      <c r="T104" s="25">
        <v>0</v>
      </c>
      <c r="U104" s="25"/>
      <c r="V104" s="25"/>
      <c r="W104">
        <v>0</v>
      </c>
      <c r="X104"/>
      <c r="Y104"/>
      <c r="Z104">
        <v>0</v>
      </c>
      <c r="AA104"/>
      <c r="AB104"/>
      <c r="AC104" s="2">
        <v>3</v>
      </c>
      <c r="AD104">
        <v>20</v>
      </c>
      <c r="AE104" s="55">
        <f t="shared" si="1"/>
        <v>435.13656298400002</v>
      </c>
      <c r="AF104" s="57">
        <v>0</v>
      </c>
      <c r="AG104" s="55">
        <v>0</v>
      </c>
      <c r="AH104" s="55">
        <v>0</v>
      </c>
      <c r="AI104" s="52">
        <f t="shared" si="2"/>
        <v>9.1925164196029197E-2</v>
      </c>
      <c r="AJ104" s="51"/>
      <c r="AK104" s="52"/>
      <c r="AL104" s="52"/>
      <c r="AM104" s="28">
        <v>1.882352941176471</v>
      </c>
      <c r="AN104" s="28">
        <v>2.3529411764705879</v>
      </c>
      <c r="AO104" s="28">
        <v>0.49411764705882361</v>
      </c>
      <c r="AP104" s="28">
        <v>0.1647058823529412</v>
      </c>
      <c r="AQ104" s="28">
        <v>0.38461538461538458</v>
      </c>
      <c r="AR104" s="28">
        <v>0.48076923076923073</v>
      </c>
      <c r="AS104" s="28">
        <v>0.10096153846153851</v>
      </c>
      <c r="AT104" s="28">
        <v>3.3653846153846159E-2</v>
      </c>
      <c r="AU104" s="25">
        <v>0.82</v>
      </c>
      <c r="AV104" s="25">
        <v>3.44</v>
      </c>
      <c r="AW104" s="25">
        <v>2.62</v>
      </c>
      <c r="AX104" s="25">
        <v>2.530823529411764</v>
      </c>
      <c r="AY104">
        <v>2.5308235294117649</v>
      </c>
      <c r="AZ104">
        <v>5.7003253741176483</v>
      </c>
      <c r="BD104">
        <v>4.5962582098014598E-2</v>
      </c>
      <c r="BH104">
        <v>9.1925164196029197E-2</v>
      </c>
      <c r="BI104">
        <v>4.5962582098014598E-2</v>
      </c>
      <c r="BJ104">
        <v>0</v>
      </c>
    </row>
    <row r="105" spans="1:62" x14ac:dyDescent="0.3">
      <c r="A105" s="2" t="s">
        <v>86</v>
      </c>
      <c r="B105" s="17" t="s">
        <v>912</v>
      </c>
      <c r="C105" s="13"/>
      <c r="F105" s="2">
        <v>2.12</v>
      </c>
      <c r="G105" s="2" t="s">
        <v>80</v>
      </c>
      <c r="H105" s="9">
        <v>-1</v>
      </c>
      <c r="I105">
        <v>-1</v>
      </c>
      <c r="J105"/>
      <c r="K105" s="2">
        <v>2</v>
      </c>
      <c r="L105" s="25">
        <v>0</v>
      </c>
      <c r="M105">
        <v>0</v>
      </c>
      <c r="N105">
        <v>0</v>
      </c>
      <c r="O105" s="2">
        <v>3.8570000000000002</v>
      </c>
      <c r="P105" s="2">
        <v>3.8570000000000002</v>
      </c>
      <c r="Q105" s="2">
        <v>29.533999999999999</v>
      </c>
      <c r="T105" s="25">
        <v>0</v>
      </c>
      <c r="U105" s="25"/>
      <c r="V105" s="25"/>
      <c r="W105">
        <v>0</v>
      </c>
      <c r="X105"/>
      <c r="Y105"/>
      <c r="Z105">
        <v>0</v>
      </c>
      <c r="AA105"/>
      <c r="AB105"/>
      <c r="AC105" s="2">
        <v>3</v>
      </c>
      <c r="AD105">
        <v>20</v>
      </c>
      <c r="AE105" s="55">
        <f t="shared" si="1"/>
        <v>439.36104476600002</v>
      </c>
      <c r="AF105" s="57">
        <v>0</v>
      </c>
      <c r="AG105" s="55">
        <v>0</v>
      </c>
      <c r="AH105" s="55">
        <v>0</v>
      </c>
      <c r="AI105" s="52">
        <f t="shared" si="2"/>
        <v>9.1041298441248156E-2</v>
      </c>
      <c r="AJ105" s="51"/>
      <c r="AK105" s="52"/>
      <c r="AL105" s="52"/>
      <c r="AM105" s="28">
        <v>1.882352941176471</v>
      </c>
      <c r="AN105" s="28">
        <v>2.3529411764705879</v>
      </c>
      <c r="AO105" s="28">
        <v>0.54117647058823526</v>
      </c>
      <c r="AP105" s="28">
        <v>0</v>
      </c>
      <c r="AQ105" s="28">
        <v>0.39408866995073888</v>
      </c>
      <c r="AR105" s="28">
        <v>0.49261083743842371</v>
      </c>
      <c r="AS105" s="28">
        <v>0.1133004926108374</v>
      </c>
      <c r="AT105" s="28">
        <v>0</v>
      </c>
      <c r="AU105" s="25">
        <v>0.82</v>
      </c>
      <c r="AV105" s="25">
        <v>3.44</v>
      </c>
      <c r="AW105" s="25">
        <v>2.62</v>
      </c>
      <c r="AX105" s="25">
        <v>2.525529411764706</v>
      </c>
      <c r="AY105">
        <v>2.525529411764706</v>
      </c>
      <c r="AZ105">
        <v>5.7010120870588246</v>
      </c>
      <c r="BD105">
        <v>4.5520649220624078E-2</v>
      </c>
      <c r="BH105">
        <v>9.1041298441248156E-2</v>
      </c>
      <c r="BI105">
        <v>4.5520649220624078E-2</v>
      </c>
      <c r="BJ105">
        <v>0</v>
      </c>
    </row>
    <row r="106" spans="1:62" x14ac:dyDescent="0.3">
      <c r="A106" s="2" t="s">
        <v>87</v>
      </c>
      <c r="B106" s="17" t="s">
        <v>743</v>
      </c>
      <c r="C106" s="13"/>
      <c r="F106" s="2">
        <v>3.9</v>
      </c>
      <c r="G106" s="2" t="s">
        <v>89</v>
      </c>
      <c r="H106" s="9">
        <v>-1</v>
      </c>
      <c r="I106">
        <v>-1</v>
      </c>
      <c r="J106" t="s">
        <v>1162</v>
      </c>
      <c r="L106" s="25">
        <v>0</v>
      </c>
      <c r="M106">
        <v>0</v>
      </c>
      <c r="N106">
        <v>2</v>
      </c>
      <c r="O106" s="2">
        <v>3.9037999999999999</v>
      </c>
      <c r="P106" s="2">
        <v>3.9037999999999999</v>
      </c>
      <c r="Q106" s="2">
        <v>9.7742000000000004</v>
      </c>
      <c r="R106" s="2" t="s">
        <v>439</v>
      </c>
      <c r="T106" s="25">
        <v>0</v>
      </c>
      <c r="U106" s="25"/>
      <c r="V106" s="25"/>
      <c r="W106">
        <v>0</v>
      </c>
      <c r="X106"/>
      <c r="Y106"/>
      <c r="Z106">
        <v>3.93</v>
      </c>
      <c r="AA106">
        <v>3.93</v>
      </c>
      <c r="AB106">
        <v>18.515000000000001</v>
      </c>
      <c r="AC106" s="2">
        <v>3</v>
      </c>
      <c r="AD106">
        <v>14</v>
      </c>
      <c r="AE106" s="55">
        <f t="shared" si="1"/>
        <v>148.95543042744799</v>
      </c>
      <c r="AF106" s="57">
        <v>0</v>
      </c>
      <c r="AG106" s="55">
        <v>0</v>
      </c>
      <c r="AH106" s="55">
        <v>285.96232350000002</v>
      </c>
      <c r="AI106" s="52"/>
      <c r="AJ106" s="51"/>
      <c r="AK106" s="52"/>
      <c r="AL106" s="52">
        <v>9.7914996833490184E-2</v>
      </c>
      <c r="AM106" s="28">
        <v>1.833333333333333</v>
      </c>
      <c r="AN106" s="28">
        <v>2.333333333333333</v>
      </c>
      <c r="AO106" s="28">
        <v>0.5</v>
      </c>
      <c r="AP106" s="28">
        <v>2.333333333333333</v>
      </c>
      <c r="AQ106" s="28">
        <v>0.26190476190476192</v>
      </c>
      <c r="AR106" s="28">
        <v>0.33333333333333343</v>
      </c>
      <c r="AS106" s="28">
        <v>7.1428571428571425E-2</v>
      </c>
      <c r="AT106" s="28">
        <v>0.33333333333333343</v>
      </c>
      <c r="AU106" s="25">
        <v>0.95</v>
      </c>
      <c r="AV106" s="25">
        <v>3.44</v>
      </c>
      <c r="AW106" s="25">
        <v>2.4900000000000002</v>
      </c>
      <c r="AX106" s="25">
        <v>2.7024999999999988</v>
      </c>
      <c r="AY106">
        <v>2.7025000000000001</v>
      </c>
      <c r="AZ106">
        <v>6.4896876145585001</v>
      </c>
      <c r="BC106" s="75">
        <v>0.392702013826212</v>
      </c>
      <c r="BG106">
        <v>4.8957498416745092E-2</v>
      </c>
      <c r="BH106">
        <v>9.7914996833490184E-2</v>
      </c>
      <c r="BI106">
        <v>4.8957498416745092E-2</v>
      </c>
      <c r="BJ106">
        <v>0.392702013826212</v>
      </c>
    </row>
    <row r="107" spans="1:62" x14ac:dyDescent="0.3">
      <c r="A107" s="2" t="s">
        <v>88</v>
      </c>
      <c r="B107" s="13" t="s">
        <v>741</v>
      </c>
      <c r="C107" s="13"/>
      <c r="F107" s="2">
        <v>3.9</v>
      </c>
      <c r="G107" s="2" t="s">
        <v>89</v>
      </c>
      <c r="H107" s="9" t="s">
        <v>562</v>
      </c>
      <c r="I107" t="s">
        <v>640</v>
      </c>
      <c r="J107"/>
      <c r="L107" s="25">
        <v>1</v>
      </c>
      <c r="M107">
        <v>2</v>
      </c>
      <c r="N107">
        <v>0</v>
      </c>
      <c r="O107" s="1">
        <v>3.847</v>
      </c>
      <c r="P107" s="1">
        <v>3.847</v>
      </c>
      <c r="Q107" s="1">
        <v>18.109400000000001</v>
      </c>
      <c r="R107" s="1" t="s">
        <v>440</v>
      </c>
      <c r="S107" s="1"/>
      <c r="T107" s="25">
        <v>3.9407006600000001</v>
      </c>
      <c r="U107" s="25">
        <v>3.94070016</v>
      </c>
      <c r="V107" s="25">
        <v>9.4498532300000004</v>
      </c>
      <c r="W107">
        <v>3.9499</v>
      </c>
      <c r="X107">
        <v>3.9499</v>
      </c>
      <c r="Y107">
        <v>18.2</v>
      </c>
      <c r="Z107">
        <v>0</v>
      </c>
      <c r="AA107"/>
      <c r="AB107"/>
      <c r="AC107" s="2">
        <v>3</v>
      </c>
      <c r="AD107">
        <v>14</v>
      </c>
      <c r="AE107" s="55">
        <f t="shared" si="1"/>
        <v>268.00841734459999</v>
      </c>
      <c r="AF107" s="57">
        <v>140.22301532111419</v>
      </c>
      <c r="AG107" s="55">
        <v>283.95112218200001</v>
      </c>
      <c r="AH107" s="55">
        <v>0</v>
      </c>
      <c r="AI107" s="52"/>
      <c r="AJ107" s="51">
        <v>9.984095669273442E-2</v>
      </c>
      <c r="AK107" s="52">
        <v>9.8608520314468942E-2</v>
      </c>
      <c r="AL107" s="52"/>
      <c r="AM107" s="28">
        <v>1.833333333333333</v>
      </c>
      <c r="AN107" s="28">
        <v>2.333333333333333</v>
      </c>
      <c r="AO107" s="28">
        <v>0.5</v>
      </c>
      <c r="AP107" s="28">
        <v>2.333333333333333</v>
      </c>
      <c r="AQ107" s="28">
        <v>0.26190476190476192</v>
      </c>
      <c r="AR107" s="28">
        <v>0.33333333333333343</v>
      </c>
      <c r="AS107" s="28">
        <v>7.1428571428571425E-2</v>
      </c>
      <c r="AT107" s="28">
        <v>0.33333333333333343</v>
      </c>
      <c r="AU107" s="25">
        <v>0.95</v>
      </c>
      <c r="AV107" s="25">
        <v>3.44</v>
      </c>
      <c r="AW107" s="25">
        <v>2.4900000000000002</v>
      </c>
      <c r="AX107" s="25">
        <v>2.499166666666667</v>
      </c>
      <c r="AY107">
        <v>2.499166666666667</v>
      </c>
      <c r="AZ107">
        <v>5.7944152492500001</v>
      </c>
      <c r="BA107" s="75">
        <v>0.55890272128424257</v>
      </c>
      <c r="BB107" s="75">
        <v>0.55200362828233795</v>
      </c>
      <c r="BE107">
        <v>4.9920478346367217E-2</v>
      </c>
      <c r="BF107">
        <v>4.9304260157234471E-2</v>
      </c>
      <c r="BH107">
        <v>9.9224738503601681E-2</v>
      </c>
      <c r="BI107">
        <v>4.9612369251800847E-2</v>
      </c>
      <c r="BJ107">
        <v>0.55545317478329026</v>
      </c>
    </row>
    <row r="108" spans="1:62" x14ac:dyDescent="0.3">
      <c r="A108" s="2" t="s">
        <v>856</v>
      </c>
      <c r="B108" s="17" t="s">
        <v>913</v>
      </c>
      <c r="C108" s="13"/>
      <c r="F108" s="2">
        <v>3.9</v>
      </c>
      <c r="G108" s="2" t="s">
        <v>89</v>
      </c>
      <c r="H108" s="9">
        <v>-1</v>
      </c>
      <c r="I108">
        <v>-1</v>
      </c>
      <c r="J108"/>
      <c r="K108" s="2">
        <v>1</v>
      </c>
      <c r="L108" s="25">
        <v>0</v>
      </c>
      <c r="M108">
        <v>0</v>
      </c>
      <c r="N108">
        <v>0</v>
      </c>
      <c r="O108" s="2">
        <v>3.9973999999999998</v>
      </c>
      <c r="P108" s="2">
        <v>3.9973999999999998</v>
      </c>
      <c r="Q108" s="2">
        <v>12.132999999999999</v>
      </c>
      <c r="R108" s="2" t="s">
        <v>439</v>
      </c>
      <c r="T108" s="25">
        <v>0</v>
      </c>
      <c r="U108" s="25"/>
      <c r="V108" s="25"/>
      <c r="W108">
        <v>0</v>
      </c>
      <c r="X108"/>
      <c r="Y108"/>
      <c r="Z108">
        <v>0</v>
      </c>
      <c r="AA108"/>
      <c r="AB108"/>
      <c r="AC108" s="2">
        <v>3</v>
      </c>
      <c r="AD108">
        <v>14</v>
      </c>
      <c r="AE108" s="55">
        <f t="shared" si="1"/>
        <v>193.87571561907995</v>
      </c>
      <c r="AF108" s="57">
        <v>0</v>
      </c>
      <c r="AG108" s="55">
        <v>0</v>
      </c>
      <c r="AH108" s="55">
        <v>0</v>
      </c>
      <c r="AI108" s="52">
        <f t="shared" ref="AI108:AI112" si="3">K108*AD108/AE108</f>
        <v>7.2211209925366296E-2</v>
      </c>
      <c r="AJ108" s="51"/>
      <c r="AK108" s="52"/>
      <c r="AL108" s="52"/>
      <c r="AM108" s="28">
        <v>1.833333333333333</v>
      </c>
      <c r="AN108" s="28">
        <v>2.333333333333333</v>
      </c>
      <c r="AO108" s="28">
        <v>0.5</v>
      </c>
      <c r="AP108" s="28">
        <v>2.333333333333333</v>
      </c>
      <c r="AQ108" s="28">
        <v>0.26190476190476192</v>
      </c>
      <c r="AR108" s="28">
        <v>0.33333333333333343</v>
      </c>
      <c r="AS108" s="28">
        <v>7.1428571428571425E-2</v>
      </c>
      <c r="AT108" s="28">
        <v>0.33333333333333343</v>
      </c>
      <c r="AU108" s="25">
        <v>0.82</v>
      </c>
      <c r="AV108" s="25">
        <v>3.44</v>
      </c>
      <c r="AW108" s="25">
        <v>2.62</v>
      </c>
      <c r="AX108" s="25">
        <v>2.4725000000000001</v>
      </c>
      <c r="AY108">
        <v>2.4725000000000001</v>
      </c>
      <c r="AZ108">
        <v>5.697111802916667</v>
      </c>
      <c r="BD108">
        <v>3.6105604962683148E-2</v>
      </c>
      <c r="BH108">
        <v>7.2211209925366296E-2</v>
      </c>
      <c r="BI108">
        <v>3.6105604962683148E-2</v>
      </c>
      <c r="BJ108">
        <v>0</v>
      </c>
    </row>
    <row r="109" spans="1:62" x14ac:dyDescent="0.3">
      <c r="A109" s="2" t="s">
        <v>857</v>
      </c>
      <c r="B109" s="17" t="s">
        <v>914</v>
      </c>
      <c r="C109" s="13"/>
      <c r="F109" s="2">
        <v>3.9</v>
      </c>
      <c r="G109" s="2" t="s">
        <v>89</v>
      </c>
      <c r="H109" s="9">
        <v>-1</v>
      </c>
      <c r="I109">
        <v>-1</v>
      </c>
      <c r="J109"/>
      <c r="K109" s="2">
        <v>1</v>
      </c>
      <c r="L109" s="25">
        <v>0</v>
      </c>
      <c r="M109">
        <v>0</v>
      </c>
      <c r="N109">
        <v>0</v>
      </c>
      <c r="O109" s="2">
        <v>3.9727000000000001</v>
      </c>
      <c r="P109" s="2">
        <v>3.9727000000000001</v>
      </c>
      <c r="Q109" s="2">
        <v>12.763199999999999</v>
      </c>
      <c r="R109" s="2" t="s">
        <v>439</v>
      </c>
      <c r="T109" s="25">
        <v>0</v>
      </c>
      <c r="U109" s="25"/>
      <c r="V109" s="25"/>
      <c r="W109">
        <v>0</v>
      </c>
      <c r="X109"/>
      <c r="Y109"/>
      <c r="Z109">
        <v>0</v>
      </c>
      <c r="AA109"/>
      <c r="AB109"/>
      <c r="AC109" s="2">
        <v>3</v>
      </c>
      <c r="AD109">
        <v>14</v>
      </c>
      <c r="AE109" s="55">
        <f t="shared" si="1"/>
        <v>201.43322940532801</v>
      </c>
      <c r="AF109" s="57">
        <v>0</v>
      </c>
      <c r="AG109" s="55">
        <v>0</v>
      </c>
      <c r="AH109" s="55">
        <v>0</v>
      </c>
      <c r="AI109" s="52">
        <f t="shared" si="3"/>
        <v>6.9501938887297082E-2</v>
      </c>
      <c r="AJ109" s="51"/>
      <c r="AK109" s="52"/>
      <c r="AL109" s="52"/>
      <c r="AM109" s="28">
        <v>1.833333333333333</v>
      </c>
      <c r="AN109" s="28">
        <v>2.333333333333333</v>
      </c>
      <c r="AO109" s="28">
        <v>0.5</v>
      </c>
      <c r="AP109" s="28">
        <v>2.333333333333333</v>
      </c>
      <c r="AQ109" s="28">
        <v>0.26190476190476192</v>
      </c>
      <c r="AR109" s="28">
        <v>0.33333333333333343</v>
      </c>
      <c r="AS109" s="28">
        <v>7.1428571428571425E-2</v>
      </c>
      <c r="AT109" s="28">
        <v>0.33333333333333343</v>
      </c>
      <c r="AU109" s="25">
        <v>0.82</v>
      </c>
      <c r="AV109" s="25">
        <v>3.44</v>
      </c>
      <c r="AW109" s="25">
        <v>2.62</v>
      </c>
      <c r="AX109" s="25">
        <v>2.4725000000000001</v>
      </c>
      <c r="AY109">
        <v>2.4725000000000001</v>
      </c>
      <c r="AZ109">
        <v>5.6821885904166667</v>
      </c>
      <c r="BD109">
        <v>3.4750969443648541E-2</v>
      </c>
      <c r="BH109">
        <v>6.9501938887297082E-2</v>
      </c>
      <c r="BI109">
        <v>3.4750969443648541E-2</v>
      </c>
      <c r="BJ109">
        <v>0</v>
      </c>
    </row>
    <row r="110" spans="1:62" x14ac:dyDescent="0.3">
      <c r="A110" s="2" t="s">
        <v>27</v>
      </c>
      <c r="B110" s="13" t="s">
        <v>742</v>
      </c>
      <c r="C110" s="13"/>
      <c r="F110" s="2">
        <v>3.6</v>
      </c>
      <c r="G110" s="2" t="s">
        <v>89</v>
      </c>
      <c r="H110" s="9" t="s">
        <v>563</v>
      </c>
      <c r="I110" t="s">
        <v>641</v>
      </c>
      <c r="J110"/>
      <c r="L110" s="25">
        <v>1</v>
      </c>
      <c r="M110">
        <v>1</v>
      </c>
      <c r="N110">
        <v>0</v>
      </c>
      <c r="Q110"/>
      <c r="T110" s="25">
        <v>3.9948813699999999</v>
      </c>
      <c r="U110" s="25">
        <v>3.9948813699999999</v>
      </c>
      <c r="V110" s="25">
        <v>3.9948813699999999</v>
      </c>
      <c r="W110">
        <v>3.9883000000000002</v>
      </c>
      <c r="X110">
        <v>3.9883000000000002</v>
      </c>
      <c r="Y110">
        <v>3.9883000000000002</v>
      </c>
      <c r="Z110">
        <v>0</v>
      </c>
      <c r="AA110"/>
      <c r="AB110"/>
      <c r="AD110">
        <v>6</v>
      </c>
      <c r="AE110" s="55">
        <f t="shared" si="1"/>
        <v>0</v>
      </c>
      <c r="AF110" s="57">
        <v>63.754620030366901</v>
      </c>
      <c r="AG110" s="55">
        <v>63.440041078387011</v>
      </c>
      <c r="AH110" s="55">
        <v>0</v>
      </c>
      <c r="AI110" s="52"/>
      <c r="AJ110" s="51">
        <v>9.4110826747020773E-2</v>
      </c>
      <c r="AK110" s="52">
        <v>9.4577492353549286E-2</v>
      </c>
      <c r="AL110" s="52"/>
      <c r="AM110" s="28">
        <v>1.8</v>
      </c>
      <c r="AN110" s="28">
        <v>2.4</v>
      </c>
      <c r="AO110" s="28">
        <v>0.6</v>
      </c>
      <c r="AP110" s="28">
        <v>2.8</v>
      </c>
      <c r="AQ110" s="28">
        <v>0.23684210526315791</v>
      </c>
      <c r="AR110" s="28">
        <v>0.31578947368421051</v>
      </c>
      <c r="AS110" s="28">
        <v>7.8947368421052627E-2</v>
      </c>
      <c r="AT110" s="28">
        <v>0.36842105263157893</v>
      </c>
      <c r="AU110" s="25">
        <v>0.82</v>
      </c>
      <c r="AV110" s="25">
        <v>3.44</v>
      </c>
      <c r="AW110" s="25">
        <v>2.62</v>
      </c>
      <c r="AX110" s="25">
        <v>2.528</v>
      </c>
      <c r="AY110">
        <v>2.528</v>
      </c>
      <c r="AZ110">
        <v>5.7952294759999994</v>
      </c>
      <c r="BA110" s="75">
        <v>0.65619545508850963</v>
      </c>
      <c r="BB110" s="75">
        <v>0.65944931928920669</v>
      </c>
      <c r="BE110">
        <v>4.7055413373510387E-2</v>
      </c>
      <c r="BF110">
        <v>4.7288746176774643E-2</v>
      </c>
      <c r="BH110">
        <v>9.4344159550285023E-2</v>
      </c>
      <c r="BI110">
        <v>4.7172079775142511E-2</v>
      </c>
      <c r="BJ110">
        <v>0.65782238718885822</v>
      </c>
    </row>
    <row r="111" spans="1:62" x14ac:dyDescent="0.3">
      <c r="A111" s="2" t="s">
        <v>864</v>
      </c>
      <c r="B111" s="13" t="s">
        <v>861</v>
      </c>
      <c r="C111" s="13"/>
      <c r="F111" s="2">
        <v>4</v>
      </c>
      <c r="G111" s="2" t="s">
        <v>91</v>
      </c>
      <c r="H111" s="9">
        <v>-1</v>
      </c>
      <c r="I111">
        <v>-1</v>
      </c>
      <c r="J111" t="s">
        <v>1212</v>
      </c>
      <c r="K111" s="2">
        <v>0.66666666699999999</v>
      </c>
      <c r="L111" s="25">
        <v>0</v>
      </c>
      <c r="M111">
        <v>0</v>
      </c>
      <c r="N111">
        <f>2/3</f>
        <v>0.66666666666666663</v>
      </c>
      <c r="O111" s="2">
        <v>3.9607999999999999</v>
      </c>
      <c r="P111" s="2">
        <v>3.9607999999999999</v>
      </c>
      <c r="Q111" s="2">
        <v>21.8126</v>
      </c>
      <c r="R111" s="2" t="s">
        <v>440</v>
      </c>
      <c r="T111" s="25">
        <v>0</v>
      </c>
      <c r="U111" s="25"/>
      <c r="V111" s="25"/>
      <c r="W111">
        <v>0</v>
      </c>
      <c r="X111"/>
      <c r="Y111"/>
      <c r="Z111">
        <v>0</v>
      </c>
      <c r="AA111"/>
      <c r="AB111"/>
      <c r="AD111">
        <v>42</v>
      </c>
      <c r="AE111" s="55">
        <f t="shared" si="1"/>
        <v>342.19468675366397</v>
      </c>
      <c r="AF111" s="57">
        <v>0</v>
      </c>
      <c r="AG111" s="55">
        <v>0</v>
      </c>
      <c r="AH111" s="55">
        <v>347.6</v>
      </c>
      <c r="AI111" s="52">
        <f t="shared" si="3"/>
        <v>8.1824765543938416E-2</v>
      </c>
      <c r="AJ111" s="51"/>
      <c r="AK111" s="52"/>
      <c r="AL111" s="52">
        <f>N111*AD111/AH111</f>
        <v>8.0552359033371684E-2</v>
      </c>
      <c r="AM111" s="28">
        <v>1.828571428571429</v>
      </c>
      <c r="AN111" s="28">
        <v>2.4</v>
      </c>
      <c r="AO111" s="28">
        <v>0.5714285714285714</v>
      </c>
      <c r="AP111" s="28">
        <v>2.4</v>
      </c>
      <c r="AQ111" s="28">
        <v>0.25396825396825401</v>
      </c>
      <c r="AR111" s="28">
        <v>0.33333333333333331</v>
      </c>
      <c r="AS111" s="28">
        <v>7.9365079365079361E-2</v>
      </c>
      <c r="AT111" s="28">
        <v>0.33333333333333331</v>
      </c>
      <c r="AU111" s="25">
        <v>0.82</v>
      </c>
      <c r="AV111" s="25">
        <v>3.44</v>
      </c>
      <c r="AW111" s="25">
        <v>2.62</v>
      </c>
      <c r="AX111" s="25">
        <v>2.524571428571428</v>
      </c>
      <c r="AY111">
        <v>2.524571428571428</v>
      </c>
      <c r="AZ111">
        <v>5.7888591694285711</v>
      </c>
      <c r="BD111">
        <v>4.0912382771969208E-2</v>
      </c>
      <c r="BG111">
        <v>4.0276179516685842E-2</v>
      </c>
      <c r="BH111">
        <v>8.118856228865505E-2</v>
      </c>
      <c r="BI111">
        <v>4.0594281144327532E-2</v>
      </c>
      <c r="BJ111">
        <v>0</v>
      </c>
    </row>
    <row r="112" spans="1:62" x14ac:dyDescent="0.3">
      <c r="A112" s="2" t="s">
        <v>865</v>
      </c>
      <c r="B112" s="13" t="s">
        <v>862</v>
      </c>
      <c r="C112" s="13"/>
      <c r="F112" s="2">
        <v>4</v>
      </c>
      <c r="G112" s="2" t="s">
        <v>91</v>
      </c>
      <c r="H112" s="9">
        <v>-1</v>
      </c>
      <c r="I112">
        <v>-1</v>
      </c>
      <c r="J112"/>
      <c r="K112" s="2">
        <f>0.666666667/2</f>
        <v>0.3333333335</v>
      </c>
      <c r="L112" s="25">
        <v>0</v>
      </c>
      <c r="M112">
        <v>0</v>
      </c>
      <c r="N112">
        <v>2</v>
      </c>
      <c r="O112" s="2">
        <v>3.9483999999999999</v>
      </c>
      <c r="P112" s="2">
        <v>3.9483999999999999</v>
      </c>
      <c r="Q112" s="2">
        <v>9.7742000000000004</v>
      </c>
      <c r="R112" s="2" t="s">
        <v>439</v>
      </c>
      <c r="T112" s="25">
        <v>0</v>
      </c>
      <c r="U112" s="25"/>
      <c r="V112" s="25"/>
      <c r="W112">
        <v>0</v>
      </c>
      <c r="X112"/>
      <c r="Y112"/>
      <c r="Z112">
        <v>0</v>
      </c>
      <c r="AA112"/>
      <c r="AB112"/>
      <c r="AD112">
        <v>42</v>
      </c>
      <c r="AE112" s="55">
        <f t="shared" si="1"/>
        <v>152.378434633952</v>
      </c>
      <c r="AF112" s="57">
        <v>0</v>
      </c>
      <c r="AG112" s="55">
        <v>0</v>
      </c>
      <c r="AH112" s="55">
        <v>0</v>
      </c>
      <c r="AI112" s="52">
        <f t="shared" si="3"/>
        <v>9.1876518095432708E-2</v>
      </c>
      <c r="AJ112" s="51"/>
      <c r="AK112" s="52"/>
      <c r="AL112" s="52"/>
      <c r="AM112" s="28">
        <v>1.828571428571429</v>
      </c>
      <c r="AN112" s="28">
        <v>2.4</v>
      </c>
      <c r="AO112" s="28">
        <v>0.5714285714285714</v>
      </c>
      <c r="AP112" s="28">
        <v>2.4</v>
      </c>
      <c r="AQ112" s="28">
        <v>0.25396825396825401</v>
      </c>
      <c r="AR112" s="28">
        <v>0.33333333333333331</v>
      </c>
      <c r="AS112" s="28">
        <v>7.9365079365079361E-2</v>
      </c>
      <c r="AT112" s="28">
        <v>0.33333333333333331</v>
      </c>
      <c r="AU112" s="25">
        <v>1.1000000000000001</v>
      </c>
      <c r="AV112" s="25">
        <v>3.44</v>
      </c>
      <c r="AW112" s="25">
        <v>2.34</v>
      </c>
      <c r="AX112" s="25">
        <v>2.7611428571428571</v>
      </c>
      <c r="AY112">
        <v>2.7611428571428571</v>
      </c>
      <c r="AZ112">
        <v>6.6040800042601706</v>
      </c>
      <c r="BD112">
        <v>4.5938259047716347E-2</v>
      </c>
      <c r="BG112" t="s">
        <v>459</v>
      </c>
      <c r="BH112">
        <v>9.1876518095432708E-2</v>
      </c>
      <c r="BI112" t="s">
        <v>459</v>
      </c>
      <c r="BJ112">
        <v>0</v>
      </c>
    </row>
    <row r="113" spans="1:62" x14ac:dyDescent="0.3">
      <c r="A113" s="2" t="s">
        <v>858</v>
      </c>
      <c r="B113" s="13" t="s">
        <v>859</v>
      </c>
      <c r="C113" s="13"/>
      <c r="F113" s="2">
        <v>4</v>
      </c>
      <c r="G113" s="2" t="s">
        <v>91</v>
      </c>
      <c r="H113" s="9" t="s">
        <v>860</v>
      </c>
      <c r="I113">
        <v>1540895</v>
      </c>
      <c r="J113"/>
      <c r="L113" s="25">
        <v>0</v>
      </c>
      <c r="M113">
        <v>4</v>
      </c>
      <c r="N113">
        <v>0</v>
      </c>
      <c r="T113" s="25">
        <v>0</v>
      </c>
      <c r="U113" s="25"/>
      <c r="V113" s="25"/>
      <c r="W113">
        <v>6.5429000000000004</v>
      </c>
      <c r="X113">
        <v>7.6490999999999998</v>
      </c>
      <c r="Y113">
        <v>12.583</v>
      </c>
      <c r="Z113">
        <v>0</v>
      </c>
      <c r="AA113"/>
      <c r="AB113"/>
      <c r="AD113">
        <v>18</v>
      </c>
      <c r="AE113" s="55">
        <f t="shared" si="1"/>
        <v>0</v>
      </c>
      <c r="AF113" s="57">
        <v>0</v>
      </c>
      <c r="AG113" s="55">
        <v>629.74513047537005</v>
      </c>
      <c r="AH113" s="55">
        <v>0</v>
      </c>
      <c r="AI113" s="52"/>
      <c r="AJ113" s="51"/>
      <c r="AK113" s="52">
        <v>0.1143319678322086</v>
      </c>
      <c r="AL113" s="52"/>
      <c r="AM113" s="28">
        <v>2</v>
      </c>
      <c r="AN113" s="28">
        <v>2.7692307692307692</v>
      </c>
      <c r="AO113" s="28">
        <v>0.76923076923076927</v>
      </c>
      <c r="AP113" s="28">
        <v>3.2307692307692308</v>
      </c>
      <c r="AQ113" s="28">
        <v>0.22807017543859651</v>
      </c>
      <c r="AR113" s="28">
        <v>0.31578947368421051</v>
      </c>
      <c r="AS113" s="28">
        <v>8.771929824561403E-2</v>
      </c>
      <c r="AT113" s="28">
        <v>0.36842105263157893</v>
      </c>
      <c r="AU113" s="25">
        <v>1.1000000000000001</v>
      </c>
      <c r="AV113" s="25">
        <v>3.44</v>
      </c>
      <c r="AW113" s="25">
        <v>2.34</v>
      </c>
      <c r="AX113" s="25">
        <v>2.8123076923076931</v>
      </c>
      <c r="AY113">
        <v>2.8123076923076931</v>
      </c>
      <c r="AZ113">
        <v>6.3640369961538461</v>
      </c>
      <c r="BB113" s="75">
        <v>0.55971264878746807</v>
      </c>
      <c r="BF113">
        <v>5.7165983916104293E-2</v>
      </c>
      <c r="BH113">
        <v>0.1143319678322086</v>
      </c>
      <c r="BI113">
        <v>5.7165983916104293E-2</v>
      </c>
      <c r="BJ113">
        <v>0.55971264878746807</v>
      </c>
    </row>
    <row r="114" spans="1:62" x14ac:dyDescent="0.3">
      <c r="A114" s="2" t="s">
        <v>87</v>
      </c>
      <c r="B114" s="13" t="s">
        <v>743</v>
      </c>
      <c r="C114" s="13"/>
      <c r="F114" s="2">
        <v>3.9</v>
      </c>
      <c r="G114" s="2" t="s">
        <v>91</v>
      </c>
      <c r="H114" s="9" t="s">
        <v>564</v>
      </c>
      <c r="I114">
        <v>-1</v>
      </c>
      <c r="J114"/>
      <c r="L114" s="25">
        <v>1</v>
      </c>
      <c r="M114">
        <v>0</v>
      </c>
      <c r="N114">
        <v>0</v>
      </c>
      <c r="Q114"/>
      <c r="T114" s="25">
        <v>9.9051542599999998</v>
      </c>
      <c r="U114" s="25">
        <v>9.9051542599999998</v>
      </c>
      <c r="V114" s="25">
        <v>9.9051542599999998</v>
      </c>
      <c r="W114">
        <v>0</v>
      </c>
      <c r="X114"/>
      <c r="Y114"/>
      <c r="Z114">
        <v>0</v>
      </c>
      <c r="AA114"/>
      <c r="AB114"/>
      <c r="AD114">
        <v>14</v>
      </c>
      <c r="AE114" s="55">
        <f t="shared" si="1"/>
        <v>0</v>
      </c>
      <c r="AF114" s="57">
        <v>150.75696951344321</v>
      </c>
      <c r="AG114" s="55">
        <v>0</v>
      </c>
      <c r="AH114" s="55">
        <v>0</v>
      </c>
      <c r="AI114" s="52"/>
      <c r="AJ114" s="51">
        <v>9.2864695046497372E-2</v>
      </c>
      <c r="AK114" s="52"/>
      <c r="AL114" s="52"/>
      <c r="AM114" s="28">
        <v>1.833333333333333</v>
      </c>
      <c r="AN114" s="28">
        <v>2.333333333333333</v>
      </c>
      <c r="AO114" s="28">
        <v>0.5</v>
      </c>
      <c r="AP114" s="28">
        <v>2.333333333333333</v>
      </c>
      <c r="AQ114" s="28">
        <v>0.26190476190476192</v>
      </c>
      <c r="AR114" s="28">
        <v>0.33333333333333343</v>
      </c>
      <c r="AS114" s="28">
        <v>7.1428571428571425E-2</v>
      </c>
      <c r="AT114" s="28">
        <v>0.33333333333333343</v>
      </c>
      <c r="AU114" s="25">
        <v>0.95</v>
      </c>
      <c r="AV114" s="25">
        <v>3.44</v>
      </c>
      <c r="AW114" s="25">
        <v>2.4900000000000002</v>
      </c>
      <c r="AX114" s="25">
        <v>2.7024999999999988</v>
      </c>
      <c r="AY114">
        <v>2.7025000000000001</v>
      </c>
      <c r="AZ114">
        <v>6.4896876145585001</v>
      </c>
      <c r="BA114" s="75">
        <v>0.47933948900870132</v>
      </c>
      <c r="BE114">
        <v>4.6432347523248672E-2</v>
      </c>
      <c r="BH114">
        <v>9.2864695046497372E-2</v>
      </c>
      <c r="BI114">
        <v>4.6432347523248672E-2</v>
      </c>
      <c r="BJ114">
        <v>0.47933948900870132</v>
      </c>
    </row>
    <row r="115" spans="1:62" x14ac:dyDescent="0.3">
      <c r="A115" s="2" t="s">
        <v>92</v>
      </c>
      <c r="B115" s="17" t="s">
        <v>915</v>
      </c>
      <c r="C115" s="13"/>
      <c r="F115" s="2">
        <v>4.0999999999999996</v>
      </c>
      <c r="G115" s="2" t="s">
        <v>93</v>
      </c>
      <c r="H115" s="9">
        <v>-1</v>
      </c>
      <c r="I115">
        <v>-1</v>
      </c>
      <c r="J115"/>
      <c r="L115" s="25">
        <v>0</v>
      </c>
      <c r="M115">
        <v>0</v>
      </c>
      <c r="N115">
        <v>0</v>
      </c>
      <c r="O115" s="2">
        <v>3.9499</v>
      </c>
      <c r="P115" s="2">
        <v>3.9499</v>
      </c>
      <c r="Q115" s="2">
        <v>17.030999999999999</v>
      </c>
      <c r="R115" s="2" t="s">
        <v>439</v>
      </c>
      <c r="T115" s="25">
        <v>0</v>
      </c>
      <c r="U115" s="25"/>
      <c r="V115" s="25"/>
      <c r="W115">
        <v>0</v>
      </c>
      <c r="X115"/>
      <c r="Y115"/>
      <c r="Z115">
        <v>0</v>
      </c>
      <c r="AA115"/>
      <c r="AB115"/>
      <c r="AD115">
        <v>20</v>
      </c>
      <c r="AE115" s="55">
        <f t="shared" si="1"/>
        <v>265.71272318030998</v>
      </c>
      <c r="AF115" s="57">
        <v>0</v>
      </c>
      <c r="AG115" s="55">
        <v>0</v>
      </c>
      <c r="AH115" s="55">
        <v>0</v>
      </c>
      <c r="AI115" s="52"/>
      <c r="AJ115" s="51"/>
      <c r="AK115" s="52"/>
      <c r="AL115" s="52"/>
      <c r="AM115" s="28">
        <v>1.8787878787878789</v>
      </c>
      <c r="AN115" s="28">
        <v>2.4242424242424239</v>
      </c>
      <c r="AO115" s="28">
        <v>0.54545454545454541</v>
      </c>
      <c r="AP115" s="28">
        <v>2.545454545454545</v>
      </c>
      <c r="AQ115" s="28">
        <v>0.25409836065573771</v>
      </c>
      <c r="AR115" s="28">
        <v>0.32786885245901642</v>
      </c>
      <c r="AS115" s="28">
        <v>7.3770491803278687E-2</v>
      </c>
      <c r="AT115" s="28">
        <v>0.34426229508196721</v>
      </c>
      <c r="AU115" s="25">
        <v>0.82</v>
      </c>
      <c r="AV115" s="25">
        <v>3.44</v>
      </c>
      <c r="AW115" s="25">
        <v>2.62</v>
      </c>
      <c r="AX115" s="25">
        <v>2.543333333333333</v>
      </c>
      <c r="AY115">
        <v>2.5433333333333339</v>
      </c>
      <c r="AZ115">
        <v>5.8398279362121217</v>
      </c>
      <c r="BH115">
        <v>0</v>
      </c>
      <c r="BI115">
        <v>0</v>
      </c>
      <c r="BJ115">
        <v>0</v>
      </c>
    </row>
    <row r="116" spans="1:62" x14ac:dyDescent="0.3">
      <c r="A116" s="2" t="s">
        <v>34</v>
      </c>
      <c r="B116" s="13" t="s">
        <v>711</v>
      </c>
      <c r="C116" s="13"/>
      <c r="F116" s="2">
        <v>3.2</v>
      </c>
      <c r="G116" s="2" t="s">
        <v>94</v>
      </c>
      <c r="H116" s="9" t="s">
        <v>542</v>
      </c>
      <c r="I116" t="s">
        <v>623</v>
      </c>
      <c r="J116"/>
      <c r="L116" s="25">
        <v>1</v>
      </c>
      <c r="M116">
        <v>2</v>
      </c>
      <c r="N116">
        <v>0</v>
      </c>
      <c r="Q116"/>
      <c r="R116"/>
      <c r="S116"/>
      <c r="T116" s="25">
        <v>3.9086759899999999</v>
      </c>
      <c r="U116" s="25">
        <v>3.908676100000001</v>
      </c>
      <c r="V116" s="25">
        <v>10.552604730000001</v>
      </c>
      <c r="W116">
        <v>3.899</v>
      </c>
      <c r="X116">
        <v>3.899</v>
      </c>
      <c r="Y116">
        <v>20.399989999999999</v>
      </c>
      <c r="Z116">
        <v>0</v>
      </c>
      <c r="AA116"/>
      <c r="AB116"/>
      <c r="AD116">
        <v>14</v>
      </c>
      <c r="AE116" s="55">
        <f t="shared" si="1"/>
        <v>0</v>
      </c>
      <c r="AF116" s="57">
        <v>155.59136328639269</v>
      </c>
      <c r="AG116" s="55">
        <v>310.12474837798999</v>
      </c>
      <c r="AH116" s="55">
        <v>0</v>
      </c>
      <c r="AI116" s="52"/>
      <c r="AJ116" s="51">
        <v>8.9979287437893268E-2</v>
      </c>
      <c r="AK116" s="52">
        <v>9.0286248183820222E-2</v>
      </c>
      <c r="AL116" s="52"/>
      <c r="AM116" s="28">
        <v>2</v>
      </c>
      <c r="AN116" s="28">
        <v>2.333333333333333</v>
      </c>
      <c r="AO116" s="28">
        <v>0.33333333333333331</v>
      </c>
      <c r="AP116" s="28">
        <v>0</v>
      </c>
      <c r="AQ116" s="28">
        <v>0.42857142857142849</v>
      </c>
      <c r="AR116" s="28">
        <v>0.5</v>
      </c>
      <c r="AS116" s="28">
        <v>7.1428571428571425E-2</v>
      </c>
      <c r="AT116" s="28">
        <v>0</v>
      </c>
      <c r="AU116" s="25">
        <v>0.95</v>
      </c>
      <c r="AV116" s="25">
        <v>3.44</v>
      </c>
      <c r="AW116" s="25">
        <v>2.4900000000000002</v>
      </c>
      <c r="AX116" s="25">
        <v>2.500833333333333</v>
      </c>
      <c r="AY116">
        <v>2.500833333333333</v>
      </c>
      <c r="AZ116">
        <v>5.6917605187500007</v>
      </c>
      <c r="BA116" s="75">
        <v>0.58499657192886345</v>
      </c>
      <c r="BB116" s="75">
        <v>0.58699226437317098</v>
      </c>
      <c r="BE116">
        <v>4.4989643718946627E-2</v>
      </c>
      <c r="BF116">
        <v>4.5143124091910111E-2</v>
      </c>
      <c r="BH116">
        <v>9.0132767810856745E-2</v>
      </c>
      <c r="BI116">
        <v>4.5066383905428373E-2</v>
      </c>
      <c r="BJ116">
        <v>0.58599441815101727</v>
      </c>
    </row>
    <row r="117" spans="1:62" x14ac:dyDescent="0.3">
      <c r="A117" s="2" t="s">
        <v>95</v>
      </c>
      <c r="B117" s="13" t="s">
        <v>744</v>
      </c>
      <c r="C117" s="13"/>
      <c r="F117" s="2">
        <v>3.3</v>
      </c>
      <c r="G117" s="2" t="s">
        <v>96</v>
      </c>
      <c r="H117" s="9">
        <v>-1</v>
      </c>
      <c r="I117" t="s">
        <v>642</v>
      </c>
      <c r="J117"/>
      <c r="L117" s="25">
        <v>0</v>
      </c>
      <c r="M117">
        <v>1</v>
      </c>
      <c r="N117">
        <v>0</v>
      </c>
      <c r="O117" s="2">
        <v>3.8917999999999999</v>
      </c>
      <c r="P117" s="2">
        <v>3.8820000000000001</v>
      </c>
      <c r="Q117" s="2">
        <v>36.127000000000002</v>
      </c>
      <c r="R117" s="1" t="s">
        <v>484</v>
      </c>
      <c r="S117" s="1"/>
      <c r="T117" s="25">
        <v>0</v>
      </c>
      <c r="U117" s="25"/>
      <c r="V117" s="25"/>
      <c r="W117">
        <v>3.8715999999999999</v>
      </c>
      <c r="X117">
        <v>3.8715999999999999</v>
      </c>
      <c r="Y117">
        <v>36.936999999999998</v>
      </c>
      <c r="Z117">
        <v>0</v>
      </c>
      <c r="AA117"/>
      <c r="AB117"/>
      <c r="AC117" s="2">
        <v>4</v>
      </c>
      <c r="AD117">
        <v>26</v>
      </c>
      <c r="AE117" s="55">
        <f t="shared" si="1"/>
        <v>545.80554548520001</v>
      </c>
      <c r="AF117" s="57">
        <v>0</v>
      </c>
      <c r="AG117" s="55">
        <v>553.65927766671996</v>
      </c>
      <c r="AH117" s="55">
        <v>0</v>
      </c>
      <c r="AI117" s="52"/>
      <c r="AJ117" s="51"/>
      <c r="AK117" s="52">
        <v>4.696028956576237E-2</v>
      </c>
      <c r="AL117" s="52"/>
      <c r="AM117" s="28">
        <v>1.714285714285714</v>
      </c>
      <c r="AN117" s="28">
        <v>2.4761904761904758</v>
      </c>
      <c r="AO117" s="28">
        <v>0.76190476190476186</v>
      </c>
      <c r="AP117" s="28">
        <v>0</v>
      </c>
      <c r="AQ117" s="28">
        <v>0.34615384615384609</v>
      </c>
      <c r="AR117" s="28">
        <v>0.5</v>
      </c>
      <c r="AS117" s="28">
        <v>0.1538461538461538</v>
      </c>
      <c r="AT117" s="28">
        <v>0</v>
      </c>
      <c r="AU117" s="25">
        <v>0.93</v>
      </c>
      <c r="AV117" s="25">
        <v>3.44</v>
      </c>
      <c r="AW117" s="25">
        <v>2.5099999999999998</v>
      </c>
      <c r="AX117" s="25">
        <v>2.618095238095238</v>
      </c>
      <c r="AY117">
        <v>2.618095238095238</v>
      </c>
      <c r="AZ117">
        <v>5.9615126490476191</v>
      </c>
      <c r="BF117">
        <v>2.3480144782881181E-2</v>
      </c>
      <c r="BH117">
        <v>4.696028956576237E-2</v>
      </c>
      <c r="BI117">
        <v>2.3480144782881181E-2</v>
      </c>
      <c r="BJ117">
        <v>0</v>
      </c>
    </row>
    <row r="118" spans="1:62" x14ac:dyDescent="0.3">
      <c r="A118" s="2" t="s">
        <v>97</v>
      </c>
      <c r="B118" s="13" t="s">
        <v>745</v>
      </c>
      <c r="C118" s="13"/>
      <c r="F118" s="2">
        <v>2.0099999999999998</v>
      </c>
      <c r="G118" s="2" t="s">
        <v>100</v>
      </c>
      <c r="H118" s="9" t="s">
        <v>565</v>
      </c>
      <c r="I118" t="s">
        <v>643</v>
      </c>
      <c r="J118"/>
      <c r="L118" s="25">
        <v>4</v>
      </c>
      <c r="M118">
        <v>2</v>
      </c>
      <c r="N118">
        <v>0</v>
      </c>
      <c r="O118" s="2">
        <v>5.63</v>
      </c>
      <c r="P118" s="2">
        <v>5.63</v>
      </c>
      <c r="Q118" s="2">
        <v>7.9509999999999996</v>
      </c>
      <c r="R118" s="2" t="s">
        <v>485</v>
      </c>
      <c r="T118" s="25">
        <v>5.6671750000000003</v>
      </c>
      <c r="U118" s="25">
        <v>9.8157737100000002</v>
      </c>
      <c r="V118" s="25">
        <v>9.8153266899999991</v>
      </c>
      <c r="W118">
        <v>5.6200999999999999</v>
      </c>
      <c r="X118">
        <v>5.6342999999999996</v>
      </c>
      <c r="Y118">
        <v>7.9375</v>
      </c>
      <c r="Z118">
        <v>0</v>
      </c>
      <c r="AA118"/>
      <c r="AB118"/>
      <c r="AD118">
        <v>12</v>
      </c>
      <c r="AE118" s="55">
        <f t="shared" si="1"/>
        <v>252.02205189999998</v>
      </c>
      <c r="AF118" s="57">
        <v>515.32350958904738</v>
      </c>
      <c r="AG118" s="55">
        <v>251.3435485224438</v>
      </c>
      <c r="AH118" s="55">
        <v>0</v>
      </c>
      <c r="AI118" s="52"/>
      <c r="AJ118" s="51">
        <v>9.3145371998025736E-2</v>
      </c>
      <c r="AK118" s="52">
        <v>9.5486835214538698E-2</v>
      </c>
      <c r="AL118" s="52"/>
      <c r="AM118" s="28">
        <v>2</v>
      </c>
      <c r="AN118" s="28">
        <v>2.4</v>
      </c>
      <c r="AO118" s="28">
        <v>0.9</v>
      </c>
      <c r="AP118" s="28">
        <v>1.4</v>
      </c>
      <c r="AQ118" s="28">
        <v>0.29850746268656708</v>
      </c>
      <c r="AR118" s="28">
        <v>0.35820895522388058</v>
      </c>
      <c r="AS118" s="28">
        <v>0.1343283582089552</v>
      </c>
      <c r="AT118" s="28">
        <v>0.20895522388059701</v>
      </c>
      <c r="AU118" s="25">
        <v>0.95</v>
      </c>
      <c r="AV118" s="25">
        <v>3.44</v>
      </c>
      <c r="AW118" s="25">
        <v>2.4900000000000002</v>
      </c>
      <c r="AX118" s="25">
        <v>2.5870000000000002</v>
      </c>
      <c r="AY118">
        <v>2.5870000000000002</v>
      </c>
      <c r="AZ118">
        <v>5.8948612069999999</v>
      </c>
      <c r="BA118" s="75">
        <v>0.57095915761344151</v>
      </c>
      <c r="BB118" s="75">
        <v>0.58531177478599872</v>
      </c>
      <c r="BE118">
        <v>4.6572685999012868E-2</v>
      </c>
      <c r="BF118">
        <v>4.7743417607269342E-2</v>
      </c>
      <c r="BH118">
        <v>9.4316103606282217E-2</v>
      </c>
      <c r="BI118">
        <v>4.7158051803141102E-2</v>
      </c>
      <c r="BJ118">
        <v>0.57813546619972012</v>
      </c>
    </row>
    <row r="119" spans="1:62" x14ac:dyDescent="0.3">
      <c r="A119" s="2" t="s">
        <v>1213</v>
      </c>
      <c r="B119" s="68" t="s">
        <v>1215</v>
      </c>
      <c r="C119" s="13"/>
      <c r="F119" s="2">
        <v>2.21</v>
      </c>
      <c r="G119" s="2" t="s">
        <v>101</v>
      </c>
      <c r="H119" s="9">
        <v>-1</v>
      </c>
      <c r="I119">
        <v>-1</v>
      </c>
      <c r="J119"/>
      <c r="K119" s="2">
        <v>2</v>
      </c>
      <c r="L119" s="25">
        <v>0</v>
      </c>
      <c r="M119">
        <v>0</v>
      </c>
      <c r="N119">
        <v>0</v>
      </c>
      <c r="O119" s="2">
        <v>3.9668000000000001</v>
      </c>
      <c r="P119" s="2">
        <v>3.9668000000000001</v>
      </c>
      <c r="Q119" s="2">
        <v>20.597999999999999</v>
      </c>
      <c r="R119" s="2" t="s">
        <v>440</v>
      </c>
      <c r="T119" s="25">
        <v>0</v>
      </c>
      <c r="U119" s="25"/>
      <c r="V119" s="25"/>
      <c r="W119">
        <v>0</v>
      </c>
      <c r="X119"/>
      <c r="Y119"/>
      <c r="Z119">
        <v>0</v>
      </c>
      <c r="AA119"/>
      <c r="AB119"/>
      <c r="AD119">
        <v>14</v>
      </c>
      <c r="AE119" s="55">
        <f t="shared" si="1"/>
        <v>324.11987513951999</v>
      </c>
      <c r="AF119" s="57">
        <v>0</v>
      </c>
      <c r="AG119" s="55">
        <v>0</v>
      </c>
      <c r="AH119" s="55">
        <v>0</v>
      </c>
      <c r="AI119" s="52">
        <f t="shared" ref="AI119:AI120" si="4">K119*AD119/AE119</f>
        <v>8.6387790899731698E-2</v>
      </c>
      <c r="AJ119" s="51"/>
      <c r="AK119" s="52"/>
      <c r="AL119" s="52"/>
      <c r="AM119" s="28">
        <v>2</v>
      </c>
      <c r="AN119" s="28">
        <v>2.4615384615384621</v>
      </c>
      <c r="AO119" s="28">
        <v>0.69230769230769229</v>
      </c>
      <c r="AP119" s="28">
        <v>1.0769230769230771</v>
      </c>
      <c r="AQ119" s="28">
        <v>0.32098765432098758</v>
      </c>
      <c r="AR119" s="28">
        <v>0.39506172839506182</v>
      </c>
      <c r="AS119" s="28">
        <v>0.1111111111111111</v>
      </c>
      <c r="AT119" s="28">
        <v>0.1728395061728395</v>
      </c>
      <c r="AU119" s="25">
        <v>0.95</v>
      </c>
      <c r="AV119" s="25">
        <v>3.44</v>
      </c>
      <c r="AW119" s="25">
        <v>2.4900000000000002</v>
      </c>
      <c r="AX119" s="25">
        <v>2.592307692307692</v>
      </c>
      <c r="AY119">
        <v>2.5923076923076929</v>
      </c>
      <c r="AZ119">
        <v>5.9154799303846159</v>
      </c>
      <c r="BD119">
        <v>4.3193895449865849E-2</v>
      </c>
      <c r="BH119">
        <v>8.6387790899731698E-2</v>
      </c>
      <c r="BI119">
        <v>4.3193895449865849E-2</v>
      </c>
      <c r="BJ119">
        <v>0</v>
      </c>
    </row>
    <row r="120" spans="1:62" x14ac:dyDescent="0.3">
      <c r="A120" s="2" t="s">
        <v>1214</v>
      </c>
      <c r="B120" s="68" t="s">
        <v>1216</v>
      </c>
      <c r="C120" s="13"/>
      <c r="F120" s="2">
        <v>2.27</v>
      </c>
      <c r="G120" s="2" t="s">
        <v>102</v>
      </c>
      <c r="H120" s="9">
        <v>-1</v>
      </c>
      <c r="I120">
        <v>-1</v>
      </c>
      <c r="J120"/>
      <c r="K120" s="2">
        <v>1</v>
      </c>
      <c r="L120" s="25">
        <v>0</v>
      </c>
      <c r="M120">
        <v>0</v>
      </c>
      <c r="N120">
        <v>0</v>
      </c>
      <c r="O120" s="2">
        <v>3.9493</v>
      </c>
      <c r="P120" s="2">
        <v>3.9493</v>
      </c>
      <c r="Q120" s="2">
        <v>12.727</v>
      </c>
      <c r="R120" s="2" t="s">
        <v>440</v>
      </c>
      <c r="T120" s="25">
        <v>0</v>
      </c>
      <c r="U120" s="25"/>
      <c r="V120" s="25"/>
      <c r="W120">
        <v>0</v>
      </c>
      <c r="X120"/>
      <c r="Y120"/>
      <c r="Z120">
        <v>0</v>
      </c>
      <c r="AA120"/>
      <c r="AB120"/>
      <c r="AD120">
        <v>16</v>
      </c>
      <c r="AE120" s="55">
        <f t="shared" si="1"/>
        <v>198.50264342623001</v>
      </c>
      <c r="AF120" s="57">
        <v>0</v>
      </c>
      <c r="AG120" s="55">
        <v>0</v>
      </c>
      <c r="AH120" s="55">
        <v>0</v>
      </c>
      <c r="AI120" s="52">
        <f t="shared" si="4"/>
        <v>8.0603460608050376E-2</v>
      </c>
      <c r="AJ120" s="51"/>
      <c r="AK120" s="52"/>
      <c r="AL120" s="52"/>
      <c r="AM120" s="28">
        <v>2</v>
      </c>
      <c r="AN120" s="28">
        <v>2.4</v>
      </c>
      <c r="AO120" s="28">
        <v>0.6</v>
      </c>
      <c r="AP120" s="28">
        <v>0.93333333333333335</v>
      </c>
      <c r="AQ120" s="28">
        <v>0.33707865168539319</v>
      </c>
      <c r="AR120" s="28">
        <v>0.4044943820224719</v>
      </c>
      <c r="AS120" s="28">
        <v>0.101123595505618</v>
      </c>
      <c r="AT120" s="28">
        <v>0.15730337078651679</v>
      </c>
      <c r="AU120" s="25">
        <v>0.95</v>
      </c>
      <c r="AV120" s="25">
        <v>3.44</v>
      </c>
      <c r="AW120" s="25">
        <v>2.4900000000000002</v>
      </c>
      <c r="AX120" s="25">
        <v>2.539333333333333</v>
      </c>
      <c r="AY120">
        <v>2.539333333333333</v>
      </c>
      <c r="AZ120">
        <v>5.8209523980000002</v>
      </c>
      <c r="BD120">
        <v>4.0301730304025188E-2</v>
      </c>
      <c r="BH120">
        <v>8.0603460608050376E-2</v>
      </c>
      <c r="BI120">
        <v>4.0301730304025188E-2</v>
      </c>
      <c r="BJ120">
        <v>0</v>
      </c>
    </row>
    <row r="121" spans="1:62" x14ac:dyDescent="0.3">
      <c r="A121" s="2" t="s">
        <v>916</v>
      </c>
      <c r="B121" s="17" t="s">
        <v>918</v>
      </c>
      <c r="C121" s="13"/>
      <c r="F121" s="2">
        <v>3.157</v>
      </c>
      <c r="G121" s="2" t="s">
        <v>103</v>
      </c>
      <c r="H121" s="9">
        <v>-1</v>
      </c>
      <c r="I121">
        <v>-1</v>
      </c>
      <c r="J121" t="s">
        <v>1217</v>
      </c>
      <c r="K121" s="2">
        <v>4</v>
      </c>
      <c r="L121" s="25">
        <v>0</v>
      </c>
      <c r="M121">
        <v>0</v>
      </c>
      <c r="N121">
        <v>2</v>
      </c>
      <c r="O121" s="2">
        <v>12.449</v>
      </c>
      <c r="P121" s="2">
        <v>12.449</v>
      </c>
      <c r="Q121" s="5">
        <v>9.1999999999999993</v>
      </c>
      <c r="R121" s="2" t="s">
        <v>486</v>
      </c>
      <c r="T121" s="25">
        <v>0</v>
      </c>
      <c r="U121" s="25"/>
      <c r="V121" s="25"/>
      <c r="W121">
        <v>0</v>
      </c>
      <c r="X121"/>
      <c r="Y121"/>
      <c r="Z121">
        <v>0</v>
      </c>
      <c r="AA121"/>
      <c r="AB121"/>
      <c r="AC121" s="29">
        <v>3</v>
      </c>
      <c r="AD121">
        <v>28.67</v>
      </c>
      <c r="AE121" s="55">
        <f>O121*P121*Q121</f>
        <v>1425.7939291999999</v>
      </c>
      <c r="AF121" s="57">
        <v>0</v>
      </c>
      <c r="AG121" s="55">
        <v>0</v>
      </c>
      <c r="AH121" s="55">
        <v>603.79999999999995</v>
      </c>
      <c r="AI121" s="52">
        <f>K121*AD121/AE121</f>
        <v>8.0432380620631433E-2</v>
      </c>
      <c r="AJ121" s="51"/>
      <c r="AK121" s="52"/>
      <c r="AL121" s="67">
        <f>N121*AD121/AH121</f>
        <v>9.4965220271613124E-2</v>
      </c>
      <c r="AM121" s="28">
        <v>1.6718155361540179</v>
      </c>
      <c r="AN121" s="28">
        <v>2.567271099171704</v>
      </c>
      <c r="AO121" s="28">
        <v>0.89545556301768525</v>
      </c>
      <c r="AP121" s="28">
        <v>0</v>
      </c>
      <c r="AQ121" s="28">
        <v>0.32560167422392738</v>
      </c>
      <c r="AR121" s="28">
        <v>0.5</v>
      </c>
      <c r="AS121" s="28">
        <v>0.17439832577607259</v>
      </c>
      <c r="AT121" s="28">
        <v>0</v>
      </c>
      <c r="AU121" s="25">
        <v>0.82</v>
      </c>
      <c r="AV121" s="25">
        <v>3.44</v>
      </c>
      <c r="AW121" s="25">
        <v>2.62</v>
      </c>
      <c r="AX121" s="25">
        <v>2.680076113722857</v>
      </c>
      <c r="AY121">
        <v>2.6800761137228561</v>
      </c>
      <c r="AZ121">
        <v>6.0370190189344077</v>
      </c>
      <c r="BD121">
        <v>4.0216190310315723E-2</v>
      </c>
      <c r="BG121">
        <v>4.7482610135806562E-2</v>
      </c>
      <c r="BH121">
        <v>8.7698800446122271E-2</v>
      </c>
      <c r="BI121">
        <v>4.3849400223061143E-2</v>
      </c>
      <c r="BJ121">
        <v>0</v>
      </c>
    </row>
    <row r="122" spans="1:62" x14ac:dyDescent="0.3">
      <c r="A122" s="2" t="s">
        <v>917</v>
      </c>
      <c r="B122" s="17" t="s">
        <v>919</v>
      </c>
      <c r="C122" s="13"/>
      <c r="F122" s="2">
        <v>3.1880000000000002</v>
      </c>
      <c r="G122" s="2" t="s">
        <v>103</v>
      </c>
      <c r="H122" s="9">
        <v>-1</v>
      </c>
      <c r="I122">
        <v>-1</v>
      </c>
      <c r="J122"/>
      <c r="K122" s="2">
        <v>4</v>
      </c>
      <c r="L122" s="25">
        <v>0</v>
      </c>
      <c r="M122">
        <v>0</v>
      </c>
      <c r="N122">
        <v>0</v>
      </c>
      <c r="O122" s="2">
        <v>12.449</v>
      </c>
      <c r="P122" s="2">
        <v>12.449</v>
      </c>
      <c r="Q122" s="2">
        <v>8.11</v>
      </c>
      <c r="T122" s="25">
        <v>0</v>
      </c>
      <c r="U122" s="25"/>
      <c r="V122" s="25"/>
      <c r="W122">
        <v>0</v>
      </c>
      <c r="X122"/>
      <c r="Y122"/>
      <c r="Z122">
        <v>0</v>
      </c>
      <c r="AA122"/>
      <c r="AB122"/>
      <c r="AC122" s="2">
        <v>3</v>
      </c>
      <c r="AD122">
        <v>28.67</v>
      </c>
      <c r="AE122" s="55">
        <f t="shared" si="1"/>
        <v>1256.86834411</v>
      </c>
      <c r="AF122" s="57">
        <v>0</v>
      </c>
      <c r="AG122" s="55">
        <v>0</v>
      </c>
      <c r="AH122" s="55">
        <v>0</v>
      </c>
      <c r="AI122" s="52">
        <f>K122*AD122/AE122</f>
        <v>9.1242651258916035E-2</v>
      </c>
      <c r="AJ122" s="51"/>
      <c r="AK122" s="52"/>
      <c r="AL122" s="52"/>
      <c r="AM122" s="28">
        <v>1.6718155361540179</v>
      </c>
      <c r="AN122" s="28">
        <v>2.567271099171704</v>
      </c>
      <c r="AO122" s="28">
        <v>0.89545556301768525</v>
      </c>
      <c r="AP122" s="28">
        <v>0</v>
      </c>
      <c r="AQ122" s="28">
        <v>0.32560167422392738</v>
      </c>
      <c r="AR122" s="28">
        <v>0.5</v>
      </c>
      <c r="AS122" s="28">
        <v>0.17439832577607259</v>
      </c>
      <c r="AT122" s="28">
        <v>0</v>
      </c>
      <c r="AU122" s="25">
        <v>0.95</v>
      </c>
      <c r="AV122" s="25">
        <v>3.44</v>
      </c>
      <c r="AW122" s="25">
        <v>2.4900000000000002</v>
      </c>
      <c r="AX122" s="25">
        <v>2.8240385045892098</v>
      </c>
      <c r="AY122">
        <v>2.8240385045892089</v>
      </c>
      <c r="AZ122">
        <v>6.533110796268315</v>
      </c>
      <c r="BD122">
        <v>4.5621325629458018E-2</v>
      </c>
      <c r="BH122">
        <v>9.1242651258916035E-2</v>
      </c>
      <c r="BI122">
        <v>4.5621325629458018E-2</v>
      </c>
      <c r="BJ122">
        <v>0</v>
      </c>
    </row>
    <row r="123" spans="1:62" x14ac:dyDescent="0.3">
      <c r="A123" s="2" t="s">
        <v>917</v>
      </c>
      <c r="B123" s="17" t="s">
        <v>919</v>
      </c>
      <c r="C123" s="13"/>
      <c r="D123" s="2" t="s">
        <v>863</v>
      </c>
      <c r="E123" s="2">
        <v>1.1200000000000001</v>
      </c>
      <c r="F123" s="2">
        <v>3.2040000000000002</v>
      </c>
      <c r="G123" s="2" t="s">
        <v>103</v>
      </c>
      <c r="H123" s="9">
        <v>-1</v>
      </c>
      <c r="I123">
        <v>-1</v>
      </c>
      <c r="J123"/>
      <c r="K123" s="2">
        <v>4</v>
      </c>
      <c r="L123" s="25">
        <v>0</v>
      </c>
      <c r="M123">
        <v>0</v>
      </c>
      <c r="N123">
        <v>0</v>
      </c>
      <c r="O123" s="2">
        <v>12.449</v>
      </c>
      <c r="P123" s="2">
        <v>12.449</v>
      </c>
      <c r="Q123" s="2">
        <v>8.0399999999999991</v>
      </c>
      <c r="T123" s="25">
        <v>0</v>
      </c>
      <c r="U123" s="25"/>
      <c r="V123" s="25"/>
      <c r="W123">
        <v>0</v>
      </c>
      <c r="X123"/>
      <c r="Y123"/>
      <c r="Z123">
        <v>0</v>
      </c>
      <c r="AA123"/>
      <c r="AB123"/>
      <c r="AC123" s="2">
        <v>3</v>
      </c>
      <c r="AD123">
        <v>28.67</v>
      </c>
      <c r="AE123" s="55">
        <f t="shared" si="1"/>
        <v>1246.0199120399998</v>
      </c>
      <c r="AF123" s="57">
        <v>0</v>
      </c>
      <c r="AG123" s="55">
        <v>0</v>
      </c>
      <c r="AH123" s="55">
        <v>0</v>
      </c>
      <c r="AI123" s="52">
        <f>K123*AD123/AE123</f>
        <v>9.2037052451468801E-2</v>
      </c>
      <c r="AJ123" s="51"/>
      <c r="AK123" s="52"/>
      <c r="AL123" s="52"/>
      <c r="AM123" s="28">
        <v>1.6718155361540179</v>
      </c>
      <c r="AN123" s="28">
        <v>2.567271099171704</v>
      </c>
      <c r="AO123" s="28">
        <v>0.89545556301768525</v>
      </c>
      <c r="AP123" s="28">
        <v>0</v>
      </c>
      <c r="AQ123" s="28">
        <v>0.32560167422392738</v>
      </c>
      <c r="AR123" s="28">
        <v>0.5</v>
      </c>
      <c r="AS123" s="28">
        <v>0.17439832577607259</v>
      </c>
      <c r="AT123" s="28">
        <v>0</v>
      </c>
      <c r="AU123" s="25">
        <v>0.95</v>
      </c>
      <c r="AV123" s="25">
        <v>3.44</v>
      </c>
      <c r="AW123" s="25">
        <v>2.4900000000000002</v>
      </c>
      <c r="AX123" s="25">
        <v>2.8240385045892098</v>
      </c>
      <c r="AY123">
        <v>2.8240385045892089</v>
      </c>
      <c r="AZ123">
        <v>6.533110796268315</v>
      </c>
      <c r="BD123">
        <v>4.60185262257344E-2</v>
      </c>
      <c r="BH123">
        <v>9.2037052451468801E-2</v>
      </c>
      <c r="BI123">
        <v>4.60185262257344E-2</v>
      </c>
      <c r="BJ123">
        <v>0</v>
      </c>
    </row>
    <row r="124" spans="1:62" x14ac:dyDescent="0.3">
      <c r="A124" s="2" t="s">
        <v>104</v>
      </c>
      <c r="B124" s="13" t="s">
        <v>748</v>
      </c>
      <c r="C124" s="13"/>
      <c r="F124" s="2">
        <v>3</v>
      </c>
      <c r="G124" s="2" t="s">
        <v>111</v>
      </c>
      <c r="H124" s="9" t="s">
        <v>566</v>
      </c>
      <c r="I124" t="s">
        <v>644</v>
      </c>
      <c r="J124"/>
      <c r="L124" s="25">
        <v>4</v>
      </c>
      <c r="M124">
        <v>4</v>
      </c>
      <c r="N124">
        <v>0</v>
      </c>
      <c r="T124" s="25">
        <v>5.452661</v>
      </c>
      <c r="U124" s="25">
        <v>5.4531499999999999</v>
      </c>
      <c r="V124" s="25">
        <v>24.558717999999999</v>
      </c>
      <c r="W124">
        <v>5.44</v>
      </c>
      <c r="X124">
        <v>5.4130000000000003</v>
      </c>
      <c r="Y124">
        <v>23.74</v>
      </c>
      <c r="Z124">
        <v>0</v>
      </c>
      <c r="AA124"/>
      <c r="AB124"/>
      <c r="AD124">
        <v>18</v>
      </c>
      <c r="AE124" s="55">
        <f t="shared" si="1"/>
        <v>0</v>
      </c>
      <c r="AF124" s="57">
        <v>730.23330062098216</v>
      </c>
      <c r="AG124" s="55">
        <v>699.06513280000001</v>
      </c>
      <c r="AH124" s="55">
        <v>0</v>
      </c>
      <c r="AI124" s="52"/>
      <c r="AJ124" s="51">
        <v>9.8598625862134762E-2</v>
      </c>
      <c r="AK124" s="52">
        <v>0.1029946948027788</v>
      </c>
      <c r="AL124" s="52"/>
      <c r="AM124" s="28">
        <v>2</v>
      </c>
      <c r="AN124" s="28">
        <v>3.2307692307692308</v>
      </c>
      <c r="AO124" s="28">
        <v>2.1538461538461542</v>
      </c>
      <c r="AP124" s="28">
        <v>4.3076923076923066</v>
      </c>
      <c r="AQ124" s="28">
        <v>0.1710526315789474</v>
      </c>
      <c r="AR124" s="28">
        <v>0.27631578947368418</v>
      </c>
      <c r="AS124" s="28">
        <v>0.18421052631578949</v>
      </c>
      <c r="AT124" s="28">
        <v>0.36842105263157893</v>
      </c>
      <c r="AU124" s="25">
        <v>2.02</v>
      </c>
      <c r="AV124" s="25">
        <v>3.44</v>
      </c>
      <c r="AW124" s="25">
        <v>1.42</v>
      </c>
      <c r="AX124" s="25">
        <v>3.0553846153846149</v>
      </c>
      <c r="AY124">
        <v>3.0553846153846149</v>
      </c>
      <c r="AZ124">
        <v>6.5203382676923072</v>
      </c>
      <c r="BA124" s="75">
        <v>0.50518012153204694</v>
      </c>
      <c r="BB124" s="75">
        <v>0.52770382936549109</v>
      </c>
      <c r="BE124">
        <v>4.9299312931067381E-2</v>
      </c>
      <c r="BF124">
        <v>5.1497347401389379E-2</v>
      </c>
      <c r="BH124">
        <v>0.10079666033245679</v>
      </c>
      <c r="BI124">
        <v>5.0398330166228383E-2</v>
      </c>
      <c r="BJ124">
        <v>0.51644197544876902</v>
      </c>
    </row>
    <row r="125" spans="1:62" x14ac:dyDescent="0.3">
      <c r="A125" s="2" t="s">
        <v>69</v>
      </c>
      <c r="B125" s="13" t="s">
        <v>738</v>
      </c>
      <c r="C125" s="13"/>
      <c r="F125" s="2">
        <v>2.8</v>
      </c>
      <c r="G125" s="2" t="s">
        <v>111</v>
      </c>
      <c r="H125" s="9" t="s">
        <v>560</v>
      </c>
      <c r="I125" t="s">
        <v>638</v>
      </c>
      <c r="J125"/>
      <c r="L125" s="25">
        <v>2</v>
      </c>
      <c r="M125">
        <v>4</v>
      </c>
      <c r="N125">
        <v>0</v>
      </c>
      <c r="T125" s="25">
        <v>8.3195821399999996</v>
      </c>
      <c r="U125" s="25">
        <v>8.3195821399999996</v>
      </c>
      <c r="V125" s="25">
        <v>8.2425581700000006</v>
      </c>
      <c r="W125">
        <v>5.5339970000000003</v>
      </c>
      <c r="X125">
        <v>5.4998300000000002</v>
      </c>
      <c r="Y125">
        <v>16.550709999999999</v>
      </c>
      <c r="Z125">
        <v>0</v>
      </c>
      <c r="AA125"/>
      <c r="AB125"/>
      <c r="AC125" s="29">
        <v>1</v>
      </c>
      <c r="AD125">
        <v>12</v>
      </c>
      <c r="AE125" s="55">
        <f t="shared" si="1"/>
        <v>0</v>
      </c>
      <c r="AF125" s="57">
        <v>248.80917443900231</v>
      </c>
      <c r="AG125" s="55">
        <v>503.73811661477208</v>
      </c>
      <c r="AH125" s="55">
        <v>0</v>
      </c>
      <c r="AI125" s="52"/>
      <c r="AJ125" s="51">
        <v>9.6459465588893734E-2</v>
      </c>
      <c r="AK125" s="52">
        <v>9.5287607621536111E-2</v>
      </c>
      <c r="AL125" s="52"/>
      <c r="AM125" s="28">
        <v>2</v>
      </c>
      <c r="AN125" s="28">
        <v>3.333333333333333</v>
      </c>
      <c r="AO125" s="28">
        <v>2.666666666666667</v>
      </c>
      <c r="AP125" s="28">
        <v>4.666666666666667</v>
      </c>
      <c r="AQ125" s="28">
        <v>0.15789473684210531</v>
      </c>
      <c r="AR125" s="28">
        <v>0.26315789473684209</v>
      </c>
      <c r="AS125" s="28">
        <v>0.2105263157894737</v>
      </c>
      <c r="AT125" s="28">
        <v>0.36842105263157898</v>
      </c>
      <c r="AU125" s="25">
        <v>2.02</v>
      </c>
      <c r="AV125" s="25">
        <v>3.44</v>
      </c>
      <c r="AW125" s="25">
        <v>1.42</v>
      </c>
      <c r="AX125" s="25">
        <v>3.0044444444444438</v>
      </c>
      <c r="AY125">
        <v>3.0044444444444438</v>
      </c>
      <c r="AZ125">
        <v>6.4228342255555546</v>
      </c>
      <c r="BA125" s="75">
        <v>0.52562348257484404</v>
      </c>
      <c r="BB125" s="75">
        <v>0.51923783589802341</v>
      </c>
      <c r="BE125">
        <v>4.8229732794446867E-2</v>
      </c>
      <c r="BF125">
        <v>4.7643803810768062E-2</v>
      </c>
      <c r="BH125">
        <v>9.5873536605214915E-2</v>
      </c>
      <c r="BI125">
        <v>4.7936768302607458E-2</v>
      </c>
      <c r="BJ125">
        <v>0.52243065923643373</v>
      </c>
    </row>
    <row r="126" spans="1:62" x14ac:dyDescent="0.3">
      <c r="A126" s="2" t="s">
        <v>105</v>
      </c>
      <c r="B126" s="13" t="s">
        <v>749</v>
      </c>
      <c r="C126" s="13"/>
      <c r="F126" s="2">
        <v>2.8</v>
      </c>
      <c r="G126" s="2" t="s">
        <v>111</v>
      </c>
      <c r="H126" s="9">
        <v>-1</v>
      </c>
      <c r="I126">
        <v>-1</v>
      </c>
      <c r="J126" t="s">
        <v>1163</v>
      </c>
      <c r="L126" s="25">
        <v>0</v>
      </c>
      <c r="M126">
        <v>0</v>
      </c>
      <c r="N126" s="5">
        <v>2.5</v>
      </c>
      <c r="T126" s="25">
        <v>0</v>
      </c>
      <c r="U126" s="25"/>
      <c r="V126" s="25"/>
      <c r="W126">
        <v>0</v>
      </c>
      <c r="X126"/>
      <c r="Y126"/>
      <c r="Z126">
        <v>12.495799999999999</v>
      </c>
      <c r="AA126">
        <v>12.495799999999999</v>
      </c>
      <c r="AB126">
        <v>11.2464</v>
      </c>
      <c r="AD126">
        <v>54</v>
      </c>
      <c r="AE126" s="55">
        <f t="shared" si="1"/>
        <v>0</v>
      </c>
      <c r="AF126" s="57">
        <v>0</v>
      </c>
      <c r="AG126" s="55">
        <v>0</v>
      </c>
      <c r="AH126" s="55">
        <v>1756.1</v>
      </c>
      <c r="AI126" s="52"/>
      <c r="AJ126" s="51"/>
      <c r="AK126" s="52"/>
      <c r="AL126" s="67">
        <f>N126*AD126/AH126</f>
        <v>7.6874893229314969E-2</v>
      </c>
      <c r="AM126" s="28">
        <v>2</v>
      </c>
      <c r="AN126" s="28">
        <v>3.4883720930232558</v>
      </c>
      <c r="AO126" s="28">
        <v>3.441860465116279</v>
      </c>
      <c r="AP126" s="28">
        <v>5.2093023255813957</v>
      </c>
      <c r="AQ126" s="28">
        <v>0.1414473684210526</v>
      </c>
      <c r="AR126" s="28">
        <v>0.24671052631578949</v>
      </c>
      <c r="AS126" s="28">
        <v>0.2434210526315789</v>
      </c>
      <c r="AT126" s="28">
        <v>0.36842105263157898</v>
      </c>
      <c r="AU126" s="25">
        <v>2.02</v>
      </c>
      <c r="AV126" s="25">
        <v>3.44</v>
      </c>
      <c r="AW126" s="25">
        <v>1.42</v>
      </c>
      <c r="AX126" s="25">
        <v>2.927441860465116</v>
      </c>
      <c r="AY126">
        <v>2.9274418604651169</v>
      </c>
      <c r="AZ126">
        <v>6.2754443944186056</v>
      </c>
      <c r="BC126" s="75">
        <v>0</v>
      </c>
      <c r="BG126">
        <v>3.8437446614657478E-2</v>
      </c>
      <c r="BH126">
        <v>7.6874893229314969E-2</v>
      </c>
      <c r="BI126">
        <v>3.8437446614657478E-2</v>
      </c>
      <c r="BJ126">
        <v>0</v>
      </c>
    </row>
    <row r="127" spans="1:62" x14ac:dyDescent="0.3">
      <c r="A127" s="2" t="s">
        <v>106</v>
      </c>
      <c r="B127" s="13" t="s">
        <v>750</v>
      </c>
      <c r="C127" s="13"/>
      <c r="F127" s="2">
        <v>2.9</v>
      </c>
      <c r="G127" s="2" t="s">
        <v>111</v>
      </c>
      <c r="H127" s="9" t="s">
        <v>567</v>
      </c>
      <c r="I127" t="s">
        <v>645</v>
      </c>
      <c r="J127"/>
      <c r="L127" s="25">
        <v>2</v>
      </c>
      <c r="M127">
        <v>1</v>
      </c>
      <c r="N127">
        <v>0</v>
      </c>
      <c r="T127" s="25">
        <v>7.3631707899999999</v>
      </c>
      <c r="U127" s="25">
        <v>7.363170789999999</v>
      </c>
      <c r="V127" s="25">
        <v>7.3631707899999999</v>
      </c>
      <c r="W127">
        <v>10.359069999999999</v>
      </c>
      <c r="X127">
        <v>10.359069999999999</v>
      </c>
      <c r="Y127">
        <v>10.359069999999999</v>
      </c>
      <c r="Z127">
        <v>0</v>
      </c>
      <c r="AA127"/>
      <c r="AB127"/>
      <c r="AD127">
        <v>14</v>
      </c>
      <c r="AE127" s="55">
        <f t="shared" si="1"/>
        <v>0</v>
      </c>
      <c r="AF127" s="57">
        <v>282.27968527629582</v>
      </c>
      <c r="AG127" s="55">
        <v>1111.635233296287</v>
      </c>
      <c r="AH127" s="55">
        <v>0</v>
      </c>
      <c r="AI127" s="52"/>
      <c r="AJ127" s="51">
        <v>9.9192401934958777E-2</v>
      </c>
      <c r="AK127" s="52">
        <v>1.2594059256727909E-2</v>
      </c>
      <c r="AL127" s="52"/>
      <c r="AM127" s="28">
        <v>2</v>
      </c>
      <c r="AN127" s="28">
        <v>3.0909090909090908</v>
      </c>
      <c r="AO127" s="28">
        <v>2.1818181818181821</v>
      </c>
      <c r="AP127" s="28">
        <v>2.545454545454545</v>
      </c>
      <c r="AQ127" s="28">
        <v>0.20370370370370369</v>
      </c>
      <c r="AR127" s="28">
        <v>0.31481481481481483</v>
      </c>
      <c r="AS127" s="28">
        <v>0.22222222222222221</v>
      </c>
      <c r="AT127" s="28">
        <v>0.25925925925925919</v>
      </c>
      <c r="AU127" s="25">
        <v>1.54</v>
      </c>
      <c r="AV127" s="25">
        <v>3.44</v>
      </c>
      <c r="AW127" s="25">
        <v>1.9</v>
      </c>
      <c r="AX127" s="25">
        <v>2.836363636363636</v>
      </c>
      <c r="AY127">
        <v>2.836363636363636</v>
      </c>
      <c r="AZ127">
        <v>6.1735094709090914</v>
      </c>
      <c r="BA127" s="75">
        <v>0.53518414174009155</v>
      </c>
      <c r="BE127">
        <v>4.9596200967479388E-2</v>
      </c>
      <c r="BF127">
        <v>6.2970296283639581E-3</v>
      </c>
      <c r="BH127">
        <v>5.5893230595843342E-2</v>
      </c>
      <c r="BI127">
        <v>2.7946615297921671E-2</v>
      </c>
      <c r="BJ127">
        <v>0.53518414174009155</v>
      </c>
    </row>
    <row r="128" spans="1:62" x14ac:dyDescent="0.3">
      <c r="A128" s="2" t="s">
        <v>107</v>
      </c>
      <c r="B128" s="13" t="s">
        <v>727</v>
      </c>
      <c r="C128" s="13"/>
      <c r="F128" s="2">
        <v>3.1</v>
      </c>
      <c r="G128" s="2" t="s">
        <v>111</v>
      </c>
      <c r="H128" s="9" t="s">
        <v>555</v>
      </c>
      <c r="I128" t="s">
        <v>632</v>
      </c>
      <c r="J128"/>
      <c r="L128" s="25">
        <v>1</v>
      </c>
      <c r="M128">
        <v>4</v>
      </c>
      <c r="N128">
        <v>0</v>
      </c>
      <c r="T128" s="25">
        <v>3.86469438</v>
      </c>
      <c r="U128" s="25">
        <v>3.86469438</v>
      </c>
      <c r="V128" s="25">
        <v>16.978874730000001</v>
      </c>
      <c r="W128">
        <v>32.83</v>
      </c>
      <c r="X128">
        <v>5.4109999999999996</v>
      </c>
      <c r="Y128">
        <v>5.4480000000000004</v>
      </c>
      <c r="Z128">
        <v>0</v>
      </c>
      <c r="AA128"/>
      <c r="AB128"/>
      <c r="AD128">
        <v>24</v>
      </c>
      <c r="AE128" s="55">
        <f t="shared" si="1"/>
        <v>0</v>
      </c>
      <c r="AF128" s="57">
        <v>251.01098912285789</v>
      </c>
      <c r="AG128" s="55">
        <v>967.79977224000004</v>
      </c>
      <c r="AH128" s="55">
        <v>0</v>
      </c>
      <c r="AI128" s="52"/>
      <c r="AJ128" s="51">
        <v>9.5613343797681868E-2</v>
      </c>
      <c r="AK128" s="52">
        <v>9.919407170122109E-2</v>
      </c>
      <c r="AL128" s="52"/>
      <c r="AM128" s="28">
        <v>2</v>
      </c>
      <c r="AN128" s="28">
        <v>3.1578947368421049</v>
      </c>
      <c r="AO128" s="28">
        <v>2.4210526315789469</v>
      </c>
      <c r="AP128" s="28">
        <v>2.947368421052631</v>
      </c>
      <c r="AQ128" s="28">
        <v>0.19</v>
      </c>
      <c r="AR128" s="28">
        <v>0.3</v>
      </c>
      <c r="AS128" s="28">
        <v>0.23</v>
      </c>
      <c r="AT128" s="28">
        <v>0.28000000000000003</v>
      </c>
      <c r="AU128" s="25">
        <v>1.54</v>
      </c>
      <c r="AV128" s="25">
        <v>3.44</v>
      </c>
      <c r="AW128" s="25">
        <v>1.9</v>
      </c>
      <c r="AX128" s="25">
        <v>2.8410526315789468</v>
      </c>
      <c r="AY128">
        <v>2.8410526315789468</v>
      </c>
      <c r="AZ128">
        <v>6.1729587136842099</v>
      </c>
      <c r="BA128" s="75">
        <v>0.52818907539878324</v>
      </c>
      <c r="BB128" s="75">
        <v>0.54796980145127927</v>
      </c>
      <c r="BE128">
        <v>4.7806671898840941E-2</v>
      </c>
      <c r="BF128">
        <v>4.9597035850610538E-2</v>
      </c>
      <c r="BH128">
        <v>9.7403707749451479E-2</v>
      </c>
      <c r="BI128">
        <v>4.870185387472574E-2</v>
      </c>
      <c r="BJ128">
        <v>0.53807943842503125</v>
      </c>
    </row>
    <row r="129" spans="1:62" x14ac:dyDescent="0.3">
      <c r="A129" s="2" t="s">
        <v>108</v>
      </c>
      <c r="B129" s="13" t="s">
        <v>751</v>
      </c>
      <c r="C129" s="13"/>
      <c r="F129" s="2">
        <v>3.1</v>
      </c>
      <c r="G129" s="2" t="s">
        <v>111</v>
      </c>
      <c r="H129" s="9" t="s">
        <v>568</v>
      </c>
      <c r="I129" t="s">
        <v>646</v>
      </c>
      <c r="J129"/>
      <c r="L129" s="25">
        <v>1</v>
      </c>
      <c r="M129">
        <v>4</v>
      </c>
      <c r="N129">
        <v>0</v>
      </c>
      <c r="T129" s="25">
        <v>12.951407789999999</v>
      </c>
      <c r="U129" s="25">
        <v>12.951407789999999</v>
      </c>
      <c r="V129" s="25">
        <v>12.951407789999999</v>
      </c>
      <c r="W129">
        <v>5.431</v>
      </c>
      <c r="X129">
        <v>5.3890000000000002</v>
      </c>
      <c r="Y129">
        <v>25.049990000000001</v>
      </c>
      <c r="Z129">
        <v>0</v>
      </c>
      <c r="AA129"/>
      <c r="AB129"/>
      <c r="AD129">
        <v>18</v>
      </c>
      <c r="AE129" s="55">
        <f t="shared" si="1"/>
        <v>0</v>
      </c>
      <c r="AF129" s="57">
        <v>189.23096942123021</v>
      </c>
      <c r="AG129" s="55">
        <v>733.15456527341007</v>
      </c>
      <c r="AH129" s="55">
        <v>0</v>
      </c>
      <c r="AI129" s="52"/>
      <c r="AJ129" s="51">
        <v>9.5121850588482687E-2</v>
      </c>
      <c r="AK129" s="52">
        <v>9.820575825392229E-2</v>
      </c>
      <c r="AL129" s="52"/>
      <c r="AM129" s="28">
        <v>1.928571428571429</v>
      </c>
      <c r="AN129" s="28">
        <v>3.214285714285714</v>
      </c>
      <c r="AO129" s="28">
        <v>2.5714285714285721</v>
      </c>
      <c r="AP129" s="28">
        <v>3</v>
      </c>
      <c r="AQ129" s="28">
        <v>0.18</v>
      </c>
      <c r="AR129" s="28">
        <v>0.3</v>
      </c>
      <c r="AS129" s="28">
        <v>0.24</v>
      </c>
      <c r="AT129" s="28">
        <v>0.28000000000000003</v>
      </c>
      <c r="AU129" s="25">
        <v>1.54</v>
      </c>
      <c r="AV129" s="25">
        <v>3.44</v>
      </c>
      <c r="AW129" s="25">
        <v>1.9</v>
      </c>
      <c r="AX129" s="25">
        <v>2.8685714285714292</v>
      </c>
      <c r="AY129">
        <v>2.8685714285714292</v>
      </c>
      <c r="AZ129">
        <v>6.249142824642858</v>
      </c>
      <c r="BA129" s="75">
        <v>0.5245372795477049</v>
      </c>
      <c r="BB129" s="75">
        <v>0</v>
      </c>
      <c r="BE129">
        <v>4.756092529424135E-2</v>
      </c>
      <c r="BF129">
        <v>4.9102879126961152E-2</v>
      </c>
      <c r="BH129">
        <v>9.6663804421202482E-2</v>
      </c>
      <c r="BI129">
        <v>4.8331902210601248E-2</v>
      </c>
      <c r="BJ129">
        <v>0.26226863977385251</v>
      </c>
    </row>
    <row r="130" spans="1:62" x14ac:dyDescent="0.3">
      <c r="A130" s="2" t="s">
        <v>109</v>
      </c>
      <c r="B130" s="13" t="s">
        <v>752</v>
      </c>
      <c r="C130" s="13"/>
      <c r="F130" s="2">
        <v>3</v>
      </c>
      <c r="G130" s="2" t="s">
        <v>111</v>
      </c>
      <c r="H130" s="9" t="s">
        <v>569</v>
      </c>
      <c r="I130" t="s">
        <v>647</v>
      </c>
      <c r="J130"/>
      <c r="L130" s="25">
        <v>16</v>
      </c>
      <c r="M130">
        <v>16</v>
      </c>
      <c r="N130">
        <v>0</v>
      </c>
      <c r="T130" s="25">
        <v>22.855297</v>
      </c>
      <c r="U130" s="25">
        <v>5.6559619999999997</v>
      </c>
      <c r="V130" s="25">
        <v>17.48922452</v>
      </c>
      <c r="W130">
        <v>17.24399</v>
      </c>
      <c r="X130">
        <v>22.428989999999999</v>
      </c>
      <c r="Y130">
        <v>5.5860000000000003</v>
      </c>
      <c r="Z130">
        <v>0</v>
      </c>
      <c r="AA130"/>
      <c r="AB130"/>
      <c r="AD130">
        <v>12</v>
      </c>
      <c r="AE130" s="55">
        <f t="shared" si="1"/>
        <v>0</v>
      </c>
      <c r="AF130" s="57">
        <v>2260.7115007974689</v>
      </c>
      <c r="AG130" s="55">
        <v>2160.393128160722</v>
      </c>
      <c r="AH130" s="55">
        <v>0</v>
      </c>
      <c r="AI130" s="52"/>
      <c r="AJ130" s="51">
        <v>8.4929014574514128E-2</v>
      </c>
      <c r="AK130" s="52">
        <v>8.8872713719220939E-2</v>
      </c>
      <c r="AL130" s="52"/>
      <c r="AM130" s="28">
        <v>1.8888888888888891</v>
      </c>
      <c r="AN130" s="28">
        <v>3.333333333333333</v>
      </c>
      <c r="AO130" s="28">
        <v>2.7777777777777781</v>
      </c>
      <c r="AP130" s="28">
        <v>3.1111111111111112</v>
      </c>
      <c r="AQ130" s="28">
        <v>0.17</v>
      </c>
      <c r="AR130" s="28">
        <v>0.3</v>
      </c>
      <c r="AS130" s="28">
        <v>0.25</v>
      </c>
      <c r="AT130" s="28">
        <v>0.28000000000000003</v>
      </c>
      <c r="AU130" s="25">
        <v>2.02</v>
      </c>
      <c r="AV130" s="25">
        <v>3.44</v>
      </c>
      <c r="AW130" s="25">
        <v>1.42</v>
      </c>
      <c r="AX130" s="25">
        <v>2.9822222222222221</v>
      </c>
      <c r="AY130">
        <v>2.9822222222222221</v>
      </c>
      <c r="AZ130">
        <v>6.3761376700000003</v>
      </c>
      <c r="BA130" s="75">
        <v>0.46231169000880379</v>
      </c>
      <c r="BB130" s="75">
        <v>0.48377924412573098</v>
      </c>
      <c r="BE130">
        <v>4.2464507287257078E-2</v>
      </c>
      <c r="BF130">
        <v>4.4436356859610462E-2</v>
      </c>
      <c r="BH130">
        <v>8.690086414686754E-2</v>
      </c>
      <c r="BI130">
        <v>4.345043207343377E-2</v>
      </c>
      <c r="BJ130">
        <v>0.47304546706726741</v>
      </c>
    </row>
    <row r="131" spans="1:62" x14ac:dyDescent="0.3">
      <c r="A131" s="2" t="s">
        <v>110</v>
      </c>
      <c r="B131" s="13" t="s">
        <v>753</v>
      </c>
      <c r="C131" s="13"/>
      <c r="F131" s="2">
        <v>3.3</v>
      </c>
      <c r="G131" s="2" t="s">
        <v>111</v>
      </c>
      <c r="H131" s="9" t="s">
        <v>570</v>
      </c>
      <c r="I131" t="s">
        <v>648</v>
      </c>
      <c r="J131"/>
      <c r="L131" s="25">
        <v>1</v>
      </c>
      <c r="M131">
        <v>1</v>
      </c>
      <c r="N131">
        <v>0</v>
      </c>
      <c r="T131" s="25">
        <v>20.551678089999999</v>
      </c>
      <c r="U131" s="25">
        <v>20.551678089999999</v>
      </c>
      <c r="V131" s="25">
        <v>20.551678089999999</v>
      </c>
      <c r="W131">
        <v>41.856999999999999</v>
      </c>
      <c r="X131">
        <v>5.4550999999999998</v>
      </c>
      <c r="Y131">
        <v>5.468</v>
      </c>
      <c r="Z131">
        <v>0</v>
      </c>
      <c r="AA131"/>
      <c r="AB131"/>
      <c r="AD131">
        <v>30</v>
      </c>
      <c r="AE131" s="55">
        <f t="shared" ref="AE131:AE194" si="5">O131*P131*Q131</f>
        <v>0</v>
      </c>
      <c r="AF131" s="57">
        <v>309.59189648929049</v>
      </c>
      <c r="AG131" s="55">
        <v>1248.5309719876</v>
      </c>
      <c r="AH131" s="55">
        <v>0</v>
      </c>
      <c r="AI131" s="52"/>
      <c r="AJ131" s="51">
        <v>9.6901761125513727E-2</v>
      </c>
      <c r="AK131" s="52">
        <v>2.4028238524384762E-2</v>
      </c>
      <c r="AL131" s="52"/>
      <c r="AM131" s="28">
        <v>2</v>
      </c>
      <c r="AN131" s="28">
        <v>3</v>
      </c>
      <c r="AO131" s="28">
        <v>2</v>
      </c>
      <c r="AP131" s="28">
        <v>2.333333333333333</v>
      </c>
      <c r="AQ131" s="28">
        <v>0.2142857142857143</v>
      </c>
      <c r="AR131" s="28">
        <v>0.3214285714285714</v>
      </c>
      <c r="AS131" s="28">
        <v>0.2142857142857143</v>
      </c>
      <c r="AT131" s="28">
        <v>0.25</v>
      </c>
      <c r="AU131" s="25">
        <v>0.89</v>
      </c>
      <c r="AV131" s="25">
        <v>3.44</v>
      </c>
      <c r="AW131" s="25">
        <v>2.5499999999999998</v>
      </c>
      <c r="AX131" s="25">
        <v>2.780416666666667</v>
      </c>
      <c r="AY131">
        <v>2.780416666666667</v>
      </c>
      <c r="AZ131">
        <v>6.0847889087500002</v>
      </c>
      <c r="BA131" s="75">
        <v>0.55979201272496915</v>
      </c>
      <c r="BE131">
        <v>4.8450880562756857E-2</v>
      </c>
      <c r="BF131">
        <v>1.2014119262192381E-2</v>
      </c>
      <c r="BH131">
        <v>6.0464999824949253E-2</v>
      </c>
      <c r="BI131">
        <v>3.023249991247462E-2</v>
      </c>
      <c r="BJ131">
        <v>0.55979201272496915</v>
      </c>
    </row>
    <row r="132" spans="1:62" x14ac:dyDescent="0.3">
      <c r="A132" s="2" t="s">
        <v>109</v>
      </c>
      <c r="B132" s="13" t="s">
        <v>752</v>
      </c>
      <c r="C132" s="13"/>
      <c r="F132" s="2">
        <v>2.64</v>
      </c>
      <c r="G132" s="2" t="s">
        <v>114</v>
      </c>
      <c r="H132" s="9" t="s">
        <v>569</v>
      </c>
      <c r="I132" t="s">
        <v>647</v>
      </c>
      <c r="J132"/>
      <c r="L132" s="25">
        <v>16</v>
      </c>
      <c r="M132">
        <v>16</v>
      </c>
      <c r="N132">
        <v>0</v>
      </c>
      <c r="T132" s="25">
        <v>22.855297</v>
      </c>
      <c r="U132" s="25">
        <v>5.6559619999999997</v>
      </c>
      <c r="V132" s="25">
        <v>17.48922452</v>
      </c>
      <c r="W132">
        <v>17.24399</v>
      </c>
      <c r="X132">
        <v>22.428989999999999</v>
      </c>
      <c r="Y132">
        <v>5.5860000000000003</v>
      </c>
      <c r="Z132">
        <v>0</v>
      </c>
      <c r="AA132"/>
      <c r="AB132"/>
      <c r="AD132">
        <v>12</v>
      </c>
      <c r="AE132" s="55">
        <f t="shared" si="5"/>
        <v>0</v>
      </c>
      <c r="AF132" s="57">
        <v>2260.7115007974689</v>
      </c>
      <c r="AG132" s="55">
        <v>2160.393128160722</v>
      </c>
      <c r="AH132" s="55">
        <v>0</v>
      </c>
      <c r="AI132" s="52"/>
      <c r="AJ132" s="51">
        <v>8.4929014574514128E-2</v>
      </c>
      <c r="AK132" s="52">
        <v>8.8872713719220939E-2</v>
      </c>
      <c r="AL132" s="52"/>
      <c r="AM132" s="28">
        <v>1.8888888888888891</v>
      </c>
      <c r="AN132" s="28">
        <v>3.333333333333333</v>
      </c>
      <c r="AO132" s="28">
        <v>2.7777777777777781</v>
      </c>
      <c r="AP132" s="28">
        <v>3.1111111111111112</v>
      </c>
      <c r="AQ132" s="28">
        <v>0.17</v>
      </c>
      <c r="AR132" s="28">
        <v>0.3</v>
      </c>
      <c r="AS132" s="28">
        <v>0.25</v>
      </c>
      <c r="AT132" s="28">
        <v>0.28000000000000003</v>
      </c>
      <c r="AU132" s="25">
        <v>2.02</v>
      </c>
      <c r="AV132" s="25">
        <v>3.44</v>
      </c>
      <c r="AW132" s="25">
        <v>1.42</v>
      </c>
      <c r="AX132" s="25">
        <v>2.9822222222222221</v>
      </c>
      <c r="AY132">
        <v>2.9822222222222221</v>
      </c>
      <c r="AZ132">
        <v>6.3761376700000003</v>
      </c>
      <c r="BA132" s="75">
        <v>0.46231169000880379</v>
      </c>
      <c r="BB132" s="75">
        <v>0.48377924412573098</v>
      </c>
      <c r="BE132">
        <v>4.2464507287257078E-2</v>
      </c>
      <c r="BF132">
        <v>4.4436356859610462E-2</v>
      </c>
      <c r="BH132">
        <v>8.690086414686754E-2</v>
      </c>
      <c r="BI132">
        <v>4.345043207343377E-2</v>
      </c>
      <c r="BJ132">
        <v>0.47304546706726741</v>
      </c>
    </row>
    <row r="133" spans="1:62" x14ac:dyDescent="0.3">
      <c r="A133" s="2" t="s">
        <v>25</v>
      </c>
      <c r="B133" s="13" t="s">
        <v>708</v>
      </c>
      <c r="C133" s="13"/>
      <c r="F133" s="2">
        <v>2.88</v>
      </c>
      <c r="G133" s="2" t="s">
        <v>115</v>
      </c>
      <c r="H133" s="9" t="s">
        <v>541</v>
      </c>
      <c r="I133" t="s">
        <v>621</v>
      </c>
      <c r="J133"/>
      <c r="L133" s="25">
        <v>1</v>
      </c>
      <c r="M133">
        <v>4</v>
      </c>
      <c r="N133">
        <v>0</v>
      </c>
      <c r="O133" s="2">
        <v>5.4960000000000004</v>
      </c>
      <c r="P133" s="2">
        <v>5.4960000000000004</v>
      </c>
      <c r="Q133" s="2">
        <v>25.55</v>
      </c>
      <c r="R133" s="2" t="s">
        <v>450</v>
      </c>
      <c r="T133" s="25">
        <v>12.868820120000001</v>
      </c>
      <c r="U133" s="25">
        <v>12.868820120000001</v>
      </c>
      <c r="V133" s="25">
        <v>12.868820120000001</v>
      </c>
      <c r="W133">
        <v>5.5453000000000001</v>
      </c>
      <c r="X133">
        <v>5.5453000000000001</v>
      </c>
      <c r="Y133">
        <v>25.686699999999998</v>
      </c>
      <c r="Z133">
        <v>0</v>
      </c>
      <c r="AA133"/>
      <c r="AB133"/>
      <c r="AD133">
        <v>18</v>
      </c>
      <c r="AE133" s="55">
        <f t="shared" si="5"/>
        <v>771.76370880000013</v>
      </c>
      <c r="AF133" s="57">
        <v>197.4403766939285</v>
      </c>
      <c r="AG133" s="55">
        <v>789.87506903020289</v>
      </c>
      <c r="AH133" s="55">
        <v>0</v>
      </c>
      <c r="AI133" s="52"/>
      <c r="AJ133" s="51">
        <v>9.1166762854710051E-2</v>
      </c>
      <c r="AK133" s="52">
        <v>9.1153655588092616E-2</v>
      </c>
      <c r="AL133" s="52"/>
      <c r="AM133" s="28">
        <v>1.857142857142857</v>
      </c>
      <c r="AN133" s="28">
        <v>3.1428571428571428</v>
      </c>
      <c r="AO133" s="28">
        <v>2.714285714285714</v>
      </c>
      <c r="AP133" s="28">
        <v>3</v>
      </c>
      <c r="AQ133" s="28">
        <v>0.17333333333333331</v>
      </c>
      <c r="AR133" s="28">
        <v>0.29333333333333328</v>
      </c>
      <c r="AS133" s="28">
        <v>0.25333333333333341</v>
      </c>
      <c r="AT133" s="28">
        <v>0.28000000000000003</v>
      </c>
      <c r="AU133" s="25">
        <v>1.6</v>
      </c>
      <c r="AV133" s="25">
        <v>3.44</v>
      </c>
      <c r="AW133" s="25">
        <v>1.84</v>
      </c>
      <c r="AX133" s="25">
        <v>2.895</v>
      </c>
      <c r="AY133">
        <v>2.895</v>
      </c>
      <c r="AZ133">
        <v>6.260504073571429</v>
      </c>
      <c r="BA133" s="75">
        <v>0.51995616258071919</v>
      </c>
      <c r="BB133" s="75">
        <v>0.51988140722208986</v>
      </c>
      <c r="BE133">
        <v>4.5583381427355033E-2</v>
      </c>
      <c r="BF133">
        <v>4.5576827794046308E-2</v>
      </c>
      <c r="BH133">
        <v>9.1160209221401334E-2</v>
      </c>
      <c r="BI133">
        <v>4.5580104610700667E-2</v>
      </c>
      <c r="BJ133">
        <v>0.51991878490140453</v>
      </c>
    </row>
    <row r="134" spans="1:62" x14ac:dyDescent="0.3">
      <c r="A134" s="2" t="s">
        <v>8</v>
      </c>
      <c r="B134" s="13" t="s">
        <v>694</v>
      </c>
      <c r="C134" s="13"/>
      <c r="D134" s="2" t="s">
        <v>676</v>
      </c>
      <c r="E134" s="2" t="s">
        <v>1067</v>
      </c>
      <c r="F134" s="2">
        <v>2.73</v>
      </c>
      <c r="G134" s="2" t="s">
        <v>115</v>
      </c>
      <c r="H134" s="9" t="s">
        <v>530</v>
      </c>
      <c r="I134" t="s">
        <v>612</v>
      </c>
      <c r="J134"/>
      <c r="L134" s="25">
        <v>30</v>
      </c>
      <c r="M134">
        <v>4</v>
      </c>
      <c r="N134">
        <v>0</v>
      </c>
      <c r="Q134"/>
      <c r="T134" s="25">
        <v>10.59112378</v>
      </c>
      <c r="U134" s="25">
        <v>10.784736629999999</v>
      </c>
      <c r="V134" s="25">
        <v>10.486176179999999</v>
      </c>
      <c r="W134">
        <v>3.73</v>
      </c>
      <c r="X134">
        <v>3.73</v>
      </c>
      <c r="Y134">
        <v>9.3699999999999992</v>
      </c>
      <c r="Z134">
        <v>0</v>
      </c>
      <c r="AA134"/>
      <c r="AB134"/>
      <c r="AD134">
        <v>4</v>
      </c>
      <c r="AE134" s="55">
        <f t="shared" si="5"/>
        <v>0</v>
      </c>
      <c r="AF134" s="57">
        <v>1182.741260108548</v>
      </c>
      <c r="AG134" s="55">
        <v>130.36387300000001</v>
      </c>
      <c r="AH134" s="55">
        <v>0</v>
      </c>
      <c r="AI134" s="52"/>
      <c r="AJ134" s="51">
        <v>0.1014592151701775</v>
      </c>
      <c r="AK134" s="52">
        <v>0.1227333894874388</v>
      </c>
      <c r="AL134" s="52"/>
      <c r="AM134" s="28">
        <v>2</v>
      </c>
      <c r="AN134" s="28">
        <v>2.666666666666667</v>
      </c>
      <c r="AO134" s="28">
        <v>0.66666666666666663</v>
      </c>
      <c r="AP134" s="28">
        <v>0</v>
      </c>
      <c r="AQ134" s="28">
        <v>0.375</v>
      </c>
      <c r="AR134" s="28">
        <v>0.5</v>
      </c>
      <c r="AS134" s="28">
        <v>0.125</v>
      </c>
      <c r="AT134" s="28">
        <v>0</v>
      </c>
      <c r="AU134" s="25">
        <v>1.54</v>
      </c>
      <c r="AV134" s="25">
        <v>3.44</v>
      </c>
      <c r="AW134" s="25">
        <v>1.9</v>
      </c>
      <c r="AX134" s="25">
        <v>2.8066666666666671</v>
      </c>
      <c r="AY134">
        <v>2.8066666666666662</v>
      </c>
      <c r="AZ134">
        <v>6.1769976</v>
      </c>
      <c r="BA134" s="75">
        <v>0.46900407026869628</v>
      </c>
      <c r="BB134" s="75">
        <v>0.56734579634715776</v>
      </c>
      <c r="BE134">
        <v>5.072960758508873E-2</v>
      </c>
      <c r="BF134">
        <v>6.136669474371937E-2</v>
      </c>
      <c r="BH134">
        <v>0.1120963023288082</v>
      </c>
      <c r="BI134">
        <v>5.604815116440405E-2</v>
      </c>
      <c r="BJ134">
        <v>0.51817493330792708</v>
      </c>
    </row>
    <row r="135" spans="1:62" x14ac:dyDescent="0.3">
      <c r="A135" s="2" t="s">
        <v>19</v>
      </c>
      <c r="B135" s="13" t="s">
        <v>705</v>
      </c>
      <c r="C135" s="13"/>
      <c r="F135" s="2">
        <v>3.46</v>
      </c>
      <c r="G135" s="2" t="s">
        <v>116</v>
      </c>
      <c r="H135" s="9" t="s">
        <v>538</v>
      </c>
      <c r="I135">
        <v>-1</v>
      </c>
      <c r="J135"/>
      <c r="L135" s="25">
        <v>1</v>
      </c>
      <c r="M135">
        <v>0</v>
      </c>
      <c r="N135">
        <v>0</v>
      </c>
      <c r="R135" s="2" t="s">
        <v>450</v>
      </c>
      <c r="T135" s="25">
        <v>13.83861243</v>
      </c>
      <c r="U135" s="25">
        <v>13.83861243</v>
      </c>
      <c r="V135" s="25">
        <v>13.83861243</v>
      </c>
      <c r="W135">
        <v>0</v>
      </c>
      <c r="X135"/>
      <c r="Y135"/>
      <c r="Z135">
        <v>0</v>
      </c>
      <c r="AA135"/>
      <c r="AB135"/>
      <c r="AD135">
        <v>18</v>
      </c>
      <c r="AE135" s="55">
        <f t="shared" si="5"/>
        <v>0</v>
      </c>
      <c r="AF135" s="57">
        <v>208.2630581553295</v>
      </c>
      <c r="AG135" s="55">
        <v>0</v>
      </c>
      <c r="AH135" s="55">
        <v>0</v>
      </c>
      <c r="AI135" s="52"/>
      <c r="AJ135" s="51">
        <v>8.6429154356194082E-2</v>
      </c>
      <c r="AK135" s="52"/>
      <c r="AL135" s="52"/>
      <c r="AM135" s="28">
        <v>1.857142857142857</v>
      </c>
      <c r="AN135" s="28">
        <v>3</v>
      </c>
      <c r="AO135" s="28">
        <v>2</v>
      </c>
      <c r="AP135" s="28">
        <v>2</v>
      </c>
      <c r="AQ135" s="28">
        <v>0.20967741935483869</v>
      </c>
      <c r="AR135" s="28">
        <v>0.33870967741935482</v>
      </c>
      <c r="AS135" s="28">
        <v>0.22580645161290319</v>
      </c>
      <c r="AT135" s="28">
        <v>0.22580645161290319</v>
      </c>
      <c r="AU135" s="25">
        <v>1</v>
      </c>
      <c r="AV135" s="25">
        <v>3.44</v>
      </c>
      <c r="AW135" s="25">
        <v>2.44</v>
      </c>
      <c r="AX135" s="25">
        <v>2.8</v>
      </c>
      <c r="AY135">
        <v>2.8</v>
      </c>
      <c r="AZ135">
        <v>6.2020864082142868</v>
      </c>
      <c r="BA135" s="75">
        <v>0.47541563854575991</v>
      </c>
      <c r="BE135">
        <v>4.3214577178097048E-2</v>
      </c>
      <c r="BH135">
        <v>8.6429154356194082E-2</v>
      </c>
      <c r="BI135">
        <v>4.3214577178097048E-2</v>
      </c>
      <c r="BJ135">
        <v>0.47541563854575991</v>
      </c>
    </row>
    <row r="136" spans="1:62" x14ac:dyDescent="0.3">
      <c r="A136" s="2" t="s">
        <v>20</v>
      </c>
      <c r="B136" s="13" t="s">
        <v>706</v>
      </c>
      <c r="C136" s="13"/>
      <c r="F136" s="2">
        <v>3.43</v>
      </c>
      <c r="G136" s="2" t="s">
        <v>116</v>
      </c>
      <c r="H136" s="9" t="s">
        <v>539</v>
      </c>
      <c r="I136" t="s">
        <v>619</v>
      </c>
      <c r="J136"/>
      <c r="L136" s="25">
        <v>2</v>
      </c>
      <c r="M136">
        <v>4</v>
      </c>
      <c r="N136">
        <v>0</v>
      </c>
      <c r="R136" s="2" t="s">
        <v>450</v>
      </c>
      <c r="T136" s="25">
        <v>13.01244535</v>
      </c>
      <c r="U136" s="25">
        <v>13.01244535</v>
      </c>
      <c r="V136" s="25">
        <v>5.6884839999999999</v>
      </c>
      <c r="W136">
        <v>5.5060000000000002</v>
      </c>
      <c r="X136">
        <v>5.5060000000000002</v>
      </c>
      <c r="Y136">
        <v>25</v>
      </c>
      <c r="Z136">
        <v>0</v>
      </c>
      <c r="AA136"/>
      <c r="AB136"/>
      <c r="AD136">
        <v>18</v>
      </c>
      <c r="AE136" s="55">
        <f t="shared" si="5"/>
        <v>0</v>
      </c>
      <c r="AF136" s="57">
        <v>408.08048566890238</v>
      </c>
      <c r="AG136" s="55">
        <v>757.90090000000009</v>
      </c>
      <c r="AH136" s="55">
        <v>0</v>
      </c>
      <c r="AI136" s="52"/>
      <c r="AJ136" s="51">
        <v>8.8217891480379992E-2</v>
      </c>
      <c r="AK136" s="52">
        <v>9.4999227471559922E-2</v>
      </c>
      <c r="AL136" s="52"/>
      <c r="AM136" s="28">
        <v>1.857142857142857</v>
      </c>
      <c r="AN136" s="28">
        <v>3</v>
      </c>
      <c r="AO136" s="28">
        <v>2</v>
      </c>
      <c r="AP136" s="28">
        <v>2</v>
      </c>
      <c r="AQ136" s="28">
        <v>0.20967741935483869</v>
      </c>
      <c r="AR136" s="28">
        <v>0.33870967741935482</v>
      </c>
      <c r="AS136" s="28">
        <v>0.22580645161290319</v>
      </c>
      <c r="AT136" s="28">
        <v>0.22580645161290319</v>
      </c>
      <c r="AU136" s="25">
        <v>0.95</v>
      </c>
      <c r="AV136" s="25">
        <v>3.44</v>
      </c>
      <c r="AW136" s="25">
        <v>2.4900000000000002</v>
      </c>
      <c r="AX136" s="25">
        <v>2.7964285714285722</v>
      </c>
      <c r="AY136">
        <v>2.7964285714285722</v>
      </c>
      <c r="AZ136">
        <v>6.1881302289285713</v>
      </c>
      <c r="BA136" s="75">
        <v>0.50205645606923555</v>
      </c>
      <c r="BB136" s="75">
        <v>0.54064968764634491</v>
      </c>
      <c r="BE136">
        <v>4.4108945740190003E-2</v>
      </c>
      <c r="BF136">
        <v>4.7499613735779961E-2</v>
      </c>
      <c r="BH136">
        <v>9.1608559475969964E-2</v>
      </c>
      <c r="BI136">
        <v>4.5804279737984982E-2</v>
      </c>
      <c r="BJ136">
        <v>0.52135307185779023</v>
      </c>
    </row>
    <row r="137" spans="1:62" x14ac:dyDescent="0.3">
      <c r="A137" s="2" t="s">
        <v>21</v>
      </c>
      <c r="B137" s="13" t="s">
        <v>707</v>
      </c>
      <c r="C137" s="13"/>
      <c r="F137" s="2">
        <v>3.3</v>
      </c>
      <c r="G137" s="2" t="s">
        <v>116</v>
      </c>
      <c r="H137" s="9" t="s">
        <v>540</v>
      </c>
      <c r="I137" t="s">
        <v>620</v>
      </c>
      <c r="J137"/>
      <c r="L137" s="25">
        <v>2</v>
      </c>
      <c r="M137">
        <v>2</v>
      </c>
      <c r="N137">
        <v>0</v>
      </c>
      <c r="R137" s="2" t="s">
        <v>440</v>
      </c>
      <c r="T137" s="25">
        <v>13.052871550000001</v>
      </c>
      <c r="U137" s="25">
        <v>13.052871550000001</v>
      </c>
      <c r="V137" s="25">
        <v>5.7602650000000004</v>
      </c>
      <c r="W137">
        <v>3.9390000000000001</v>
      </c>
      <c r="X137">
        <v>3.9390000000000001</v>
      </c>
      <c r="Y137">
        <v>25.636399999999998</v>
      </c>
      <c r="Z137">
        <v>0</v>
      </c>
      <c r="AA137"/>
      <c r="AB137"/>
      <c r="AD137">
        <v>18</v>
      </c>
      <c r="AE137" s="55">
        <f t="shared" si="5"/>
        <v>0</v>
      </c>
      <c r="AF137" s="57">
        <v>419.87909289623292</v>
      </c>
      <c r="AG137" s="55">
        <v>397.76722984439999</v>
      </c>
      <c r="AH137" s="55">
        <v>0</v>
      </c>
      <c r="AI137" s="52"/>
      <c r="AJ137" s="51">
        <v>8.5738967738736363E-2</v>
      </c>
      <c r="AK137" s="52">
        <v>9.0505193235960166E-2</v>
      </c>
      <c r="AL137" s="52"/>
      <c r="AM137" s="28">
        <v>1.857142857142857</v>
      </c>
      <c r="AN137" s="28">
        <v>3</v>
      </c>
      <c r="AO137" s="28">
        <v>2</v>
      </c>
      <c r="AP137" s="28">
        <v>2</v>
      </c>
      <c r="AQ137" s="28">
        <v>0.20967741935483869</v>
      </c>
      <c r="AR137" s="28">
        <v>0.33870967741935482</v>
      </c>
      <c r="AS137" s="28">
        <v>0.22580645161290319</v>
      </c>
      <c r="AT137" s="28">
        <v>0.22580645161290319</v>
      </c>
      <c r="AU137" s="25">
        <v>0.89</v>
      </c>
      <c r="AV137" s="25">
        <v>3.44</v>
      </c>
      <c r="AW137" s="25">
        <v>2.5499999999999998</v>
      </c>
      <c r="AX137" s="25">
        <v>2.7921428571428568</v>
      </c>
      <c r="AY137">
        <v>2.7921428571428568</v>
      </c>
      <c r="AZ137">
        <v>6.1741786985714304</v>
      </c>
      <c r="BA137" s="75">
        <v>0.50806026761966716</v>
      </c>
      <c r="BB137" s="75">
        <v>0</v>
      </c>
      <c r="BE137">
        <v>4.2869483869368182E-2</v>
      </c>
      <c r="BF137">
        <v>4.5252596617980083E-2</v>
      </c>
      <c r="BH137">
        <v>8.8122080487348264E-2</v>
      </c>
      <c r="BI137">
        <v>4.4061040243674132E-2</v>
      </c>
      <c r="BJ137">
        <v>0.25403013380983358</v>
      </c>
    </row>
    <row r="138" spans="1:62" x14ac:dyDescent="0.3">
      <c r="A138" s="2" t="s">
        <v>17</v>
      </c>
      <c r="B138" s="13" t="s">
        <v>702</v>
      </c>
      <c r="C138" s="13"/>
      <c r="F138" s="2">
        <v>3.67</v>
      </c>
      <c r="G138" s="2" t="s">
        <v>117</v>
      </c>
      <c r="H138" s="9" t="s">
        <v>535</v>
      </c>
      <c r="I138" t="s">
        <v>616</v>
      </c>
      <c r="J138"/>
      <c r="L138" s="25">
        <v>1</v>
      </c>
      <c r="M138">
        <v>4</v>
      </c>
      <c r="N138">
        <v>0</v>
      </c>
      <c r="O138" s="2">
        <v>5.4669999999999996</v>
      </c>
      <c r="P138" s="2">
        <v>5.4269999999999996</v>
      </c>
      <c r="Q138" s="2">
        <v>24.931000000000001</v>
      </c>
      <c r="R138" s="2" t="s">
        <v>450</v>
      </c>
      <c r="T138" s="25">
        <v>13.46934785</v>
      </c>
      <c r="U138" s="25">
        <v>13.46934785</v>
      </c>
      <c r="V138" s="25">
        <v>13.46934785</v>
      </c>
      <c r="W138">
        <v>5.4659000000000004</v>
      </c>
      <c r="X138">
        <v>5.4318</v>
      </c>
      <c r="Y138">
        <v>24.9619</v>
      </c>
      <c r="Z138">
        <v>0</v>
      </c>
      <c r="AA138"/>
      <c r="AB138"/>
      <c r="AC138"/>
      <c r="AD138">
        <v>18</v>
      </c>
      <c r="AE138" s="55">
        <f t="shared" si="5"/>
        <v>739.68803577899985</v>
      </c>
      <c r="AF138" s="57">
        <v>189.22149105491849</v>
      </c>
      <c r="AG138" s="55">
        <v>741.11071385887806</v>
      </c>
      <c r="AH138" s="55">
        <v>0</v>
      </c>
      <c r="AI138" s="52"/>
      <c r="AJ138" s="51">
        <v>9.5126615373598261E-2</v>
      </c>
      <c r="AK138" s="52">
        <v>9.7151476363233638E-2</v>
      </c>
      <c r="AL138" s="52"/>
      <c r="AM138" s="28">
        <v>2</v>
      </c>
      <c r="AN138" s="28">
        <v>3</v>
      </c>
      <c r="AO138" s="28">
        <v>1.857142857142857</v>
      </c>
      <c r="AP138" s="28">
        <v>4</v>
      </c>
      <c r="AQ138" s="28">
        <v>0.18421052631578949</v>
      </c>
      <c r="AR138" s="28">
        <v>0.27631578947368418</v>
      </c>
      <c r="AS138" s="28">
        <v>0.1710526315789474</v>
      </c>
      <c r="AT138" s="28">
        <v>0.36842105263157893</v>
      </c>
      <c r="AU138" s="25">
        <v>1</v>
      </c>
      <c r="AV138" s="25">
        <v>3.44</v>
      </c>
      <c r="AW138" s="25">
        <v>2.44</v>
      </c>
      <c r="AX138" s="25">
        <v>2.785714285714286</v>
      </c>
      <c r="AY138">
        <v>2.785714285714286</v>
      </c>
      <c r="AZ138">
        <v>6.216117408214286</v>
      </c>
      <c r="BA138" s="75">
        <v>0.52325723799350143</v>
      </c>
      <c r="BE138">
        <v>4.7563307686799138E-2</v>
      </c>
      <c r="BF138">
        <v>4.8575738181616819E-2</v>
      </c>
      <c r="BH138">
        <v>9.6139045868415957E-2</v>
      </c>
      <c r="BI138">
        <v>4.8069522934207978E-2</v>
      </c>
      <c r="BJ138">
        <v>0.52325723799350143</v>
      </c>
    </row>
    <row r="139" spans="1:62" x14ac:dyDescent="0.3">
      <c r="A139" s="2" t="s">
        <v>51</v>
      </c>
      <c r="B139" s="13" t="s">
        <v>703</v>
      </c>
      <c r="C139" s="13"/>
      <c r="F139" s="2">
        <v>3.64</v>
      </c>
      <c r="G139" s="2" t="s">
        <v>117</v>
      </c>
      <c r="H139" s="9" t="s">
        <v>536</v>
      </c>
      <c r="I139" t="s">
        <v>617</v>
      </c>
      <c r="J139"/>
      <c r="L139" s="25">
        <v>1</v>
      </c>
      <c r="M139">
        <v>4</v>
      </c>
      <c r="N139">
        <v>0</v>
      </c>
      <c r="O139" s="2">
        <v>5.4729999999999999</v>
      </c>
      <c r="P139" s="2">
        <v>5.5270000000000001</v>
      </c>
      <c r="Q139" s="2">
        <v>25.030999999999999</v>
      </c>
      <c r="R139" s="2" t="s">
        <v>450</v>
      </c>
      <c r="T139" s="25">
        <v>12.88926011</v>
      </c>
      <c r="U139" s="25">
        <v>12.88926011</v>
      </c>
      <c r="V139" s="25">
        <v>12.88926011</v>
      </c>
      <c r="W139">
        <v>5.5223699999999996</v>
      </c>
      <c r="X139">
        <v>5.5240799999999997</v>
      </c>
      <c r="Y139">
        <v>25.026399999999999</v>
      </c>
      <c r="Z139">
        <v>0</v>
      </c>
      <c r="AA139"/>
      <c r="AB139"/>
      <c r="AC139"/>
      <c r="AD139">
        <v>18</v>
      </c>
      <c r="AE139" s="55">
        <f t="shared" si="5"/>
        <v>757.16950240099993</v>
      </c>
      <c r="AF139" s="57">
        <v>195.03203980213701</v>
      </c>
      <c r="AG139" s="55">
        <v>763.45570050087724</v>
      </c>
      <c r="AH139" s="55">
        <v>0</v>
      </c>
      <c r="AI139" s="52"/>
      <c r="AJ139" s="51">
        <v>9.2292528029042184E-2</v>
      </c>
      <c r="AK139" s="52">
        <v>9.4308025930991482E-2</v>
      </c>
      <c r="AL139" s="52"/>
      <c r="AM139" s="28">
        <v>2</v>
      </c>
      <c r="AN139" s="28">
        <v>3</v>
      </c>
      <c r="AO139" s="28">
        <v>1.857142857142857</v>
      </c>
      <c r="AP139" s="28">
        <v>4</v>
      </c>
      <c r="AQ139" s="28">
        <v>0.18421052631578949</v>
      </c>
      <c r="AR139" s="28">
        <v>0.27631578947368418</v>
      </c>
      <c r="AS139" s="28">
        <v>0.1710526315789474</v>
      </c>
      <c r="AT139" s="28">
        <v>0.36842105263157893</v>
      </c>
      <c r="AU139" s="25">
        <v>0.95</v>
      </c>
      <c r="AV139" s="25">
        <v>3.44</v>
      </c>
      <c r="AW139" s="25">
        <v>2.4900000000000002</v>
      </c>
      <c r="AX139" s="25">
        <v>2.782142857142857</v>
      </c>
      <c r="AY139">
        <v>2.7821428571428579</v>
      </c>
      <c r="AZ139">
        <v>6.2021612289285706</v>
      </c>
      <c r="BA139" s="75">
        <v>0.52524560229640982</v>
      </c>
      <c r="BB139" s="75">
        <v>0.53671599358424449</v>
      </c>
      <c r="BE139">
        <v>4.6146264014521092E-2</v>
      </c>
      <c r="BF139">
        <v>4.7154012965495741E-2</v>
      </c>
      <c r="BH139">
        <v>9.3300276980016833E-2</v>
      </c>
      <c r="BI139">
        <v>4.6650138490008423E-2</v>
      </c>
      <c r="BJ139">
        <v>0.53098079794032715</v>
      </c>
    </row>
    <row r="140" spans="1:62" x14ac:dyDescent="0.3">
      <c r="A140" s="2" t="s">
        <v>18</v>
      </c>
      <c r="B140" s="13" t="s">
        <v>704</v>
      </c>
      <c r="C140" s="13"/>
      <c r="F140" s="2">
        <v>3.52</v>
      </c>
      <c r="G140" s="2" t="s">
        <v>117</v>
      </c>
      <c r="H140" s="9" t="s">
        <v>537</v>
      </c>
      <c r="I140" t="s">
        <v>618</v>
      </c>
      <c r="J140"/>
      <c r="L140" s="25">
        <v>1</v>
      </c>
      <c r="M140">
        <v>1</v>
      </c>
      <c r="N140">
        <v>0</v>
      </c>
      <c r="O140" s="2">
        <v>3.9540000000000002</v>
      </c>
      <c r="P140" s="2">
        <v>3.9540000000000002</v>
      </c>
      <c r="Q140" s="2">
        <v>25.486999999999998</v>
      </c>
      <c r="R140" s="2" t="s">
        <v>440</v>
      </c>
      <c r="T140" s="25">
        <v>12.939761450000001</v>
      </c>
      <c r="U140" s="25">
        <v>12.939761450000001</v>
      </c>
      <c r="V140" s="25">
        <v>12.939761450000001</v>
      </c>
      <c r="W140">
        <v>3.9355000000000002</v>
      </c>
      <c r="X140">
        <v>3.9355000000000002</v>
      </c>
      <c r="Y140">
        <v>25.5686</v>
      </c>
      <c r="Z140">
        <v>0</v>
      </c>
      <c r="AA140"/>
      <c r="AB140"/>
      <c r="AC140"/>
      <c r="AD140">
        <v>18</v>
      </c>
      <c r="AE140" s="55">
        <f t="shared" si="5"/>
        <v>398.46671449199999</v>
      </c>
      <c r="AF140" s="57">
        <v>198.96095988642259</v>
      </c>
      <c r="AG140" s="55">
        <v>396.01057416815007</v>
      </c>
      <c r="AH140" s="55">
        <v>0</v>
      </c>
      <c r="AI140" s="52"/>
      <c r="AJ140" s="51">
        <v>9.047000984653146E-2</v>
      </c>
      <c r="AK140" s="52">
        <v>4.5453331739462637E-2</v>
      </c>
      <c r="AL140" s="52"/>
      <c r="AM140" s="28">
        <v>2</v>
      </c>
      <c r="AN140" s="28">
        <v>3</v>
      </c>
      <c r="AO140" s="28">
        <v>1.857142857142857</v>
      </c>
      <c r="AP140" s="28">
        <v>4</v>
      </c>
      <c r="AQ140" s="28">
        <v>0.18421052631578949</v>
      </c>
      <c r="AR140" s="28">
        <v>0.27631578947368418</v>
      </c>
      <c r="AS140" s="28">
        <v>0.1710526315789474</v>
      </c>
      <c r="AT140" s="28">
        <v>0.36842105263157893</v>
      </c>
      <c r="AU140" s="25">
        <v>0.89</v>
      </c>
      <c r="AV140" s="25">
        <v>3.44</v>
      </c>
      <c r="AW140" s="25">
        <v>2.5499999999999998</v>
      </c>
      <c r="AX140" s="25">
        <v>2.777857142857143</v>
      </c>
      <c r="AY140">
        <v>2.777857142857143</v>
      </c>
      <c r="AZ140">
        <v>6.1882096985714297</v>
      </c>
      <c r="BA140" s="75">
        <v>0.53609483093200738</v>
      </c>
      <c r="BE140">
        <v>4.5235004923265723E-2</v>
      </c>
      <c r="BF140">
        <v>2.2726665869731318E-2</v>
      </c>
      <c r="BH140">
        <v>6.7961670792997045E-2</v>
      </c>
      <c r="BI140">
        <v>3.3980835396498522E-2</v>
      </c>
      <c r="BJ140">
        <v>0.53609483093200738</v>
      </c>
    </row>
    <row r="141" spans="1:62" x14ac:dyDescent="0.3">
      <c r="A141" s="2" t="s">
        <v>118</v>
      </c>
      <c r="B141" s="17" t="s">
        <v>920</v>
      </c>
      <c r="C141" s="13"/>
      <c r="F141" s="2">
        <v>3.44</v>
      </c>
      <c r="G141" s="2" t="s">
        <v>122</v>
      </c>
      <c r="H141" s="9">
        <v>-1</v>
      </c>
      <c r="I141">
        <v>-1</v>
      </c>
      <c r="J141" t="s">
        <v>1218</v>
      </c>
      <c r="K141" s="2">
        <v>4</v>
      </c>
      <c r="L141" s="25">
        <v>0</v>
      </c>
      <c r="M141">
        <v>0</v>
      </c>
      <c r="N141">
        <v>4</v>
      </c>
      <c r="O141" s="2">
        <v>5.492</v>
      </c>
      <c r="P141" s="2">
        <v>5.5650000000000004</v>
      </c>
      <c r="Q141" s="2">
        <v>24.88</v>
      </c>
      <c r="R141" s="2" t="s">
        <v>1219</v>
      </c>
      <c r="S141" s="1"/>
      <c r="T141" s="25">
        <v>0</v>
      </c>
      <c r="U141" s="25"/>
      <c r="V141" s="25"/>
      <c r="W141">
        <v>0</v>
      </c>
      <c r="X141"/>
      <c r="Y141"/>
      <c r="Z141">
        <v>0</v>
      </c>
      <c r="AA141"/>
      <c r="AB141"/>
      <c r="AD141">
        <v>18</v>
      </c>
      <c r="AE141" s="55">
        <f t="shared" si="5"/>
        <v>760.40694240000005</v>
      </c>
      <c r="AF141" s="57">
        <v>0</v>
      </c>
      <c r="AG141" s="55">
        <v>0</v>
      </c>
      <c r="AH141" s="55">
        <v>760.6</v>
      </c>
      <c r="AI141" s="52">
        <f>K141*AD141/AE141</f>
        <v>9.4686142360501407E-2</v>
      </c>
      <c r="AJ141" s="51"/>
      <c r="AK141" s="52"/>
      <c r="AL141" s="67">
        <f>N141*AD141/AH141</f>
        <v>9.466210886142519E-2</v>
      </c>
      <c r="AM141" s="28">
        <v>1.964285714285714</v>
      </c>
      <c r="AN141" s="28">
        <v>3</v>
      </c>
      <c r="AO141" s="28">
        <v>1.892857142857143</v>
      </c>
      <c r="AP141" s="28">
        <v>4</v>
      </c>
      <c r="AQ141" s="28">
        <v>0.1809210526315789</v>
      </c>
      <c r="AR141" s="28">
        <v>0.27631578947368418</v>
      </c>
      <c r="AS141" s="28">
        <v>0.17434210526315791</v>
      </c>
      <c r="AT141" s="28">
        <v>0.36842105263157893</v>
      </c>
      <c r="AU141" s="25">
        <v>0.82</v>
      </c>
      <c r="AV141" s="25">
        <v>3.44</v>
      </c>
      <c r="AW141" s="25">
        <v>2.62</v>
      </c>
      <c r="AX141" s="25">
        <v>2.7828571428571429</v>
      </c>
      <c r="AY141">
        <v>2.7828571428571429</v>
      </c>
      <c r="AZ141">
        <v>6.1929237675000008</v>
      </c>
      <c r="BC141" s="75">
        <v>0</v>
      </c>
      <c r="BD141">
        <v>4.7343071180250697E-2</v>
      </c>
      <c r="BG141">
        <v>4.7331054430712588E-2</v>
      </c>
      <c r="BH141">
        <v>9.4674125610963306E-2</v>
      </c>
      <c r="BI141">
        <v>4.7337062805481639E-2</v>
      </c>
      <c r="BJ141">
        <v>0</v>
      </c>
    </row>
    <row r="142" spans="1:62" x14ac:dyDescent="0.3">
      <c r="A142" s="2" t="s">
        <v>119</v>
      </c>
      <c r="B142" s="17" t="s">
        <v>921</v>
      </c>
      <c r="C142" s="13"/>
      <c r="F142" s="2">
        <v>3.22</v>
      </c>
      <c r="G142" s="2" t="s">
        <v>122</v>
      </c>
      <c r="H142" s="9">
        <v>-1</v>
      </c>
      <c r="I142">
        <v>-1</v>
      </c>
      <c r="J142"/>
      <c r="K142" s="2">
        <v>4</v>
      </c>
      <c r="L142" s="25">
        <v>0</v>
      </c>
      <c r="M142">
        <v>0</v>
      </c>
      <c r="N142">
        <v>4</v>
      </c>
      <c r="O142" s="2">
        <v>5.5019999999999998</v>
      </c>
      <c r="P142" s="2">
        <v>5.5069999999999997</v>
      </c>
      <c r="Q142" s="2">
        <v>25.09</v>
      </c>
      <c r="R142" s="2" t="s">
        <v>1219</v>
      </c>
      <c r="S142" s="1"/>
      <c r="T142" s="25">
        <v>0</v>
      </c>
      <c r="U142" s="25"/>
      <c r="V142" s="25"/>
      <c r="W142">
        <v>0</v>
      </c>
      <c r="X142"/>
      <c r="Y142"/>
      <c r="Z142">
        <v>0</v>
      </c>
      <c r="AA142"/>
      <c r="AB142"/>
      <c r="AD142">
        <v>18</v>
      </c>
      <c r="AE142" s="55">
        <f t="shared" si="5"/>
        <v>760.21480625999993</v>
      </c>
      <c r="AF142" s="57">
        <v>0</v>
      </c>
      <c r="AG142" s="55">
        <v>0</v>
      </c>
      <c r="AH142" s="55">
        <v>0</v>
      </c>
      <c r="AI142" s="52">
        <f>K142*AD142/AE142</f>
        <v>9.4710073267601405E-2</v>
      </c>
      <c r="AJ142" s="51"/>
      <c r="AK142" s="52"/>
      <c r="AL142" s="52"/>
      <c r="AM142" s="28">
        <v>1.821428571428571</v>
      </c>
      <c r="AN142" s="28">
        <v>3</v>
      </c>
      <c r="AO142" s="28">
        <v>2.035714285714286</v>
      </c>
      <c r="AP142" s="28">
        <v>2</v>
      </c>
      <c r="AQ142" s="28">
        <v>0.20564516129032259</v>
      </c>
      <c r="AR142" s="28">
        <v>0.33870967741935482</v>
      </c>
      <c r="AS142" s="28">
        <v>0.22983870967741929</v>
      </c>
      <c r="AT142" s="28">
        <v>0.22580645161290319</v>
      </c>
      <c r="AU142" s="25">
        <v>0.82</v>
      </c>
      <c r="AV142" s="25">
        <v>3.44</v>
      </c>
      <c r="AW142" s="25">
        <v>2.62</v>
      </c>
      <c r="AX142" s="25">
        <v>2.7971428571428572</v>
      </c>
      <c r="AY142">
        <v>2.7971428571428572</v>
      </c>
      <c r="AZ142">
        <v>6.1788927675000007</v>
      </c>
      <c r="BD142">
        <v>4.7355036633800703E-2</v>
      </c>
      <c r="BG142" t="s">
        <v>459</v>
      </c>
      <c r="BH142">
        <v>9.4710073267601405E-2</v>
      </c>
      <c r="BI142" t="s">
        <v>459</v>
      </c>
      <c r="BJ142">
        <v>0</v>
      </c>
    </row>
    <row r="143" spans="1:62" x14ac:dyDescent="0.3">
      <c r="A143" s="2" t="s">
        <v>120</v>
      </c>
      <c r="B143" s="17" t="s">
        <v>922</v>
      </c>
      <c r="C143" s="13"/>
      <c r="F143" s="2">
        <v>4</v>
      </c>
      <c r="G143" s="2" t="s">
        <v>122</v>
      </c>
      <c r="H143" s="9">
        <v>-1</v>
      </c>
      <c r="I143">
        <v>-1</v>
      </c>
      <c r="J143"/>
      <c r="K143" s="2">
        <v>1</v>
      </c>
      <c r="L143" s="25">
        <v>0</v>
      </c>
      <c r="M143">
        <v>0</v>
      </c>
      <c r="N143">
        <v>0</v>
      </c>
      <c r="O143" s="2">
        <v>3.9060000000000001</v>
      </c>
      <c r="P143" s="2">
        <v>3.9060000000000001</v>
      </c>
      <c r="Q143" s="2">
        <v>9.8840000000000003</v>
      </c>
      <c r="T143" s="25">
        <v>0</v>
      </c>
      <c r="U143" s="25"/>
      <c r="V143" s="25"/>
      <c r="W143">
        <v>0</v>
      </c>
      <c r="X143"/>
      <c r="Y143"/>
      <c r="Z143">
        <v>0</v>
      </c>
      <c r="AA143"/>
      <c r="AB143"/>
      <c r="AD143">
        <v>14</v>
      </c>
      <c r="AE143" s="55">
        <f t="shared" si="5"/>
        <v>150.79856702400002</v>
      </c>
      <c r="AF143" s="57">
        <v>0</v>
      </c>
      <c r="AG143" s="55">
        <v>0</v>
      </c>
      <c r="AH143" s="55">
        <v>0</v>
      </c>
      <c r="AI143" s="52">
        <f>K143*AD143/AE143</f>
        <v>9.2839078489199839E-2</v>
      </c>
      <c r="AJ143" s="51"/>
      <c r="AK143" s="52"/>
      <c r="AL143" s="52"/>
      <c r="AM143" s="28">
        <v>1.8135593220338979</v>
      </c>
      <c r="AN143" s="28">
        <v>2.398305084745763</v>
      </c>
      <c r="AO143" s="28">
        <v>0.63559322033898302</v>
      </c>
      <c r="AP143" s="28">
        <v>2.4915254237288131</v>
      </c>
      <c r="AQ143" s="28">
        <v>0.24711316397228639</v>
      </c>
      <c r="AR143" s="28">
        <v>0.32678983833718239</v>
      </c>
      <c r="AS143" s="28">
        <v>8.6605080831408776E-2</v>
      </c>
      <c r="AT143" s="28">
        <v>0.33949191685912239</v>
      </c>
      <c r="AU143" s="25">
        <v>0.82</v>
      </c>
      <c r="AV143" s="25">
        <v>3.44</v>
      </c>
      <c r="AW143" s="25">
        <v>2.62</v>
      </c>
      <c r="AX143" s="25">
        <v>2.733728813559321</v>
      </c>
      <c r="AY143">
        <v>2.7337288135593218</v>
      </c>
      <c r="AZ143">
        <v>6.5217336360353304</v>
      </c>
      <c r="BD143">
        <v>4.6419539244599919E-2</v>
      </c>
      <c r="BH143">
        <v>9.2839078489199839E-2</v>
      </c>
      <c r="BI143">
        <v>4.6419539244599919E-2</v>
      </c>
      <c r="BJ143">
        <v>0</v>
      </c>
    </row>
    <row r="144" spans="1:62" x14ac:dyDescent="0.3">
      <c r="A144" s="2" t="s">
        <v>121</v>
      </c>
      <c r="B144" s="33" t="s">
        <v>923</v>
      </c>
      <c r="C144" s="34"/>
      <c r="F144" s="2">
        <v>3.49</v>
      </c>
      <c r="G144" s="2" t="s">
        <v>122</v>
      </c>
      <c r="H144" s="35">
        <v>-1</v>
      </c>
      <c r="I144" s="2">
        <v>-1</v>
      </c>
      <c r="J144"/>
      <c r="K144" s="2">
        <v>1</v>
      </c>
      <c r="L144" s="25">
        <v>0</v>
      </c>
      <c r="M144">
        <v>0</v>
      </c>
      <c r="N144">
        <v>0</v>
      </c>
      <c r="O144" s="2">
        <v>3.903</v>
      </c>
      <c r="P144" s="2">
        <v>3.903</v>
      </c>
      <c r="Q144" s="2">
        <v>10.050000000000001</v>
      </c>
      <c r="T144" s="25">
        <v>0</v>
      </c>
      <c r="U144" s="25"/>
      <c r="V144" s="25"/>
      <c r="W144">
        <v>0</v>
      </c>
      <c r="X144"/>
      <c r="Y144"/>
      <c r="Z144">
        <v>0</v>
      </c>
      <c r="AA144"/>
      <c r="AB144"/>
      <c r="AD144">
        <v>13</v>
      </c>
      <c r="AE144" s="55">
        <f t="shared" si="5"/>
        <v>153.09576045</v>
      </c>
      <c r="AF144" s="57">
        <v>0</v>
      </c>
      <c r="AG144" s="55">
        <v>0</v>
      </c>
      <c r="AH144" s="55">
        <v>0</v>
      </c>
      <c r="AI144" s="52">
        <f>K144*AD144/AE144</f>
        <v>8.4914173728838874E-2</v>
      </c>
      <c r="AJ144" s="51"/>
      <c r="AK144" s="52"/>
      <c r="AL144" s="52"/>
      <c r="AM144" s="28">
        <v>1.6448598130841121</v>
      </c>
      <c r="AN144" s="28">
        <v>2.457943925233645</v>
      </c>
      <c r="AO144" s="28">
        <v>0.86915887850467299</v>
      </c>
      <c r="AP144" s="28">
        <v>0.13084112149532709</v>
      </c>
      <c r="AQ144" s="28">
        <v>0.32234432234432231</v>
      </c>
      <c r="AR144" s="28">
        <v>0.48168498168498158</v>
      </c>
      <c r="AS144" s="28">
        <v>0.17032967032967031</v>
      </c>
      <c r="AT144" s="28">
        <v>2.564102564102564E-2</v>
      </c>
      <c r="AU144" s="25">
        <v>0.82</v>
      </c>
      <c r="AV144" s="25">
        <v>3.44</v>
      </c>
      <c r="AW144" s="25">
        <v>2.62</v>
      </c>
      <c r="AX144" s="25">
        <v>2.7828037383177571</v>
      </c>
      <c r="AY144">
        <v>2.782803738317758</v>
      </c>
      <c r="AZ144">
        <v>6.5403483343235136</v>
      </c>
      <c r="BD144">
        <v>4.2457086864419437E-2</v>
      </c>
      <c r="BH144">
        <v>8.4914173728838874E-2</v>
      </c>
      <c r="BI144">
        <v>4.2457086864419437E-2</v>
      </c>
      <c r="BJ144">
        <v>0</v>
      </c>
    </row>
    <row r="145" spans="1:62" x14ac:dyDescent="0.3">
      <c r="A145" s="2" t="s">
        <v>1185</v>
      </c>
      <c r="B145" s="47" t="s">
        <v>1186</v>
      </c>
      <c r="C145" s="34"/>
      <c r="F145" s="2">
        <v>4</v>
      </c>
      <c r="G145" s="2" t="s">
        <v>122</v>
      </c>
      <c r="H145" s="35" t="s">
        <v>1188</v>
      </c>
      <c r="I145" s="2">
        <v>-1</v>
      </c>
      <c r="J145" t="s">
        <v>1187</v>
      </c>
      <c r="L145" s="25">
        <v>0</v>
      </c>
      <c r="M145">
        <v>0</v>
      </c>
      <c r="N145">
        <v>2</v>
      </c>
      <c r="T145" s="25">
        <v>0</v>
      </c>
      <c r="U145" s="25"/>
      <c r="V145" s="25"/>
      <c r="W145">
        <v>0</v>
      </c>
      <c r="X145"/>
      <c r="Y145"/>
      <c r="Z145">
        <v>12.5602</v>
      </c>
      <c r="AA145">
        <v>12.5602</v>
      </c>
      <c r="AB145">
        <v>3.9214000000000002</v>
      </c>
      <c r="AD145">
        <v>34</v>
      </c>
      <c r="AE145" s="55">
        <f t="shared" si="5"/>
        <v>0</v>
      </c>
      <c r="AF145" s="57">
        <v>0</v>
      </c>
      <c r="AG145" s="55">
        <v>0</v>
      </c>
      <c r="AH145" s="55">
        <v>618.63466831045605</v>
      </c>
      <c r="AI145" s="52"/>
      <c r="AJ145" s="51"/>
      <c r="AK145" s="52"/>
      <c r="AL145" s="52">
        <v>0.10991947830165059</v>
      </c>
      <c r="AM145" s="28">
        <v>1.92</v>
      </c>
      <c r="AN145" s="28">
        <v>2.72</v>
      </c>
      <c r="AO145" s="28">
        <v>0.64</v>
      </c>
      <c r="AP145" s="28">
        <v>2.8</v>
      </c>
      <c r="AQ145" s="28">
        <v>0.23762376237623761</v>
      </c>
      <c r="AR145" s="28">
        <v>0.33663366336633671</v>
      </c>
      <c r="AS145" s="28">
        <v>7.9207920792079209E-2</v>
      </c>
      <c r="AT145" s="28">
        <v>0.34653465346534651</v>
      </c>
      <c r="AU145" s="25">
        <v>0.82</v>
      </c>
      <c r="AV145" s="25">
        <v>3.44</v>
      </c>
      <c r="AW145" s="25">
        <v>2.62</v>
      </c>
      <c r="AX145" s="25">
        <v>2.7488000000000001</v>
      </c>
      <c r="AY145">
        <v>2.7488000000000001</v>
      </c>
      <c r="AZ145">
        <v>6.2305574404000001</v>
      </c>
      <c r="BC145" s="75">
        <v>0.5553845310307659</v>
      </c>
      <c r="BG145">
        <v>4.8493887486022333E-2</v>
      </c>
      <c r="BH145">
        <v>0.10991947830165059</v>
      </c>
      <c r="BI145">
        <v>4.8493887486022333E-2</v>
      </c>
      <c r="BJ145">
        <v>0.5553845310307659</v>
      </c>
    </row>
    <row r="146" spans="1:62" x14ac:dyDescent="0.3">
      <c r="A146" s="5" t="s">
        <v>123</v>
      </c>
      <c r="B146" s="17" t="s">
        <v>924</v>
      </c>
      <c r="C146" s="13"/>
      <c r="D146" s="5"/>
      <c r="E146" s="5"/>
      <c r="F146" s="5">
        <v>3.7</v>
      </c>
      <c r="G146" s="5" t="s">
        <v>122</v>
      </c>
      <c r="H146" s="40">
        <v>-2</v>
      </c>
      <c r="I146">
        <v>-1</v>
      </c>
      <c r="J146"/>
      <c r="K146" s="5"/>
      <c r="L146" s="25">
        <v>0</v>
      </c>
      <c r="M146">
        <v>0</v>
      </c>
      <c r="N146">
        <v>0</v>
      </c>
      <c r="T146" s="25">
        <v>0</v>
      </c>
      <c r="U146" s="25"/>
      <c r="V146" s="25"/>
      <c r="W146">
        <v>0</v>
      </c>
      <c r="X146"/>
      <c r="Y146"/>
      <c r="Z146">
        <v>0</v>
      </c>
      <c r="AA146"/>
      <c r="AB146"/>
      <c r="AD146">
        <v>14</v>
      </c>
      <c r="AE146" s="55">
        <f t="shared" si="5"/>
        <v>0</v>
      </c>
      <c r="AF146" s="57">
        <v>0</v>
      </c>
      <c r="AG146" s="55">
        <v>0</v>
      </c>
      <c r="AH146" s="55">
        <v>0</v>
      </c>
      <c r="AI146" s="52"/>
      <c r="AJ146" s="51"/>
      <c r="AK146" s="52"/>
      <c r="AL146" s="52"/>
      <c r="AM146" s="28">
        <v>1.847457627118644</v>
      </c>
      <c r="AN146" s="28">
        <v>2.4237288135593218</v>
      </c>
      <c r="AO146" s="28">
        <v>0.67796610169491522</v>
      </c>
      <c r="AP146" s="28">
        <v>2.610169491525423</v>
      </c>
      <c r="AQ146" s="28">
        <v>0.2443946188340807</v>
      </c>
      <c r="AR146" s="28">
        <v>0.32062780269058289</v>
      </c>
      <c r="AS146" s="28">
        <v>8.9686098654708529E-2</v>
      </c>
      <c r="AT146" s="28">
        <v>0.3452914798206278</v>
      </c>
      <c r="AU146" s="25">
        <v>1</v>
      </c>
      <c r="AV146" s="25">
        <v>3.44</v>
      </c>
      <c r="AW146" s="25">
        <v>2.44</v>
      </c>
      <c r="AX146" s="25">
        <v>2.732542372881356</v>
      </c>
      <c r="AY146">
        <v>2.732542372881356</v>
      </c>
      <c r="AZ146">
        <v>6.5123179483671016</v>
      </c>
      <c r="BH146">
        <v>0</v>
      </c>
      <c r="BI146">
        <v>0</v>
      </c>
      <c r="BJ146">
        <v>0</v>
      </c>
    </row>
    <row r="147" spans="1:62" x14ac:dyDescent="0.3">
      <c r="A147" s="5" t="s">
        <v>124</v>
      </c>
      <c r="B147" s="17" t="s">
        <v>925</v>
      </c>
      <c r="C147" s="13"/>
      <c r="D147" s="5"/>
      <c r="E147" s="5"/>
      <c r="F147" s="5">
        <v>3.9</v>
      </c>
      <c r="G147" s="5" t="s">
        <v>122</v>
      </c>
      <c r="H147" s="40">
        <v>-2</v>
      </c>
      <c r="I147">
        <v>-1</v>
      </c>
      <c r="J147"/>
      <c r="K147" s="5"/>
      <c r="L147" s="25">
        <v>0</v>
      </c>
      <c r="M147">
        <v>0</v>
      </c>
      <c r="N147">
        <v>0</v>
      </c>
      <c r="T147" s="25">
        <v>0</v>
      </c>
      <c r="U147" s="25"/>
      <c r="V147" s="25"/>
      <c r="W147">
        <v>0</v>
      </c>
      <c r="X147"/>
      <c r="Y147"/>
      <c r="Z147">
        <v>0</v>
      </c>
      <c r="AA147"/>
      <c r="AB147"/>
      <c r="AD147">
        <v>14</v>
      </c>
      <c r="AE147" s="55">
        <f t="shared" si="5"/>
        <v>0</v>
      </c>
      <c r="AF147" s="57">
        <v>0</v>
      </c>
      <c r="AG147" s="55">
        <v>0</v>
      </c>
      <c r="AH147" s="55">
        <v>0</v>
      </c>
      <c r="AI147" s="52"/>
      <c r="AJ147" s="51"/>
      <c r="AK147" s="52"/>
      <c r="AL147" s="52"/>
      <c r="AM147" s="28">
        <v>1.85</v>
      </c>
      <c r="AN147" s="28">
        <v>2.3833333333333329</v>
      </c>
      <c r="AO147" s="28">
        <v>0.66666666666666663</v>
      </c>
      <c r="AP147" s="28">
        <v>2.5666666666666669</v>
      </c>
      <c r="AQ147" s="28">
        <v>0.24776785714285721</v>
      </c>
      <c r="AR147" s="28">
        <v>0.3191964285714286</v>
      </c>
      <c r="AS147" s="28">
        <v>8.9285714285714288E-2</v>
      </c>
      <c r="AT147" s="28">
        <v>0.34375000000000011</v>
      </c>
      <c r="AU147" s="25">
        <v>0.95</v>
      </c>
      <c r="AV147" s="25">
        <v>3.44</v>
      </c>
      <c r="AW147" s="25">
        <v>2.4900000000000002</v>
      </c>
      <c r="AX147" s="25">
        <v>2.6995</v>
      </c>
      <c r="AY147">
        <v>2.6995</v>
      </c>
      <c r="AZ147">
        <v>6.4386446606443171</v>
      </c>
      <c r="BH147">
        <v>0</v>
      </c>
      <c r="BI147">
        <v>0</v>
      </c>
      <c r="BJ147">
        <v>0</v>
      </c>
    </row>
    <row r="148" spans="1:62" x14ac:dyDescent="0.3">
      <c r="A148" s="5" t="s">
        <v>125</v>
      </c>
      <c r="B148" s="17" t="s">
        <v>926</v>
      </c>
      <c r="C148" s="13"/>
      <c r="D148" s="5"/>
      <c r="E148" s="5"/>
      <c r="F148" s="5">
        <v>4</v>
      </c>
      <c r="G148" s="5" t="s">
        <v>122</v>
      </c>
      <c r="H148" s="40">
        <v>-2</v>
      </c>
      <c r="I148">
        <v>-1</v>
      </c>
      <c r="J148"/>
      <c r="K148" s="5"/>
      <c r="L148" s="25">
        <v>0</v>
      </c>
      <c r="M148">
        <v>0</v>
      </c>
      <c r="N148">
        <v>0</v>
      </c>
      <c r="T148" s="25">
        <v>0</v>
      </c>
      <c r="U148" s="25"/>
      <c r="V148" s="25"/>
      <c r="W148">
        <v>0</v>
      </c>
      <c r="X148"/>
      <c r="Y148"/>
      <c r="Z148">
        <v>0</v>
      </c>
      <c r="AA148"/>
      <c r="AB148"/>
      <c r="AD148">
        <v>14</v>
      </c>
      <c r="AE148" s="55">
        <f t="shared" si="5"/>
        <v>0</v>
      </c>
      <c r="AF148" s="57">
        <v>0</v>
      </c>
      <c r="AG148" s="55">
        <v>0</v>
      </c>
      <c r="AH148" s="55">
        <v>0</v>
      </c>
      <c r="AI148" s="52"/>
      <c r="AJ148" s="51"/>
      <c r="AK148" s="52"/>
      <c r="AL148" s="52"/>
      <c r="AM148" s="28">
        <v>1.8389830508474569</v>
      </c>
      <c r="AN148" s="28">
        <v>2.398305084745763</v>
      </c>
      <c r="AO148" s="28">
        <v>0.59322033898305082</v>
      </c>
      <c r="AP148" s="28">
        <v>2.4915254237288131</v>
      </c>
      <c r="AQ148" s="28">
        <v>0.25115740740740738</v>
      </c>
      <c r="AR148" s="28">
        <v>0.32754629629629628</v>
      </c>
      <c r="AS148" s="28">
        <v>8.1018518518518517E-2</v>
      </c>
      <c r="AT148" s="28">
        <v>0.34027777777777768</v>
      </c>
      <c r="AU148" s="25">
        <v>0.89</v>
      </c>
      <c r="AV148" s="25">
        <v>3.44</v>
      </c>
      <c r="AW148" s="25">
        <v>2.5499999999999998</v>
      </c>
      <c r="AX148" s="25">
        <v>2.7266101694915248</v>
      </c>
      <c r="AY148">
        <v>2.7266101694915261</v>
      </c>
      <c r="AZ148">
        <v>6.5117833191709238</v>
      </c>
      <c r="BH148">
        <v>0</v>
      </c>
      <c r="BI148">
        <v>0</v>
      </c>
      <c r="BJ148">
        <v>0</v>
      </c>
    </row>
    <row r="149" spans="1:62" x14ac:dyDescent="0.3">
      <c r="A149" s="5" t="s">
        <v>120</v>
      </c>
      <c r="B149" s="17" t="s">
        <v>927</v>
      </c>
      <c r="C149" s="13"/>
      <c r="D149" s="5"/>
      <c r="E149" s="5"/>
      <c r="F149" s="5">
        <v>4.3</v>
      </c>
      <c r="G149" s="5" t="s">
        <v>122</v>
      </c>
      <c r="H149" s="40">
        <v>-2</v>
      </c>
      <c r="I149">
        <v>-1</v>
      </c>
      <c r="J149"/>
      <c r="K149" s="5"/>
      <c r="L149" s="25">
        <v>0</v>
      </c>
      <c r="M149">
        <v>0</v>
      </c>
      <c r="N149">
        <v>0</v>
      </c>
      <c r="T149" s="25">
        <v>0</v>
      </c>
      <c r="U149" s="25"/>
      <c r="V149" s="25"/>
      <c r="W149">
        <v>0</v>
      </c>
      <c r="X149"/>
      <c r="Y149"/>
      <c r="Z149">
        <v>0</v>
      </c>
      <c r="AA149"/>
      <c r="AB149"/>
      <c r="AD149">
        <v>14</v>
      </c>
      <c r="AE149" s="55">
        <f t="shared" si="5"/>
        <v>0</v>
      </c>
      <c r="AF149" s="57">
        <v>0</v>
      </c>
      <c r="AG149" s="55">
        <v>0</v>
      </c>
      <c r="AH149" s="55">
        <v>0</v>
      </c>
      <c r="AI149" s="52"/>
      <c r="AJ149" s="51"/>
      <c r="AK149" s="52"/>
      <c r="AL149" s="52"/>
      <c r="AM149" s="28">
        <v>1.8135593220338979</v>
      </c>
      <c r="AN149" s="28">
        <v>2.398305084745763</v>
      </c>
      <c r="AO149" s="28">
        <v>0.63559322033898302</v>
      </c>
      <c r="AP149" s="28">
        <v>2.4915254237288131</v>
      </c>
      <c r="AQ149" s="28">
        <v>0.24711316397228639</v>
      </c>
      <c r="AR149" s="28">
        <v>0.32678983833718239</v>
      </c>
      <c r="AS149" s="28">
        <v>8.6605080831408776E-2</v>
      </c>
      <c r="AT149" s="28">
        <v>0.33949191685912239</v>
      </c>
      <c r="AU149" s="25">
        <v>0.82</v>
      </c>
      <c r="AV149" s="25">
        <v>3.44</v>
      </c>
      <c r="AW149" s="25">
        <v>2.62</v>
      </c>
      <c r="AX149" s="25">
        <v>2.733728813559321</v>
      </c>
      <c r="AY149">
        <v>2.7337288135593218</v>
      </c>
      <c r="AZ149">
        <v>6.5217336360353304</v>
      </c>
      <c r="BH149">
        <v>0</v>
      </c>
      <c r="BI149">
        <v>0</v>
      </c>
      <c r="BJ149">
        <v>0</v>
      </c>
    </row>
    <row r="150" spans="1:62" x14ac:dyDescent="0.3">
      <c r="A150" s="2" t="s">
        <v>127</v>
      </c>
      <c r="B150" s="13" t="s">
        <v>754</v>
      </c>
      <c r="C150" s="13"/>
      <c r="F150" s="2">
        <v>2.39</v>
      </c>
      <c r="G150" s="2" t="s">
        <v>126</v>
      </c>
      <c r="H150" s="9">
        <v>-1</v>
      </c>
      <c r="I150">
        <v>-1</v>
      </c>
      <c r="J150"/>
      <c r="L150" s="25">
        <v>0</v>
      </c>
      <c r="M150">
        <v>0</v>
      </c>
      <c r="N150">
        <v>0</v>
      </c>
      <c r="O150" s="2">
        <v>5.4930000000000003</v>
      </c>
      <c r="P150" s="2">
        <v>5.4930000000000003</v>
      </c>
      <c r="Q150" s="2">
        <v>28.75</v>
      </c>
      <c r="S150" s="2">
        <f>Q150/2</f>
        <v>14.375</v>
      </c>
      <c r="T150" s="25">
        <v>0</v>
      </c>
      <c r="U150" s="25"/>
      <c r="V150" s="25"/>
      <c r="W150">
        <v>0</v>
      </c>
      <c r="X150"/>
      <c r="Y150"/>
      <c r="Z150">
        <v>0</v>
      </c>
      <c r="AA150"/>
      <c r="AB150"/>
      <c r="AD150">
        <v>2</v>
      </c>
      <c r="AE150" s="55">
        <f t="shared" si="5"/>
        <v>867.47515875000011</v>
      </c>
      <c r="AF150" s="57">
        <v>0</v>
      </c>
      <c r="AG150" s="55">
        <v>0</v>
      </c>
      <c r="AH150" s="55">
        <v>0</v>
      </c>
      <c r="AI150" s="52"/>
      <c r="AJ150" s="51"/>
      <c r="AK150" s="52"/>
      <c r="AL150" s="52"/>
      <c r="AM150" s="28">
        <v>1.428571428571429</v>
      </c>
      <c r="AN150" s="28">
        <v>1.5</v>
      </c>
      <c r="AO150" s="28">
        <v>5.1428571428571432</v>
      </c>
      <c r="AP150" s="28">
        <v>4</v>
      </c>
      <c r="AQ150" s="28">
        <v>0.1183431952662722</v>
      </c>
      <c r="AR150" s="28">
        <v>0.1242603550295858</v>
      </c>
      <c r="AS150" s="28">
        <v>0.42603550295857989</v>
      </c>
      <c r="AT150" s="28">
        <v>0.33136094674556221</v>
      </c>
      <c r="AU150" s="25">
        <v>1.6</v>
      </c>
      <c r="AV150" s="25">
        <v>3.44</v>
      </c>
      <c r="AW150" s="25">
        <v>1.84</v>
      </c>
      <c r="AX150" s="25">
        <v>1.9628571428571431</v>
      </c>
      <c r="AY150">
        <v>1.9628571428571431</v>
      </c>
      <c r="AZ150">
        <v>4.4993245392857144</v>
      </c>
      <c r="BH150">
        <v>0</v>
      </c>
      <c r="BI150">
        <v>0</v>
      </c>
      <c r="BJ150">
        <v>0</v>
      </c>
    </row>
    <row r="151" spans="1:62" x14ac:dyDescent="0.3">
      <c r="A151" s="2" t="s">
        <v>128</v>
      </c>
      <c r="B151" s="13" t="s">
        <v>755</v>
      </c>
      <c r="C151" s="13"/>
      <c r="F151" s="2">
        <v>3.42</v>
      </c>
      <c r="G151" s="2" t="s">
        <v>126</v>
      </c>
      <c r="H151" s="9" t="s">
        <v>571</v>
      </c>
      <c r="I151" t="s">
        <v>649</v>
      </c>
      <c r="J151"/>
      <c r="L151" s="25">
        <v>2</v>
      </c>
      <c r="M151">
        <v>2</v>
      </c>
      <c r="N151">
        <v>0</v>
      </c>
      <c r="T151" s="25">
        <v>3.8933966999999998</v>
      </c>
      <c r="U151" s="25">
        <v>3.8933966999999998</v>
      </c>
      <c r="V151" s="25">
        <v>7.4931887499999998</v>
      </c>
      <c r="W151">
        <v>3.89</v>
      </c>
      <c r="X151">
        <v>3.89</v>
      </c>
      <c r="Y151">
        <v>7.37</v>
      </c>
      <c r="Z151">
        <v>0</v>
      </c>
      <c r="AA151"/>
      <c r="AB151"/>
      <c r="AD151">
        <v>2</v>
      </c>
      <c r="AE151" s="55">
        <f t="shared" si="5"/>
        <v>0</v>
      </c>
      <c r="AF151" s="57">
        <v>113.5857853857584</v>
      </c>
      <c r="AG151" s="55">
        <v>111.523577</v>
      </c>
      <c r="AH151" s="55">
        <v>0</v>
      </c>
      <c r="AI151" s="52"/>
      <c r="AJ151" s="51">
        <v>3.5215674095268677E-2</v>
      </c>
      <c r="AK151" s="52">
        <v>3.5866855310783291E-2</v>
      </c>
      <c r="AL151" s="52"/>
      <c r="AM151" s="28">
        <v>2</v>
      </c>
      <c r="AN151" s="28">
        <v>4</v>
      </c>
      <c r="AO151" s="28">
        <v>3.333333333333333</v>
      </c>
      <c r="AP151" s="28">
        <v>4.666666666666667</v>
      </c>
      <c r="AQ151" s="28">
        <v>0.14285714285714279</v>
      </c>
      <c r="AR151" s="28">
        <v>0.2857142857142857</v>
      </c>
      <c r="AS151" s="28">
        <v>0.23809523809523811</v>
      </c>
      <c r="AT151" s="28">
        <v>0.33333333333333343</v>
      </c>
      <c r="AU151" s="25">
        <v>2.02</v>
      </c>
      <c r="AV151" s="25">
        <v>3.44</v>
      </c>
      <c r="AW151" s="25">
        <v>1.42</v>
      </c>
      <c r="AX151" s="25">
        <v>2.8733333333333331</v>
      </c>
      <c r="AY151">
        <v>2.8733333333333331</v>
      </c>
      <c r="AZ151">
        <v>6.6478994516666674</v>
      </c>
      <c r="BA151" s="75">
        <v>0.60918030397914924</v>
      </c>
      <c r="BB151" s="75">
        <v>0.6204447985828746</v>
      </c>
      <c r="BE151">
        <v>1.7607837047634339E-2</v>
      </c>
      <c r="BF151">
        <v>1.7933427655391649E-2</v>
      </c>
      <c r="BH151">
        <v>3.5541264703025988E-2</v>
      </c>
      <c r="BI151">
        <v>1.777063235151299E-2</v>
      </c>
      <c r="BJ151">
        <v>0.61481255128101187</v>
      </c>
    </row>
    <row r="152" spans="1:62" x14ac:dyDescent="0.3">
      <c r="A152" s="2" t="s">
        <v>129</v>
      </c>
      <c r="B152" s="13" t="s">
        <v>756</v>
      </c>
      <c r="C152" s="13"/>
      <c r="F152" s="2">
        <v>2.39</v>
      </c>
      <c r="G152" s="2" t="s">
        <v>133</v>
      </c>
      <c r="H152" s="9" t="s">
        <v>572</v>
      </c>
      <c r="I152" t="s">
        <v>650</v>
      </c>
      <c r="J152"/>
      <c r="L152" s="25">
        <v>4</v>
      </c>
      <c r="M152">
        <v>4</v>
      </c>
      <c r="N152">
        <v>0</v>
      </c>
      <c r="T152" s="25">
        <v>5.5026178200000002</v>
      </c>
      <c r="U152" s="25">
        <v>5.5582516699999998</v>
      </c>
      <c r="V152" s="25">
        <v>28.882220520000001</v>
      </c>
      <c r="W152">
        <v>5.4930000000000003</v>
      </c>
      <c r="X152">
        <v>5.4960000000000004</v>
      </c>
      <c r="Y152">
        <v>28.75</v>
      </c>
      <c r="Z152">
        <v>0</v>
      </c>
      <c r="AA152"/>
      <c r="AB152"/>
      <c r="AD152">
        <v>16</v>
      </c>
      <c r="AE152" s="55">
        <f t="shared" si="5"/>
        <v>0</v>
      </c>
      <c r="AF152" s="57">
        <v>883.36082823090169</v>
      </c>
      <c r="AG152" s="55">
        <v>867.94893000000013</v>
      </c>
      <c r="AH152" s="55">
        <v>0</v>
      </c>
      <c r="AI152" s="52"/>
      <c r="AJ152" s="51">
        <v>7.2450575070407169E-2</v>
      </c>
      <c r="AK152" s="52">
        <v>7.3737057317416116E-2</v>
      </c>
      <c r="AL152" s="52"/>
      <c r="AM152" s="28">
        <v>1.928571428571429</v>
      </c>
      <c r="AN152" s="28">
        <v>3.5</v>
      </c>
      <c r="AO152" s="28">
        <v>3.1428571428571428</v>
      </c>
      <c r="AP152" s="28">
        <v>4</v>
      </c>
      <c r="AQ152" s="28">
        <v>0.15340909090909091</v>
      </c>
      <c r="AR152" s="28">
        <v>0.27840909090909088</v>
      </c>
      <c r="AS152" s="28">
        <v>0.25</v>
      </c>
      <c r="AT152" s="28">
        <v>0.31818181818181818</v>
      </c>
      <c r="AU152" s="25">
        <v>1.6</v>
      </c>
      <c r="AV152" s="25">
        <v>3.44</v>
      </c>
      <c r="AW152" s="25">
        <v>1.84</v>
      </c>
      <c r="AX152" s="25">
        <v>2.882857142857143</v>
      </c>
      <c r="AY152">
        <v>2.882857142857143</v>
      </c>
      <c r="AZ152">
        <v>6.350050364285714</v>
      </c>
      <c r="BA152" s="75">
        <v>0.52239337321040458</v>
      </c>
      <c r="BB152" s="75">
        <v>0.53166934928012111</v>
      </c>
      <c r="BE152">
        <v>3.6225287535203578E-2</v>
      </c>
      <c r="BF152">
        <v>3.6868528658708058E-2</v>
      </c>
      <c r="BH152">
        <v>7.3093816193911643E-2</v>
      </c>
      <c r="BI152">
        <v>3.6546908096955821E-2</v>
      </c>
      <c r="BJ152">
        <v>0.52703136124526284</v>
      </c>
    </row>
    <row r="153" spans="1:62" x14ac:dyDescent="0.3">
      <c r="A153" s="2" t="s">
        <v>130</v>
      </c>
      <c r="B153" s="13" t="s">
        <v>757</v>
      </c>
      <c r="C153" s="13"/>
      <c r="F153" s="2">
        <v>2.2200000000000002</v>
      </c>
      <c r="G153" s="2" t="s">
        <v>133</v>
      </c>
      <c r="H153" s="9" t="s">
        <v>573</v>
      </c>
      <c r="I153">
        <v>-1</v>
      </c>
      <c r="J153"/>
      <c r="L153" s="25">
        <v>4</v>
      </c>
      <c r="M153">
        <v>0</v>
      </c>
      <c r="N153">
        <v>0</v>
      </c>
      <c r="T153" s="25">
        <v>5.5809040000000003</v>
      </c>
      <c r="U153" s="25">
        <v>5.6539380000000001</v>
      </c>
      <c r="V153" s="25">
        <v>29.812771999999999</v>
      </c>
      <c r="W153">
        <v>0</v>
      </c>
      <c r="X153"/>
      <c r="Y153"/>
      <c r="Z153">
        <v>0</v>
      </c>
      <c r="AA153"/>
      <c r="AB153"/>
      <c r="AD153">
        <v>16</v>
      </c>
      <c r="AE153" s="55">
        <f t="shared" si="5"/>
        <v>0</v>
      </c>
      <c r="AF153" s="57">
        <v>940.71474773474347</v>
      </c>
      <c r="AG153" s="55">
        <v>0</v>
      </c>
      <c r="AH153" s="55">
        <v>0</v>
      </c>
      <c r="AI153" s="52"/>
      <c r="AJ153" s="51">
        <v>6.8033375849706881E-2</v>
      </c>
      <c r="AK153" s="52"/>
      <c r="AL153" s="52"/>
      <c r="AM153" s="28">
        <v>1.928571428571429</v>
      </c>
      <c r="AN153" s="28">
        <v>3.5</v>
      </c>
      <c r="AO153" s="28">
        <v>3.8571428571428572</v>
      </c>
      <c r="AP153" s="28">
        <v>4</v>
      </c>
      <c r="AQ153" s="28">
        <v>0.1451612903225806</v>
      </c>
      <c r="AR153" s="28">
        <v>0.26344086021505381</v>
      </c>
      <c r="AS153" s="28">
        <v>0.29032258064516131</v>
      </c>
      <c r="AT153" s="28">
        <v>0.30107526881720431</v>
      </c>
      <c r="AU153" s="25">
        <v>1.6</v>
      </c>
      <c r="AV153" s="25">
        <v>3.44</v>
      </c>
      <c r="AW153" s="25">
        <v>1.84</v>
      </c>
      <c r="AX153" s="25">
        <v>2.8685714285714279</v>
      </c>
      <c r="AY153">
        <v>2.8685714285714279</v>
      </c>
      <c r="AZ153">
        <v>6.299944650714286</v>
      </c>
      <c r="BA153" s="75">
        <v>0.51496474224831645</v>
      </c>
      <c r="BE153">
        <v>3.4016687924853441E-2</v>
      </c>
      <c r="BH153">
        <v>6.8033375849706881E-2</v>
      </c>
      <c r="BI153">
        <v>3.4016687924853441E-2</v>
      </c>
      <c r="BJ153">
        <v>0.51496474224831645</v>
      </c>
    </row>
    <row r="154" spans="1:62" x14ac:dyDescent="0.3">
      <c r="A154" s="2" t="s">
        <v>131</v>
      </c>
      <c r="B154" s="13" t="s">
        <v>758</v>
      </c>
      <c r="C154" s="13"/>
      <c r="F154" s="2">
        <v>2.29</v>
      </c>
      <c r="G154" s="2" t="s">
        <v>133</v>
      </c>
      <c r="H154" s="9" t="s">
        <v>574</v>
      </c>
      <c r="I154" t="s">
        <v>651</v>
      </c>
      <c r="J154"/>
      <c r="L154" s="25">
        <v>1</v>
      </c>
      <c r="M154">
        <v>4</v>
      </c>
      <c r="N154">
        <v>0</v>
      </c>
      <c r="T154" s="25">
        <v>3.9070640000000001</v>
      </c>
      <c r="U154" s="25">
        <v>3.9070640000000001</v>
      </c>
      <c r="V154" s="25">
        <v>14.317354999999999</v>
      </c>
      <c r="W154">
        <v>5.4588999999999999</v>
      </c>
      <c r="X154">
        <v>5.5044000000000004</v>
      </c>
      <c r="Y154">
        <v>28.6998</v>
      </c>
      <c r="Z154">
        <v>0</v>
      </c>
      <c r="AA154"/>
      <c r="AB154"/>
      <c r="AD154">
        <v>16</v>
      </c>
      <c r="AE154" s="55">
        <f t="shared" si="5"/>
        <v>0</v>
      </c>
      <c r="AF154" s="57">
        <v>218.55655879400501</v>
      </c>
      <c r="AG154" s="55">
        <v>862.37070529816799</v>
      </c>
      <c r="AH154" s="55">
        <v>0</v>
      </c>
      <c r="AI154" s="52"/>
      <c r="AJ154" s="51">
        <v>7.320759481338833E-2</v>
      </c>
      <c r="AK154" s="52">
        <v>7.4214023745010863E-2</v>
      </c>
      <c r="AL154" s="52"/>
      <c r="AM154" s="28">
        <v>2</v>
      </c>
      <c r="AN154" s="28">
        <v>3.5</v>
      </c>
      <c r="AO154" s="28">
        <v>3.0714285714285721</v>
      </c>
      <c r="AP154" s="28">
        <v>5</v>
      </c>
      <c r="AQ154" s="28">
        <v>0.14736842105263159</v>
      </c>
      <c r="AR154" s="28">
        <v>0.25789473684210529</v>
      </c>
      <c r="AS154" s="28">
        <v>0.22631578947368419</v>
      </c>
      <c r="AT154" s="28">
        <v>0.36842105263157893</v>
      </c>
      <c r="AU154" s="25">
        <v>1.5</v>
      </c>
      <c r="AV154" s="25">
        <v>3.44</v>
      </c>
      <c r="AW154" s="25">
        <v>1.94</v>
      </c>
      <c r="AX154" s="25">
        <v>2.875714285714285</v>
      </c>
      <c r="AY154">
        <v>2.875714285714285</v>
      </c>
      <c r="AZ154">
        <v>6.3570658642857136</v>
      </c>
      <c r="BA154" s="75">
        <v>0.52785174392365897</v>
      </c>
      <c r="BB154" s="75">
        <v>0.53510844000890001</v>
      </c>
      <c r="BE154">
        <v>3.6603797406694158E-2</v>
      </c>
      <c r="BF154">
        <v>3.7107011872505431E-2</v>
      </c>
      <c r="BH154">
        <v>7.3710809279199596E-2</v>
      </c>
      <c r="BI154">
        <v>3.6855404639599798E-2</v>
      </c>
      <c r="BJ154">
        <v>0.53148009196627943</v>
      </c>
    </row>
    <row r="155" spans="1:62" x14ac:dyDescent="0.3">
      <c r="A155" s="2" t="s">
        <v>132</v>
      </c>
      <c r="B155" s="13" t="s">
        <v>759</v>
      </c>
      <c r="C155" s="13"/>
      <c r="F155" s="2">
        <v>2.27</v>
      </c>
      <c r="G155" s="2" t="s">
        <v>133</v>
      </c>
      <c r="H155" s="9" t="s">
        <v>575</v>
      </c>
      <c r="I155">
        <v>-1</v>
      </c>
      <c r="J155"/>
      <c r="L155" s="25">
        <v>4</v>
      </c>
      <c r="M155">
        <v>0</v>
      </c>
      <c r="N155">
        <v>0</v>
      </c>
      <c r="T155" s="25">
        <v>5.4952131800000004</v>
      </c>
      <c r="U155" s="25">
        <v>5.5421627200000003</v>
      </c>
      <c r="V155" s="25">
        <v>29.451395720000001</v>
      </c>
      <c r="W155">
        <v>0</v>
      </c>
      <c r="X155"/>
      <c r="Y155"/>
      <c r="Z155">
        <v>0</v>
      </c>
      <c r="AA155"/>
      <c r="AB155"/>
      <c r="AD155">
        <v>16</v>
      </c>
      <c r="AE155" s="55">
        <f t="shared" si="5"/>
        <v>0</v>
      </c>
      <c r="AF155" s="57">
        <v>896.95302480881253</v>
      </c>
      <c r="AG155" s="55">
        <v>0</v>
      </c>
      <c r="AH155" s="55">
        <v>0</v>
      </c>
      <c r="AI155" s="52"/>
      <c r="AJ155" s="51">
        <v>7.1352677598296457E-2</v>
      </c>
      <c r="AK155" s="52"/>
      <c r="AL155" s="52"/>
      <c r="AM155" s="28">
        <v>2</v>
      </c>
      <c r="AN155" s="28">
        <v>3.5</v>
      </c>
      <c r="AO155" s="28">
        <v>3.785714285714286</v>
      </c>
      <c r="AP155" s="28">
        <v>5</v>
      </c>
      <c r="AQ155" s="28">
        <v>0.14000000000000001</v>
      </c>
      <c r="AR155" s="28">
        <v>0.245</v>
      </c>
      <c r="AS155" s="28">
        <v>0.26500000000000001</v>
      </c>
      <c r="AT155" s="28">
        <v>0.35</v>
      </c>
      <c r="AU155" s="25">
        <v>1.5</v>
      </c>
      <c r="AV155" s="25">
        <v>3.44</v>
      </c>
      <c r="AW155" s="25">
        <v>1.94</v>
      </c>
      <c r="AX155" s="25">
        <v>2.8614285714285721</v>
      </c>
      <c r="AY155">
        <v>2.8614285714285712</v>
      </c>
      <c r="AZ155">
        <v>6.3069601507142856</v>
      </c>
      <c r="BA155" s="75">
        <v>0.54008951884595136</v>
      </c>
      <c r="BE155">
        <v>3.5676338799148229E-2</v>
      </c>
      <c r="BH155">
        <v>7.1352677598296457E-2</v>
      </c>
      <c r="BI155">
        <v>3.5676338799148229E-2</v>
      </c>
      <c r="BJ155">
        <v>0.54008951884595136</v>
      </c>
    </row>
    <row r="156" spans="1:62" x14ac:dyDescent="0.3">
      <c r="A156" s="2" t="s">
        <v>136</v>
      </c>
      <c r="B156" s="13" t="s">
        <v>760</v>
      </c>
      <c r="C156" s="13"/>
      <c r="F156" s="2">
        <v>3.8</v>
      </c>
      <c r="G156" s="2" t="s">
        <v>135</v>
      </c>
      <c r="H156" s="9">
        <v>-1</v>
      </c>
      <c r="I156">
        <v>-1</v>
      </c>
      <c r="J156" t="s">
        <v>1164</v>
      </c>
      <c r="L156" s="25">
        <v>0</v>
      </c>
      <c r="M156">
        <v>0</v>
      </c>
      <c r="N156">
        <v>1</v>
      </c>
      <c r="O156" s="2">
        <v>3.89</v>
      </c>
      <c r="P156" s="2">
        <v>3.89</v>
      </c>
      <c r="Q156" s="2">
        <v>10.34</v>
      </c>
      <c r="R156" s="2" t="s">
        <v>440</v>
      </c>
      <c r="T156" s="25">
        <v>0</v>
      </c>
      <c r="U156" s="25"/>
      <c r="V156" s="25"/>
      <c r="W156">
        <v>0</v>
      </c>
      <c r="X156"/>
      <c r="Y156"/>
      <c r="Z156">
        <v>3.88</v>
      </c>
      <c r="AA156">
        <v>3.88</v>
      </c>
      <c r="AB156">
        <v>10.66</v>
      </c>
      <c r="AC156" s="2">
        <v>2</v>
      </c>
      <c r="AD156">
        <v>14</v>
      </c>
      <c r="AE156" s="55">
        <f t="shared" si="5"/>
        <v>156.465914</v>
      </c>
      <c r="AF156" s="57">
        <v>0</v>
      </c>
      <c r="AG156" s="55">
        <v>0</v>
      </c>
      <c r="AH156" s="55">
        <v>160.479904</v>
      </c>
      <c r="AI156" s="52"/>
      <c r="AJ156" s="51"/>
      <c r="AK156" s="52"/>
      <c r="AL156" s="52">
        <v>8.7238337331009372E-2</v>
      </c>
      <c r="AM156" s="28">
        <v>1.9090909090909089</v>
      </c>
      <c r="AN156" s="28">
        <v>2.545454545454545</v>
      </c>
      <c r="AO156" s="28">
        <v>0.63636363636363635</v>
      </c>
      <c r="AP156" s="28">
        <v>2.545454545454545</v>
      </c>
      <c r="AQ156" s="28">
        <v>0.25</v>
      </c>
      <c r="AR156" s="28">
        <v>0.33333333333333331</v>
      </c>
      <c r="AS156" s="28">
        <v>8.3333333333333329E-2</v>
      </c>
      <c r="AT156" s="28">
        <v>0.33333333333333331</v>
      </c>
      <c r="AU156" s="25">
        <v>1.1000000000000001</v>
      </c>
      <c r="AV156" s="25">
        <v>3.44</v>
      </c>
      <c r="AW156" s="25">
        <v>2.34</v>
      </c>
      <c r="AX156" s="25">
        <v>2.7618181818181822</v>
      </c>
      <c r="AY156">
        <v>2.7618181818181822</v>
      </c>
      <c r="AZ156">
        <v>6.4448628590773636</v>
      </c>
      <c r="BC156" s="75">
        <v>0</v>
      </c>
      <c r="BG156">
        <v>4.3619168665504693E-2</v>
      </c>
      <c r="BH156">
        <v>8.7238337331009372E-2</v>
      </c>
      <c r="BI156">
        <v>4.3619168665504693E-2</v>
      </c>
      <c r="BJ156">
        <v>0</v>
      </c>
    </row>
    <row r="157" spans="1:62" x14ac:dyDescent="0.3">
      <c r="A157" s="2" t="s">
        <v>137</v>
      </c>
      <c r="B157" s="13" t="s">
        <v>761</v>
      </c>
      <c r="C157" s="13"/>
      <c r="F157" s="2">
        <v>3.85</v>
      </c>
      <c r="G157" s="2" t="s">
        <v>135</v>
      </c>
      <c r="H157" s="9" t="s">
        <v>576</v>
      </c>
      <c r="I157" t="s">
        <v>652</v>
      </c>
      <c r="J157"/>
      <c r="L157" s="25">
        <v>1</v>
      </c>
      <c r="M157">
        <v>2</v>
      </c>
      <c r="N157">
        <v>0</v>
      </c>
      <c r="O157" s="2">
        <v>3.85</v>
      </c>
      <c r="P157" s="2">
        <v>3.85</v>
      </c>
      <c r="Q157" s="2">
        <v>12.77</v>
      </c>
      <c r="R157" s="2" t="s">
        <v>440</v>
      </c>
      <c r="T157" s="25">
        <v>11.210029909999999</v>
      </c>
      <c r="U157" s="25">
        <v>11.210029909999999</v>
      </c>
      <c r="V157" s="25">
        <v>11.210029909999999</v>
      </c>
      <c r="W157">
        <v>3.8955000000000002</v>
      </c>
      <c r="X157">
        <v>3.8955000000000002</v>
      </c>
      <c r="Y157">
        <v>21.436</v>
      </c>
      <c r="Z157">
        <v>0</v>
      </c>
      <c r="AA157"/>
      <c r="AB157"/>
      <c r="AC157" s="2">
        <v>2</v>
      </c>
      <c r="AD157">
        <v>14</v>
      </c>
      <c r="AE157" s="55">
        <f t="shared" si="5"/>
        <v>189.28332500000002</v>
      </c>
      <c r="AF157" s="57">
        <v>167.3639996655379</v>
      </c>
      <c r="AG157" s="55">
        <v>325.28959047900003</v>
      </c>
      <c r="AH157" s="55">
        <v>0</v>
      </c>
      <c r="AI157" s="52"/>
      <c r="AJ157" s="51">
        <v>8.365000853216796E-2</v>
      </c>
      <c r="AK157" s="52">
        <v>8.607714731593176E-2</v>
      </c>
      <c r="AL157" s="52"/>
      <c r="AM157" s="28">
        <v>1.9090909090909089</v>
      </c>
      <c r="AN157" s="28">
        <v>2.545454545454545</v>
      </c>
      <c r="AO157" s="28">
        <v>0.63636363636363635</v>
      </c>
      <c r="AP157" s="28">
        <v>2.545454545454545</v>
      </c>
      <c r="AQ157" s="28">
        <v>0.25</v>
      </c>
      <c r="AR157" s="28">
        <v>0.33333333333333331</v>
      </c>
      <c r="AS157" s="28">
        <v>8.3333333333333329E-2</v>
      </c>
      <c r="AT157" s="28">
        <v>0.33333333333333331</v>
      </c>
      <c r="AU157" s="25">
        <v>0.93</v>
      </c>
      <c r="AV157" s="25">
        <v>3.44</v>
      </c>
      <c r="AW157" s="25">
        <v>2.5099999999999998</v>
      </c>
      <c r="AX157" s="25">
        <v>2.646363636363636</v>
      </c>
      <c r="AY157">
        <v>2.646363636363636</v>
      </c>
      <c r="AZ157">
        <v>6.0509524322727266</v>
      </c>
      <c r="BA157" s="75">
        <v>0.45356967584663088</v>
      </c>
      <c r="BB157" s="75">
        <v>0</v>
      </c>
      <c r="BE157">
        <v>4.1825004266083973E-2</v>
      </c>
      <c r="BF157">
        <v>4.303857365796588E-2</v>
      </c>
      <c r="BH157">
        <v>8.486357792404986E-2</v>
      </c>
      <c r="BI157">
        <v>4.243178896202493E-2</v>
      </c>
      <c r="BJ157">
        <v>0.22678483792331541</v>
      </c>
    </row>
    <row r="158" spans="1:62" x14ac:dyDescent="0.3">
      <c r="A158" s="2" t="s">
        <v>10</v>
      </c>
      <c r="B158" s="13" t="s">
        <v>695</v>
      </c>
      <c r="C158" s="13"/>
      <c r="F158" s="2">
        <v>3.9</v>
      </c>
      <c r="G158" s="2" t="s">
        <v>135</v>
      </c>
      <c r="H158" s="9" t="s">
        <v>531</v>
      </c>
      <c r="I158">
        <v>-1</v>
      </c>
      <c r="J158"/>
      <c r="L158" s="25">
        <v>1</v>
      </c>
      <c r="M158">
        <v>0</v>
      </c>
      <c r="N158">
        <v>0</v>
      </c>
      <c r="O158" s="2">
        <v>3.88</v>
      </c>
      <c r="P158" s="2">
        <v>3.88</v>
      </c>
      <c r="Q158" s="2">
        <v>11.07</v>
      </c>
      <c r="R158" s="2" t="s">
        <v>439</v>
      </c>
      <c r="T158" s="25">
        <v>3.9103940000000001</v>
      </c>
      <c r="U158" s="25">
        <v>3.9103940000000001</v>
      </c>
      <c r="V158" s="25">
        <v>11.314458</v>
      </c>
      <c r="W158">
        <v>0</v>
      </c>
      <c r="X158"/>
      <c r="Y158"/>
      <c r="Z158">
        <v>0</v>
      </c>
      <c r="AA158"/>
      <c r="AB158"/>
      <c r="AC158" s="2">
        <v>2</v>
      </c>
      <c r="AD158">
        <v>14</v>
      </c>
      <c r="AE158" s="55">
        <f t="shared" si="5"/>
        <v>166.652208</v>
      </c>
      <c r="AF158" s="57">
        <v>173.0114278564659</v>
      </c>
      <c r="AG158" s="55">
        <v>0</v>
      </c>
      <c r="AH158" s="55">
        <v>0</v>
      </c>
      <c r="AI158" s="52"/>
      <c r="AJ158" s="51">
        <v>8.0919510193365449E-2</v>
      </c>
      <c r="AK158" s="52"/>
      <c r="AL158" s="52"/>
      <c r="AM158" s="28">
        <v>1.9090909090909089</v>
      </c>
      <c r="AN158" s="28">
        <v>2.545454545454545</v>
      </c>
      <c r="AO158" s="28">
        <v>0.63636363636363635</v>
      </c>
      <c r="AP158" s="28">
        <v>2.545454545454545</v>
      </c>
      <c r="AQ158" s="28">
        <v>0.25</v>
      </c>
      <c r="AR158" s="28">
        <v>0.33333333333333331</v>
      </c>
      <c r="AS158" s="28">
        <v>8.3333333333333329E-2</v>
      </c>
      <c r="AT158" s="28">
        <v>0.33333333333333331</v>
      </c>
      <c r="AU158" s="25">
        <v>0.82</v>
      </c>
      <c r="AV158" s="25">
        <v>3.44</v>
      </c>
      <c r="AW158" s="25">
        <v>2.62</v>
      </c>
      <c r="AX158" s="25">
        <v>2.6363636363636358</v>
      </c>
      <c r="AY158">
        <v>2.6363636363636371</v>
      </c>
      <c r="AZ158">
        <v>6.0044088459090901</v>
      </c>
      <c r="BA158" s="75">
        <v>0.5117218936152963</v>
      </c>
      <c r="BE158">
        <v>4.0459755096682717E-2</v>
      </c>
      <c r="BH158">
        <v>8.0919510193365449E-2</v>
      </c>
      <c r="BI158">
        <v>4.0459755096682717E-2</v>
      </c>
      <c r="BJ158">
        <v>0.5117218936152963</v>
      </c>
    </row>
    <row r="159" spans="1:62" x14ac:dyDescent="0.3">
      <c r="A159" s="2" t="s">
        <v>138</v>
      </c>
      <c r="B159" s="13" t="s">
        <v>762</v>
      </c>
      <c r="C159" s="13"/>
      <c r="F159" s="2">
        <v>3.95</v>
      </c>
      <c r="G159" s="2" t="s">
        <v>135</v>
      </c>
      <c r="H159" s="9">
        <v>-1</v>
      </c>
      <c r="I159">
        <v>-1</v>
      </c>
      <c r="J159" t="s">
        <v>1165</v>
      </c>
      <c r="L159" s="25">
        <v>0</v>
      </c>
      <c r="M159">
        <v>0</v>
      </c>
      <c r="N159">
        <v>1</v>
      </c>
      <c r="O159" s="2">
        <v>3.88</v>
      </c>
      <c r="P159" s="2">
        <v>3.88</v>
      </c>
      <c r="Q159" s="2">
        <v>11.07</v>
      </c>
      <c r="R159" s="2" t="s">
        <v>439</v>
      </c>
      <c r="T159" s="25">
        <v>0</v>
      </c>
      <c r="U159" s="25"/>
      <c r="V159" s="25"/>
      <c r="W159">
        <v>0</v>
      </c>
      <c r="X159"/>
      <c r="Y159"/>
      <c r="Z159">
        <v>3.899</v>
      </c>
      <c r="AA159">
        <v>3.899</v>
      </c>
      <c r="AB159">
        <v>11.292</v>
      </c>
      <c r="AC159" s="2">
        <v>2</v>
      </c>
      <c r="AD159">
        <v>14</v>
      </c>
      <c r="AE159" s="55">
        <f t="shared" si="5"/>
        <v>166.652208</v>
      </c>
      <c r="AF159" s="57">
        <v>0</v>
      </c>
      <c r="AG159" s="55">
        <v>0</v>
      </c>
      <c r="AH159" s="55">
        <v>171.66325369200001</v>
      </c>
      <c r="AI159" s="52"/>
      <c r="AJ159" s="51"/>
      <c r="AK159" s="52"/>
      <c r="AL159" s="52">
        <v>8.1555019486691915E-2</v>
      </c>
      <c r="AM159" s="28">
        <v>1.9090909090909089</v>
      </c>
      <c r="AN159" s="28">
        <v>2.545454545454545</v>
      </c>
      <c r="AO159" s="28">
        <v>0.63636363636363635</v>
      </c>
      <c r="AP159" s="28">
        <v>2.545454545454545</v>
      </c>
      <c r="AQ159" s="28">
        <v>0.25</v>
      </c>
      <c r="AR159" s="28">
        <v>0.33333333333333331</v>
      </c>
      <c r="AS159" s="28">
        <v>8.3333333333333329E-2</v>
      </c>
      <c r="AT159" s="28">
        <v>0.33333333333333331</v>
      </c>
      <c r="AU159" s="25">
        <v>0.79</v>
      </c>
      <c r="AV159" s="25">
        <v>3.44</v>
      </c>
      <c r="AW159" s="25">
        <v>2.65</v>
      </c>
      <c r="AX159" s="25">
        <v>2.6336363636363629</v>
      </c>
      <c r="AY159">
        <v>2.6336363636363642</v>
      </c>
      <c r="AZ159">
        <v>5.9908857398831818</v>
      </c>
      <c r="BC159" s="75">
        <v>0.54881524259093173</v>
      </c>
      <c r="BG159">
        <v>4.0777509743345958E-2</v>
      </c>
      <c r="BH159">
        <v>8.1555019486691915E-2</v>
      </c>
      <c r="BI159">
        <v>4.0777509743345958E-2</v>
      </c>
      <c r="BJ159">
        <v>0.54881524259093173</v>
      </c>
    </row>
    <row r="160" spans="1:62" x14ac:dyDescent="0.3">
      <c r="A160" s="2" t="s">
        <v>139</v>
      </c>
      <c r="B160" s="13" t="s">
        <v>763</v>
      </c>
      <c r="C160" s="13"/>
      <c r="F160" s="2">
        <v>3.55</v>
      </c>
      <c r="G160" s="2" t="s">
        <v>135</v>
      </c>
      <c r="H160" s="9">
        <v>-1</v>
      </c>
      <c r="I160">
        <v>-1</v>
      </c>
      <c r="J160"/>
      <c r="K160" s="2">
        <v>1</v>
      </c>
      <c r="L160" s="25">
        <v>0</v>
      </c>
      <c r="M160">
        <v>0</v>
      </c>
      <c r="N160">
        <v>0</v>
      </c>
      <c r="O160" s="2">
        <v>3.9</v>
      </c>
      <c r="P160" s="2">
        <v>3.9</v>
      </c>
      <c r="Q160" s="2">
        <v>11.07</v>
      </c>
      <c r="R160" s="2" t="s">
        <v>519</v>
      </c>
      <c r="T160" s="25">
        <v>0</v>
      </c>
      <c r="U160" s="25"/>
      <c r="V160" s="25"/>
      <c r="W160">
        <v>0</v>
      </c>
      <c r="X160"/>
      <c r="Y160"/>
      <c r="Z160">
        <v>0</v>
      </c>
      <c r="AA160"/>
      <c r="AB160"/>
      <c r="AC160" s="2">
        <v>2</v>
      </c>
      <c r="AD160">
        <v>14</v>
      </c>
      <c r="AE160" s="55">
        <f t="shared" si="5"/>
        <v>168.37469999999999</v>
      </c>
      <c r="AF160" s="57">
        <v>0</v>
      </c>
      <c r="AG160" s="55">
        <v>0</v>
      </c>
      <c r="AH160" s="55">
        <v>0</v>
      </c>
      <c r="AI160" s="52">
        <f>K160*AD160/AE160</f>
        <v>8.3147883856660179E-2</v>
      </c>
      <c r="AJ160" s="51"/>
      <c r="AK160" s="52"/>
      <c r="AL160" s="52"/>
      <c r="AM160" s="28">
        <v>1.9090909090909089</v>
      </c>
      <c r="AN160" s="28">
        <v>2.545454545454545</v>
      </c>
      <c r="AO160" s="28">
        <v>0.54545454545454541</v>
      </c>
      <c r="AP160" s="28">
        <v>2.8181818181818179</v>
      </c>
      <c r="AQ160" s="28">
        <v>0.2441860465116279</v>
      </c>
      <c r="AR160" s="28">
        <v>0.32558139534883718</v>
      </c>
      <c r="AS160" s="28">
        <v>6.9767441860465115E-2</v>
      </c>
      <c r="AT160" s="28">
        <v>0.3604651162790698</v>
      </c>
      <c r="AU160" s="25">
        <v>1.1299999999999999</v>
      </c>
      <c r="AV160" s="25">
        <v>3.44</v>
      </c>
      <c r="AW160" s="25">
        <v>2.31</v>
      </c>
      <c r="AX160" s="25">
        <v>2.7645454545454542</v>
      </c>
      <c r="AY160">
        <v>2.7645454545454551</v>
      </c>
      <c r="AZ160">
        <v>6.4196350590773639</v>
      </c>
      <c r="BD160">
        <v>4.157394192833009E-2</v>
      </c>
      <c r="BH160">
        <v>8.3147883856660179E-2</v>
      </c>
      <c r="BI160">
        <v>4.157394192833009E-2</v>
      </c>
      <c r="BJ160">
        <v>0</v>
      </c>
    </row>
    <row r="161" spans="1:62" x14ac:dyDescent="0.3">
      <c r="A161" s="2" t="s">
        <v>140</v>
      </c>
      <c r="B161" s="13" t="s">
        <v>764</v>
      </c>
      <c r="C161" s="13"/>
      <c r="F161" s="2">
        <v>3.55</v>
      </c>
      <c r="G161" s="2" t="s">
        <v>135</v>
      </c>
      <c r="H161" s="9">
        <v>-1</v>
      </c>
      <c r="I161">
        <v>-1</v>
      </c>
      <c r="J161"/>
      <c r="K161" s="2">
        <v>1</v>
      </c>
      <c r="L161" s="25">
        <v>0</v>
      </c>
      <c r="M161">
        <v>0</v>
      </c>
      <c r="N161">
        <v>0</v>
      </c>
      <c r="O161" s="2">
        <v>3.88</v>
      </c>
      <c r="P161" s="2">
        <v>3.88</v>
      </c>
      <c r="Q161" s="2">
        <v>11.297000000000001</v>
      </c>
      <c r="R161" s="2" t="s">
        <v>439</v>
      </c>
      <c r="T161" s="25">
        <v>0</v>
      </c>
      <c r="U161" s="25"/>
      <c r="V161" s="25"/>
      <c r="W161">
        <v>0</v>
      </c>
      <c r="X161"/>
      <c r="Y161"/>
      <c r="Z161">
        <v>0</v>
      </c>
      <c r="AA161"/>
      <c r="AB161"/>
      <c r="AC161" s="2">
        <v>2</v>
      </c>
      <c r="AD161">
        <v>14</v>
      </c>
      <c r="AE161" s="55">
        <f t="shared" si="5"/>
        <v>170.06955680000002</v>
      </c>
      <c r="AF161" s="57">
        <v>0</v>
      </c>
      <c r="AG161" s="55">
        <v>0</v>
      </c>
      <c r="AH161" s="55">
        <v>0</v>
      </c>
      <c r="AI161" s="52">
        <f>K161*AD161/AE161</f>
        <v>8.2319259621896068E-2</v>
      </c>
      <c r="AJ161" s="51"/>
      <c r="AK161" s="52"/>
      <c r="AL161" s="52"/>
      <c r="AM161" s="28">
        <v>1.9090909090909089</v>
      </c>
      <c r="AN161" s="28">
        <v>2.545454545454545</v>
      </c>
      <c r="AO161" s="28">
        <v>0.54545454545454541</v>
      </c>
      <c r="AP161" s="28">
        <v>2.8181818181818179</v>
      </c>
      <c r="AQ161" s="28">
        <v>0.2441860465116279</v>
      </c>
      <c r="AR161" s="28">
        <v>0.32558139534883718</v>
      </c>
      <c r="AS161" s="28">
        <v>6.9767441860465115E-2</v>
      </c>
      <c r="AT161" s="28">
        <v>0.3604651162790698</v>
      </c>
      <c r="AU161" s="25">
        <v>0.93</v>
      </c>
      <c r="AV161" s="25">
        <v>3.44</v>
      </c>
      <c r="AW161" s="25">
        <v>2.5099999999999998</v>
      </c>
      <c r="AX161" s="25">
        <v>2.6490909090909089</v>
      </c>
      <c r="AY161">
        <v>2.6490909090909081</v>
      </c>
      <c r="AZ161">
        <v>6.0257246322727269</v>
      </c>
      <c r="BD161">
        <v>4.1159629810948027E-2</v>
      </c>
      <c r="BH161">
        <v>8.2319259621896068E-2</v>
      </c>
      <c r="BI161">
        <v>4.1159629810948027E-2</v>
      </c>
      <c r="BJ161">
        <v>0</v>
      </c>
    </row>
    <row r="162" spans="1:62" x14ac:dyDescent="0.3">
      <c r="A162" s="2" t="s">
        <v>11</v>
      </c>
      <c r="B162" s="13" t="s">
        <v>696</v>
      </c>
      <c r="C162" s="13"/>
      <c r="F162" s="2">
        <v>3.55</v>
      </c>
      <c r="G162" s="2" t="s">
        <v>135</v>
      </c>
      <c r="H162" s="9">
        <v>-1</v>
      </c>
      <c r="I162">
        <v>-1</v>
      </c>
      <c r="J162" t="s">
        <v>1144</v>
      </c>
      <c r="K162" s="2">
        <v>1</v>
      </c>
      <c r="L162" s="25">
        <v>0</v>
      </c>
      <c r="M162">
        <v>0</v>
      </c>
      <c r="N162">
        <v>1</v>
      </c>
      <c r="O162" s="2">
        <v>3.88</v>
      </c>
      <c r="P162" s="2">
        <v>3.88</v>
      </c>
      <c r="Q162" s="2">
        <v>10.647</v>
      </c>
      <c r="R162" s="2" t="s">
        <v>439</v>
      </c>
      <c r="T162" s="25">
        <v>0</v>
      </c>
      <c r="U162" s="25"/>
      <c r="V162" s="25"/>
      <c r="W162">
        <v>0</v>
      </c>
      <c r="X162"/>
      <c r="Y162"/>
      <c r="Z162">
        <v>3.8653</v>
      </c>
      <c r="AA162">
        <v>3.8653</v>
      </c>
      <c r="AB162">
        <v>11.0131</v>
      </c>
      <c r="AC162" s="2">
        <v>2</v>
      </c>
      <c r="AD162">
        <v>14</v>
      </c>
      <c r="AE162" s="55">
        <f t="shared" si="5"/>
        <v>160.28419679999999</v>
      </c>
      <c r="AF162" s="57">
        <v>0</v>
      </c>
      <c r="AG162" s="55">
        <v>0</v>
      </c>
      <c r="AH162" s="55">
        <v>164.541706117579</v>
      </c>
      <c r="AI162" s="52">
        <f>K162*AD162/AE162</f>
        <v>8.7344855447408651E-2</v>
      </c>
      <c r="AJ162" s="51"/>
      <c r="AK162" s="52"/>
      <c r="AL162" s="52">
        <v>8.5084811202795069E-2</v>
      </c>
      <c r="AM162" s="28">
        <v>1.9090909090909089</v>
      </c>
      <c r="AN162" s="28">
        <v>2.545454545454545</v>
      </c>
      <c r="AO162" s="28">
        <v>0.54545454545454541</v>
      </c>
      <c r="AP162" s="28">
        <v>2.8181818181818179</v>
      </c>
      <c r="AQ162" s="28">
        <v>0.2441860465116279</v>
      </c>
      <c r="AR162" s="28">
        <v>0.32558139534883718</v>
      </c>
      <c r="AS162" s="28">
        <v>6.9767441860465115E-2</v>
      </c>
      <c r="AT162" s="28">
        <v>0.3604651162790698</v>
      </c>
      <c r="AU162" s="25">
        <v>0.82</v>
      </c>
      <c r="AV162" s="25">
        <v>3.44</v>
      </c>
      <c r="AW162" s="25">
        <v>2.62</v>
      </c>
      <c r="AX162" s="25">
        <v>2.6390909090909092</v>
      </c>
      <c r="AY162">
        <v>2.6390909090909092</v>
      </c>
      <c r="AZ162">
        <v>5.9791810459090904</v>
      </c>
      <c r="BC162" s="75">
        <v>0.53381265134868672</v>
      </c>
      <c r="BD162">
        <v>4.3672427723704332E-2</v>
      </c>
      <c r="BG162">
        <v>4.2542405601397527E-2</v>
      </c>
      <c r="BH162">
        <v>8.6214833325101853E-2</v>
      </c>
      <c r="BI162">
        <v>4.3107416662550933E-2</v>
      </c>
      <c r="BJ162">
        <v>0.53381265134868672</v>
      </c>
    </row>
    <row r="163" spans="1:62" x14ac:dyDescent="0.3">
      <c r="A163" s="2" t="s">
        <v>141</v>
      </c>
      <c r="B163" s="13" t="s">
        <v>765</v>
      </c>
      <c r="C163" s="13"/>
      <c r="F163" s="2">
        <v>3.55</v>
      </c>
      <c r="G163" s="2" t="s">
        <v>135</v>
      </c>
      <c r="H163" s="9">
        <v>-1</v>
      </c>
      <c r="I163">
        <v>-1</v>
      </c>
      <c r="J163"/>
      <c r="K163" s="2">
        <v>1</v>
      </c>
      <c r="L163" s="25">
        <v>0</v>
      </c>
      <c r="M163">
        <v>0</v>
      </c>
      <c r="N163">
        <v>0</v>
      </c>
      <c r="O163" s="2">
        <v>3.88</v>
      </c>
      <c r="P163" s="2">
        <v>3.88</v>
      </c>
      <c r="Q163" s="2">
        <v>11.066000000000001</v>
      </c>
      <c r="R163" s="2" t="s">
        <v>439</v>
      </c>
      <c r="T163" s="25">
        <v>0</v>
      </c>
      <c r="U163" s="25"/>
      <c r="V163" s="25"/>
      <c r="W163">
        <v>0</v>
      </c>
      <c r="X163"/>
      <c r="Y163"/>
      <c r="Z163">
        <v>0</v>
      </c>
      <c r="AA163"/>
      <c r="AB163"/>
      <c r="AC163" s="2">
        <v>2</v>
      </c>
      <c r="AD163">
        <v>14</v>
      </c>
      <c r="AE163" s="55">
        <f t="shared" si="5"/>
        <v>166.59199040000001</v>
      </c>
      <c r="AF163" s="57">
        <v>0</v>
      </c>
      <c r="AG163" s="55">
        <v>0</v>
      </c>
      <c r="AH163" s="55">
        <v>0</v>
      </c>
      <c r="AI163" s="52">
        <f>K163*AD163/AE163</f>
        <v>8.4037653709430671E-2</v>
      </c>
      <c r="AJ163" s="51"/>
      <c r="AK163" s="52"/>
      <c r="AL163" s="52"/>
      <c r="AM163" s="28">
        <v>1.9090909090909089</v>
      </c>
      <c r="AN163" s="28">
        <v>2.545454545454545</v>
      </c>
      <c r="AO163" s="28">
        <v>0.54545454545454541</v>
      </c>
      <c r="AP163" s="28">
        <v>2.8181818181818179</v>
      </c>
      <c r="AQ163" s="28">
        <v>0.2441860465116279</v>
      </c>
      <c r="AR163" s="28">
        <v>0.32558139534883718</v>
      </c>
      <c r="AS163" s="28">
        <v>6.9767441860465115E-2</v>
      </c>
      <c r="AT163" s="28">
        <v>0.3604651162790698</v>
      </c>
      <c r="AU163" s="25">
        <v>0.79</v>
      </c>
      <c r="AV163" s="25">
        <v>3.44</v>
      </c>
      <c r="AW163" s="25">
        <v>2.65</v>
      </c>
      <c r="AX163" s="25">
        <v>2.6363636363636358</v>
      </c>
      <c r="AY163">
        <v>2.6363636363636358</v>
      </c>
      <c r="AZ163">
        <v>5.9656579398831813</v>
      </c>
      <c r="BD163">
        <v>4.2018826854715342E-2</v>
      </c>
      <c r="BH163">
        <v>8.4037653709430671E-2</v>
      </c>
      <c r="BI163">
        <v>4.2018826854715342E-2</v>
      </c>
      <c r="BJ163">
        <v>0</v>
      </c>
    </row>
    <row r="164" spans="1:62" x14ac:dyDescent="0.3">
      <c r="A164" s="2" t="s">
        <v>142</v>
      </c>
      <c r="B164" s="13" t="s">
        <v>766</v>
      </c>
      <c r="C164" s="13"/>
      <c r="F164" s="2">
        <v>4.2</v>
      </c>
      <c r="G164" s="2" t="s">
        <v>135</v>
      </c>
      <c r="H164" s="9">
        <v>-1</v>
      </c>
      <c r="I164">
        <v>-1</v>
      </c>
      <c r="J164"/>
      <c r="K164" s="2">
        <v>1</v>
      </c>
      <c r="L164" s="25">
        <v>0</v>
      </c>
      <c r="M164">
        <v>0</v>
      </c>
      <c r="N164">
        <v>0</v>
      </c>
      <c r="O164" s="2">
        <v>3.92</v>
      </c>
      <c r="P164" s="2">
        <v>3.92</v>
      </c>
      <c r="Q164" s="2">
        <v>11.065</v>
      </c>
      <c r="R164" s="2" t="s">
        <v>439</v>
      </c>
      <c r="T164" s="25">
        <v>0</v>
      </c>
      <c r="U164" s="25"/>
      <c r="V164" s="25"/>
      <c r="W164">
        <v>0</v>
      </c>
      <c r="X164"/>
      <c r="Y164"/>
      <c r="Z164">
        <v>0</v>
      </c>
      <c r="AA164"/>
      <c r="AB164"/>
      <c r="AC164" s="2">
        <v>2</v>
      </c>
      <c r="AD164">
        <v>14</v>
      </c>
      <c r="AE164" s="55">
        <f t="shared" si="5"/>
        <v>170.02921599999999</v>
      </c>
      <c r="AF164" s="57">
        <v>0</v>
      </c>
      <c r="AG164" s="55">
        <v>0</v>
      </c>
      <c r="AH164" s="55">
        <v>0</v>
      </c>
      <c r="AI164" s="52">
        <f t="shared" ref="AI164:AI171" si="6">K164*AD164/AE164</f>
        <v>8.2338790528799485E-2</v>
      </c>
      <c r="AJ164" s="51"/>
      <c r="AK164" s="52"/>
      <c r="AL164" s="52"/>
      <c r="AM164" s="28">
        <v>1.9090909090909089</v>
      </c>
      <c r="AN164" s="28">
        <v>2.545454545454545</v>
      </c>
      <c r="AO164" s="28">
        <v>0.54545454545454541</v>
      </c>
      <c r="AP164" s="28">
        <v>2.9090909090909092</v>
      </c>
      <c r="AQ164" s="28">
        <v>0.2413793103448276</v>
      </c>
      <c r="AR164" s="28">
        <v>0.32183908045977011</v>
      </c>
      <c r="AS164" s="28">
        <v>6.8965517241379309E-2</v>
      </c>
      <c r="AT164" s="28">
        <v>0.36781609195402298</v>
      </c>
      <c r="AU164" s="25">
        <v>1.1399999999999999</v>
      </c>
      <c r="AV164" s="25">
        <v>3.44</v>
      </c>
      <c r="AW164" s="25">
        <v>2.2999999999999998</v>
      </c>
      <c r="AX164" s="25">
        <v>2.7654545454545452</v>
      </c>
      <c r="AY164">
        <v>2.7654545454545461</v>
      </c>
      <c r="AZ164">
        <v>6.4215922727137267</v>
      </c>
      <c r="BD164">
        <v>4.1169395264399743E-2</v>
      </c>
      <c r="BH164">
        <v>8.2338790528799485E-2</v>
      </c>
      <c r="BI164">
        <v>4.1169395264399743E-2</v>
      </c>
      <c r="BJ164">
        <v>0</v>
      </c>
    </row>
    <row r="165" spans="1:62" x14ac:dyDescent="0.3">
      <c r="A165" s="2" t="s">
        <v>143</v>
      </c>
      <c r="B165" s="13" t="s">
        <v>767</v>
      </c>
      <c r="C165" s="13"/>
      <c r="F165" s="2">
        <v>4.1500000000000004</v>
      </c>
      <c r="G165" s="2" t="s">
        <v>135</v>
      </c>
      <c r="H165" s="9">
        <v>-1</v>
      </c>
      <c r="I165">
        <v>-1</v>
      </c>
      <c r="J165"/>
      <c r="K165" s="2">
        <v>1</v>
      </c>
      <c r="L165" s="25">
        <v>0</v>
      </c>
      <c r="M165">
        <v>0</v>
      </c>
      <c r="N165">
        <v>0</v>
      </c>
      <c r="O165" s="2">
        <v>3.92</v>
      </c>
      <c r="P165" s="2">
        <v>3.92</v>
      </c>
      <c r="Q165" s="2">
        <v>11.7911</v>
      </c>
      <c r="R165" s="2" t="s">
        <v>439</v>
      </c>
      <c r="T165" s="25">
        <v>0</v>
      </c>
      <c r="U165" s="25"/>
      <c r="V165" s="25"/>
      <c r="W165">
        <v>0</v>
      </c>
      <c r="X165"/>
      <c r="Y165"/>
      <c r="Z165">
        <v>0</v>
      </c>
      <c r="AA165"/>
      <c r="AB165"/>
      <c r="AC165" s="2">
        <v>2</v>
      </c>
      <c r="AD165">
        <v>14</v>
      </c>
      <c r="AE165" s="55">
        <f t="shared" si="5"/>
        <v>181.18675904</v>
      </c>
      <c r="AF165" s="57">
        <v>0</v>
      </c>
      <c r="AG165" s="55">
        <v>0</v>
      </c>
      <c r="AH165" s="55">
        <v>0</v>
      </c>
      <c r="AI165" s="52">
        <f t="shared" si="6"/>
        <v>7.7268339442559744E-2</v>
      </c>
      <c r="AJ165" s="51"/>
      <c r="AK165" s="52"/>
      <c r="AL165" s="52"/>
      <c r="AM165" s="28">
        <v>1.9090909090909089</v>
      </c>
      <c r="AN165" s="28">
        <v>2.545454545454545</v>
      </c>
      <c r="AO165" s="28">
        <v>0.54545454545454541</v>
      </c>
      <c r="AP165" s="28">
        <v>2.9090909090909092</v>
      </c>
      <c r="AQ165" s="28">
        <v>0.2413793103448276</v>
      </c>
      <c r="AR165" s="28">
        <v>0.32183908045977011</v>
      </c>
      <c r="AS165" s="28">
        <v>6.8965517241379309E-2</v>
      </c>
      <c r="AT165" s="28">
        <v>0.36781609195402298</v>
      </c>
      <c r="AU165" s="25">
        <v>0.93</v>
      </c>
      <c r="AV165" s="25">
        <v>3.44</v>
      </c>
      <c r="AW165" s="25">
        <v>2.5099999999999998</v>
      </c>
      <c r="AX165" s="25">
        <v>2.65</v>
      </c>
      <c r="AY165">
        <v>2.649999999999999</v>
      </c>
      <c r="AZ165">
        <v>6.0276818459090906</v>
      </c>
      <c r="BD165">
        <v>3.8634169721279872E-2</v>
      </c>
      <c r="BH165">
        <v>7.7268339442559744E-2</v>
      </c>
      <c r="BI165">
        <v>3.8634169721279872E-2</v>
      </c>
      <c r="BJ165">
        <v>0</v>
      </c>
    </row>
    <row r="166" spans="1:62" x14ac:dyDescent="0.3">
      <c r="A166" s="2" t="s">
        <v>12</v>
      </c>
      <c r="B166" s="13" t="s">
        <v>697</v>
      </c>
      <c r="C166" s="13"/>
      <c r="F166" s="2">
        <v>4.1500000000000004</v>
      </c>
      <c r="G166" s="2" t="s">
        <v>135</v>
      </c>
      <c r="H166" s="9">
        <v>-1</v>
      </c>
      <c r="I166">
        <v>-1</v>
      </c>
      <c r="J166"/>
      <c r="K166" s="2">
        <v>1</v>
      </c>
      <c r="L166" s="25">
        <v>0</v>
      </c>
      <c r="M166">
        <v>0</v>
      </c>
      <c r="N166">
        <v>0</v>
      </c>
      <c r="O166" s="2">
        <v>3.92</v>
      </c>
      <c r="P166" s="2">
        <v>3.92</v>
      </c>
      <c r="Q166" s="2">
        <v>11.5395</v>
      </c>
      <c r="R166" s="2" t="s">
        <v>439</v>
      </c>
      <c r="T166" s="25">
        <v>0</v>
      </c>
      <c r="U166" s="25"/>
      <c r="V166" s="25"/>
      <c r="W166">
        <v>0</v>
      </c>
      <c r="X166"/>
      <c r="Y166"/>
      <c r="Z166">
        <v>0</v>
      </c>
      <c r="AA166"/>
      <c r="AB166"/>
      <c r="AC166" s="2">
        <v>2</v>
      </c>
      <c r="AD166">
        <v>14</v>
      </c>
      <c r="AE166" s="55">
        <f t="shared" si="5"/>
        <v>177.32057279999998</v>
      </c>
      <c r="AF166" s="57">
        <v>0</v>
      </c>
      <c r="AG166" s="55">
        <v>0</v>
      </c>
      <c r="AH166" s="55">
        <v>0</v>
      </c>
      <c r="AI166" s="52">
        <f t="shared" si="6"/>
        <v>7.8953049716293272E-2</v>
      </c>
      <c r="AJ166" s="51"/>
      <c r="AK166" s="52"/>
      <c r="AL166" s="52"/>
      <c r="AM166" s="28">
        <v>1.9090909090909089</v>
      </c>
      <c r="AN166" s="28">
        <v>2.545454545454545</v>
      </c>
      <c r="AO166" s="28">
        <v>0.54545454545454541</v>
      </c>
      <c r="AP166" s="28">
        <v>2.9090909090909092</v>
      </c>
      <c r="AQ166" s="28">
        <v>0.2413793103448276</v>
      </c>
      <c r="AR166" s="28">
        <v>0.32183908045977011</v>
      </c>
      <c r="AS166" s="28">
        <v>6.8965517241379309E-2</v>
      </c>
      <c r="AT166" s="28">
        <v>0.36781609195402298</v>
      </c>
      <c r="AU166" s="25">
        <v>0.82</v>
      </c>
      <c r="AV166" s="25">
        <v>3.44</v>
      </c>
      <c r="AW166" s="25">
        <v>2.62</v>
      </c>
      <c r="AX166" s="25">
        <v>2.64</v>
      </c>
      <c r="AY166">
        <v>2.64</v>
      </c>
      <c r="AZ166">
        <v>5.9811382595454541</v>
      </c>
      <c r="BD166">
        <v>3.9476524858146643E-2</v>
      </c>
      <c r="BH166">
        <v>7.8953049716293272E-2</v>
      </c>
      <c r="BI166">
        <v>3.9476524858146643E-2</v>
      </c>
      <c r="BJ166">
        <v>0</v>
      </c>
    </row>
    <row r="167" spans="1:62" x14ac:dyDescent="0.3">
      <c r="A167" s="2" t="s">
        <v>144</v>
      </c>
      <c r="B167" s="13" t="s">
        <v>768</v>
      </c>
      <c r="C167" s="13"/>
      <c r="F167" s="2">
        <v>4.1500000000000004</v>
      </c>
      <c r="G167" s="2" t="s">
        <v>135</v>
      </c>
      <c r="H167" s="9">
        <v>-1</v>
      </c>
      <c r="I167">
        <v>-1</v>
      </c>
      <c r="J167"/>
      <c r="K167" s="2">
        <v>1</v>
      </c>
      <c r="L167" s="25">
        <v>0</v>
      </c>
      <c r="M167">
        <v>0</v>
      </c>
      <c r="N167">
        <v>0</v>
      </c>
      <c r="O167" s="2">
        <v>3.84</v>
      </c>
      <c r="P167" s="2">
        <v>3.84</v>
      </c>
      <c r="Q167" s="2">
        <v>11.5395</v>
      </c>
      <c r="R167" s="2" t="s">
        <v>439</v>
      </c>
      <c r="T167" s="25">
        <v>0</v>
      </c>
      <c r="U167" s="25"/>
      <c r="V167" s="25"/>
      <c r="W167">
        <v>0</v>
      </c>
      <c r="X167"/>
      <c r="Y167"/>
      <c r="Z167">
        <v>0</v>
      </c>
      <c r="AA167"/>
      <c r="AB167"/>
      <c r="AC167" s="2">
        <v>2</v>
      </c>
      <c r="AD167">
        <v>14</v>
      </c>
      <c r="AE167" s="55">
        <f t="shared" si="5"/>
        <v>170.15685120000001</v>
      </c>
      <c r="AF167" s="57">
        <v>0</v>
      </c>
      <c r="AG167" s="55">
        <v>0</v>
      </c>
      <c r="AH167" s="55">
        <v>0</v>
      </c>
      <c r="AI167" s="52">
        <f t="shared" si="6"/>
        <v>8.2277027937855962E-2</v>
      </c>
      <c r="AJ167" s="51"/>
      <c r="AK167" s="52"/>
      <c r="AL167" s="52"/>
      <c r="AM167" s="28">
        <v>1.9090909090909089</v>
      </c>
      <c r="AN167" s="28">
        <v>2.545454545454545</v>
      </c>
      <c r="AO167" s="28">
        <v>0.54545454545454541</v>
      </c>
      <c r="AP167" s="28">
        <v>2.9090909090909092</v>
      </c>
      <c r="AQ167" s="28">
        <v>0.2413793103448276</v>
      </c>
      <c r="AR167" s="28">
        <v>0.32183908045977011</v>
      </c>
      <c r="AS167" s="28">
        <v>6.8965517241379309E-2</v>
      </c>
      <c r="AT167" s="28">
        <v>0.36781609195402298</v>
      </c>
      <c r="AU167" s="25">
        <v>0.79</v>
      </c>
      <c r="AV167" s="25">
        <v>3.44</v>
      </c>
      <c r="AW167" s="25">
        <v>2.65</v>
      </c>
      <c r="AX167" s="25">
        <v>2.6372727272727272</v>
      </c>
      <c r="AY167">
        <v>2.6372727272727272</v>
      </c>
      <c r="AZ167">
        <v>5.967615153519545</v>
      </c>
      <c r="BD167">
        <v>4.1138513968927981E-2</v>
      </c>
      <c r="BH167">
        <v>8.2277027937855962E-2</v>
      </c>
      <c r="BI167">
        <v>4.1138513968927981E-2</v>
      </c>
      <c r="BJ167">
        <v>0</v>
      </c>
    </row>
    <row r="168" spans="1:62" x14ac:dyDescent="0.3">
      <c r="A168" s="2" t="s">
        <v>145</v>
      </c>
      <c r="B168" s="13" t="s">
        <v>769</v>
      </c>
      <c r="C168" s="13"/>
      <c r="F168" s="2">
        <v>4.1500000000000004</v>
      </c>
      <c r="G168" s="2" t="s">
        <v>135</v>
      </c>
      <c r="H168" s="9">
        <v>-1</v>
      </c>
      <c r="I168">
        <v>-1</v>
      </c>
      <c r="J168"/>
      <c r="K168" s="2">
        <v>1</v>
      </c>
      <c r="L168" s="25">
        <v>0</v>
      </c>
      <c r="M168">
        <v>0</v>
      </c>
      <c r="N168">
        <v>0</v>
      </c>
      <c r="O168" s="2">
        <v>3.85</v>
      </c>
      <c r="P168" s="2">
        <v>3.85</v>
      </c>
      <c r="Q168" s="2">
        <v>10.95</v>
      </c>
      <c r="R168" s="2" t="s">
        <v>439</v>
      </c>
      <c r="T168" s="25">
        <v>0</v>
      </c>
      <c r="U168" s="25"/>
      <c r="V168" s="25"/>
      <c r="W168">
        <v>0</v>
      </c>
      <c r="X168"/>
      <c r="Y168"/>
      <c r="Z168">
        <v>0</v>
      </c>
      <c r="AA168"/>
      <c r="AB168"/>
      <c r="AC168" s="2">
        <v>2</v>
      </c>
      <c r="AD168">
        <v>14</v>
      </c>
      <c r="AE168" s="55">
        <f t="shared" si="5"/>
        <v>162.306375</v>
      </c>
      <c r="AF168" s="57">
        <v>0</v>
      </c>
      <c r="AG168" s="55">
        <v>0</v>
      </c>
      <c r="AH168" s="55">
        <v>0</v>
      </c>
      <c r="AI168" s="52">
        <f t="shared" si="6"/>
        <v>8.6256624239189617E-2</v>
      </c>
      <c r="AJ168" s="51"/>
      <c r="AK168" s="52"/>
      <c r="AL168" s="52"/>
      <c r="AM168" s="28">
        <v>1.9090909090909089</v>
      </c>
      <c r="AN168" s="28">
        <v>2.545454545454545</v>
      </c>
      <c r="AO168" s="28">
        <v>0.54545454545454541</v>
      </c>
      <c r="AP168" s="28">
        <v>3.0909090909090908</v>
      </c>
      <c r="AQ168" s="28">
        <v>0.2359550561797753</v>
      </c>
      <c r="AR168" s="28">
        <v>0.3146067415730337</v>
      </c>
      <c r="AS168" s="28">
        <v>6.7415730337078636E-2</v>
      </c>
      <c r="AT168" s="28">
        <v>0.38202247191011229</v>
      </c>
      <c r="AU168" s="25">
        <v>1.17</v>
      </c>
      <c r="AV168" s="25">
        <v>3.44</v>
      </c>
      <c r="AW168" s="25">
        <v>2.27</v>
      </c>
      <c r="AX168" s="25">
        <v>2.7681818181818181</v>
      </c>
      <c r="AY168">
        <v>2.768181818181819</v>
      </c>
      <c r="AZ168">
        <v>6.4299203045319091</v>
      </c>
      <c r="BD168">
        <v>4.3128312119594808E-2</v>
      </c>
      <c r="BH168">
        <v>8.6256624239189617E-2</v>
      </c>
      <c r="BI168">
        <v>4.3128312119594808E-2</v>
      </c>
      <c r="BJ168">
        <v>0</v>
      </c>
    </row>
    <row r="169" spans="1:62" x14ac:dyDescent="0.3">
      <c r="A169" s="2" t="s">
        <v>146</v>
      </c>
      <c r="B169" s="13" t="s">
        <v>770</v>
      </c>
      <c r="C169" s="13"/>
      <c r="F169" s="2">
        <v>4.25</v>
      </c>
      <c r="G169" s="2" t="s">
        <v>135</v>
      </c>
      <c r="H169" s="9">
        <v>-1</v>
      </c>
      <c r="I169">
        <v>-1</v>
      </c>
      <c r="J169"/>
      <c r="K169" s="2">
        <v>1</v>
      </c>
      <c r="L169" s="25">
        <v>0</v>
      </c>
      <c r="M169">
        <v>0</v>
      </c>
      <c r="N169">
        <v>0</v>
      </c>
      <c r="O169" s="2">
        <v>3.88</v>
      </c>
      <c r="P169" s="2">
        <v>3.88</v>
      </c>
      <c r="Q169" s="2">
        <v>11.54</v>
      </c>
      <c r="R169" s="2" t="s">
        <v>439</v>
      </c>
      <c r="T169" s="25">
        <v>0</v>
      </c>
      <c r="U169" s="25"/>
      <c r="V169" s="25"/>
      <c r="W169">
        <v>0</v>
      </c>
      <c r="X169"/>
      <c r="Y169"/>
      <c r="Z169">
        <v>0</v>
      </c>
      <c r="AA169"/>
      <c r="AB169"/>
      <c r="AC169" s="2">
        <v>2</v>
      </c>
      <c r="AD169">
        <v>14</v>
      </c>
      <c r="AE169" s="55">
        <f t="shared" si="5"/>
        <v>173.72777599999998</v>
      </c>
      <c r="AF169" s="57">
        <v>0</v>
      </c>
      <c r="AG169" s="55">
        <v>0</v>
      </c>
      <c r="AH169" s="55">
        <v>0</v>
      </c>
      <c r="AI169" s="52">
        <f t="shared" si="6"/>
        <v>8.0585847135923747E-2</v>
      </c>
      <c r="AJ169" s="51"/>
      <c r="AK169" s="52"/>
      <c r="AL169" s="52"/>
      <c r="AM169" s="28">
        <v>1.9090909090909089</v>
      </c>
      <c r="AN169" s="28">
        <v>2.545454545454545</v>
      </c>
      <c r="AO169" s="28">
        <v>0.54545454545454541</v>
      </c>
      <c r="AP169" s="28">
        <v>3.0909090909090908</v>
      </c>
      <c r="AQ169" s="28">
        <v>0.2359550561797753</v>
      </c>
      <c r="AR169" s="28">
        <v>0.3146067415730337</v>
      </c>
      <c r="AS169" s="28">
        <v>6.7415730337078636E-2</v>
      </c>
      <c r="AT169" s="28">
        <v>0.38202247191011229</v>
      </c>
      <c r="AU169" s="25">
        <v>0.93</v>
      </c>
      <c r="AV169" s="25">
        <v>3.44</v>
      </c>
      <c r="AW169" s="25">
        <v>2.5099999999999998</v>
      </c>
      <c r="AX169" s="25">
        <v>2.6527272727272728</v>
      </c>
      <c r="AY169">
        <v>2.6527272727272719</v>
      </c>
      <c r="AZ169">
        <v>6.0360098777272722</v>
      </c>
      <c r="BD169">
        <v>4.0292923567961873E-2</v>
      </c>
      <c r="BH169">
        <v>8.0585847135923747E-2</v>
      </c>
      <c r="BI169">
        <v>4.0292923567961873E-2</v>
      </c>
      <c r="BJ169">
        <v>0</v>
      </c>
    </row>
    <row r="170" spans="1:62" x14ac:dyDescent="0.3">
      <c r="A170" s="2" t="s">
        <v>13</v>
      </c>
      <c r="B170" s="13" t="s">
        <v>698</v>
      </c>
      <c r="C170" s="13"/>
      <c r="F170" s="2">
        <v>4.25</v>
      </c>
      <c r="G170" s="2" t="s">
        <v>135</v>
      </c>
      <c r="H170" s="9">
        <v>-1</v>
      </c>
      <c r="I170">
        <v>-1</v>
      </c>
      <c r="J170"/>
      <c r="K170" s="2">
        <v>1</v>
      </c>
      <c r="L170" s="25">
        <v>0</v>
      </c>
      <c r="M170">
        <v>0</v>
      </c>
      <c r="N170">
        <v>0</v>
      </c>
      <c r="O170" s="2">
        <v>3.85</v>
      </c>
      <c r="P170" s="2">
        <v>3.85</v>
      </c>
      <c r="Q170" s="2">
        <v>11.3</v>
      </c>
      <c r="R170" s="2" t="s">
        <v>439</v>
      </c>
      <c r="T170" s="25">
        <v>0</v>
      </c>
      <c r="U170" s="25"/>
      <c r="V170" s="25"/>
      <c r="W170">
        <v>0</v>
      </c>
      <c r="X170"/>
      <c r="Y170"/>
      <c r="Z170">
        <v>0</v>
      </c>
      <c r="AA170"/>
      <c r="AB170"/>
      <c r="AC170" s="2">
        <v>2</v>
      </c>
      <c r="AD170">
        <v>14</v>
      </c>
      <c r="AE170" s="55">
        <f t="shared" si="5"/>
        <v>167.49425000000002</v>
      </c>
      <c r="AF170" s="57">
        <v>0</v>
      </c>
      <c r="AG170" s="55">
        <v>0</v>
      </c>
      <c r="AH170" s="55">
        <v>0</v>
      </c>
      <c r="AI170" s="52">
        <f t="shared" si="6"/>
        <v>8.3584958886648339E-2</v>
      </c>
      <c r="AJ170" s="51"/>
      <c r="AK170" s="52"/>
      <c r="AL170" s="52"/>
      <c r="AM170" s="28">
        <v>1.9090909090909089</v>
      </c>
      <c r="AN170" s="28">
        <v>2.545454545454545</v>
      </c>
      <c r="AO170" s="28">
        <v>0.54545454545454541</v>
      </c>
      <c r="AP170" s="28">
        <v>3.0909090909090908</v>
      </c>
      <c r="AQ170" s="28">
        <v>0.2359550561797753</v>
      </c>
      <c r="AR170" s="28">
        <v>0.3146067415730337</v>
      </c>
      <c r="AS170" s="28">
        <v>6.7415730337078636E-2</v>
      </c>
      <c r="AT170" s="28">
        <v>0.38202247191011229</v>
      </c>
      <c r="AU170" s="25">
        <v>0.82</v>
      </c>
      <c r="AV170" s="25">
        <v>3.44</v>
      </c>
      <c r="AW170" s="25">
        <v>2.62</v>
      </c>
      <c r="AX170" s="25">
        <v>2.642727272727273</v>
      </c>
      <c r="AY170">
        <v>2.642727272727273</v>
      </c>
      <c r="AZ170">
        <v>5.9894662913636356</v>
      </c>
      <c r="BD170">
        <v>4.1792479443324169E-2</v>
      </c>
      <c r="BH170">
        <v>8.3584958886648339E-2</v>
      </c>
      <c r="BI170">
        <v>4.1792479443324169E-2</v>
      </c>
      <c r="BJ170">
        <v>0</v>
      </c>
    </row>
    <row r="171" spans="1:62" x14ac:dyDescent="0.3">
      <c r="A171" s="2" t="s">
        <v>147</v>
      </c>
      <c r="B171" s="13" t="s">
        <v>771</v>
      </c>
      <c r="C171" s="13"/>
      <c r="F171" s="2">
        <v>4.25</v>
      </c>
      <c r="G171" s="2" t="s">
        <v>135</v>
      </c>
      <c r="H171" s="9">
        <v>-1</v>
      </c>
      <c r="I171">
        <v>-1</v>
      </c>
      <c r="J171"/>
      <c r="K171" s="2">
        <v>1</v>
      </c>
      <c r="L171" s="25">
        <v>0</v>
      </c>
      <c r="M171">
        <v>0</v>
      </c>
      <c r="N171">
        <v>0</v>
      </c>
      <c r="O171" s="2">
        <v>3.76</v>
      </c>
      <c r="P171" s="2">
        <v>3.76</v>
      </c>
      <c r="Q171" s="2">
        <v>11.41</v>
      </c>
      <c r="R171" s="2" t="s">
        <v>439</v>
      </c>
      <c r="T171" s="25">
        <v>0</v>
      </c>
      <c r="U171" s="25"/>
      <c r="V171" s="25"/>
      <c r="W171">
        <v>0</v>
      </c>
      <c r="X171"/>
      <c r="Y171"/>
      <c r="Z171">
        <v>0</v>
      </c>
      <c r="AA171"/>
      <c r="AB171"/>
      <c r="AC171" s="2">
        <v>2</v>
      </c>
      <c r="AD171">
        <v>14</v>
      </c>
      <c r="AE171" s="55">
        <f t="shared" si="5"/>
        <v>161.31001599999999</v>
      </c>
      <c r="AF171" s="57">
        <v>0</v>
      </c>
      <c r="AG171" s="55">
        <v>0</v>
      </c>
      <c r="AH171" s="55">
        <v>0</v>
      </c>
      <c r="AI171" s="52">
        <f t="shared" si="6"/>
        <v>8.678940308331505E-2</v>
      </c>
      <c r="AJ171" s="51"/>
      <c r="AK171" s="52"/>
      <c r="AL171" s="52"/>
      <c r="AM171" s="28">
        <v>1.9090909090909089</v>
      </c>
      <c r="AN171" s="28">
        <v>2.545454545454545</v>
      </c>
      <c r="AO171" s="28">
        <v>0.54545454545454541</v>
      </c>
      <c r="AP171" s="28">
        <v>3.0909090909090908</v>
      </c>
      <c r="AQ171" s="28">
        <v>0.2359550561797753</v>
      </c>
      <c r="AR171" s="28">
        <v>0.3146067415730337</v>
      </c>
      <c r="AS171" s="28">
        <v>6.7415730337078636E-2</v>
      </c>
      <c r="AT171" s="28">
        <v>0.38202247191011229</v>
      </c>
      <c r="AU171" s="25">
        <v>0.79</v>
      </c>
      <c r="AV171" s="25">
        <v>3.44</v>
      </c>
      <c r="AW171" s="25">
        <v>2.65</v>
      </c>
      <c r="AX171" s="25">
        <v>2.64</v>
      </c>
      <c r="AY171">
        <v>2.64</v>
      </c>
      <c r="AZ171">
        <v>5.9759431853377274</v>
      </c>
      <c r="BD171">
        <v>4.3394701541657532E-2</v>
      </c>
      <c r="BH171">
        <v>8.678940308331505E-2</v>
      </c>
      <c r="BI171">
        <v>4.3394701541657532E-2</v>
      </c>
      <c r="BJ171">
        <v>0</v>
      </c>
    </row>
    <row r="172" spans="1:62" x14ac:dyDescent="0.3">
      <c r="A172" s="2" t="s">
        <v>148</v>
      </c>
      <c r="B172" s="13" t="s">
        <v>772</v>
      </c>
      <c r="C172" s="13"/>
      <c r="F172" s="2">
        <v>3.2</v>
      </c>
      <c r="G172" s="2" t="s">
        <v>149</v>
      </c>
      <c r="H172" s="9" t="s">
        <v>577</v>
      </c>
      <c r="I172" t="s">
        <v>653</v>
      </c>
      <c r="J172"/>
      <c r="L172" s="25">
        <v>1</v>
      </c>
      <c r="M172">
        <v>2</v>
      </c>
      <c r="N172">
        <v>0</v>
      </c>
      <c r="O172" s="2">
        <v>3.85</v>
      </c>
      <c r="P172" s="2">
        <v>3.85</v>
      </c>
      <c r="Q172" s="2">
        <v>28.361999999999998</v>
      </c>
      <c r="R172" s="2" t="s">
        <v>440</v>
      </c>
      <c r="T172" s="25">
        <v>14.183127929999999</v>
      </c>
      <c r="U172" s="25">
        <v>14.183127929999999</v>
      </c>
      <c r="V172" s="25">
        <v>14.183127929999999</v>
      </c>
      <c r="W172">
        <v>3.8515000000000001</v>
      </c>
      <c r="X172">
        <v>3.8515000000000001</v>
      </c>
      <c r="Y172">
        <v>28.338999999999999</v>
      </c>
      <c r="Z172">
        <v>0</v>
      </c>
      <c r="AA172"/>
      <c r="AB172"/>
      <c r="AD172">
        <v>20</v>
      </c>
      <c r="AE172" s="55">
        <f t="shared" si="5"/>
        <v>420.39574500000003</v>
      </c>
      <c r="AF172" s="57">
        <v>215.8165104701838</v>
      </c>
      <c r="AG172" s="55">
        <v>420.38220671275002</v>
      </c>
      <c r="AH172" s="55">
        <v>0</v>
      </c>
      <c r="AI172" s="52"/>
      <c r="AJ172" s="51">
        <v>9.2671315815585423E-2</v>
      </c>
      <c r="AK172" s="52">
        <v>9.5151505846992876E-2</v>
      </c>
      <c r="AL172" s="52"/>
      <c r="AM172" s="28">
        <v>1.9375</v>
      </c>
      <c r="AN172" s="28">
        <v>2.5</v>
      </c>
      <c r="AO172" s="28">
        <v>0.5625</v>
      </c>
      <c r="AP172" s="28">
        <v>2.625</v>
      </c>
      <c r="AQ172" s="28">
        <v>0.25409836065573771</v>
      </c>
      <c r="AR172" s="28">
        <v>0.32786885245901642</v>
      </c>
      <c r="AS172" s="28">
        <v>7.3770491803278687E-2</v>
      </c>
      <c r="AT172" s="28">
        <v>0.34426229508196721</v>
      </c>
      <c r="AU172" s="25">
        <v>0.98</v>
      </c>
      <c r="AV172" s="25">
        <v>3.44</v>
      </c>
      <c r="AW172" s="25">
        <v>2.46</v>
      </c>
      <c r="AX172" s="25">
        <v>2.6175000000000002</v>
      </c>
      <c r="AY172">
        <v>2.6175000000000002</v>
      </c>
      <c r="AZ172">
        <v>6.0217141611250007</v>
      </c>
      <c r="BA172" s="75">
        <v>0.48754533225959679</v>
      </c>
      <c r="BB172" s="75">
        <v>0</v>
      </c>
      <c r="BE172">
        <v>4.6335657907792711E-2</v>
      </c>
      <c r="BF172">
        <v>4.7575752923496438E-2</v>
      </c>
      <c r="BH172">
        <v>9.3911410831289149E-2</v>
      </c>
      <c r="BI172">
        <v>4.6955705415644568E-2</v>
      </c>
      <c r="BJ172">
        <v>0.24377266612979839</v>
      </c>
    </row>
    <row r="173" spans="1:62" x14ac:dyDescent="0.3">
      <c r="A173" s="2" t="s">
        <v>63</v>
      </c>
      <c r="B173" s="13" t="s">
        <v>773</v>
      </c>
      <c r="C173" s="13"/>
      <c r="F173" s="2">
        <v>3.5</v>
      </c>
      <c r="G173" s="2" t="s">
        <v>150</v>
      </c>
      <c r="H173" s="9">
        <v>-1</v>
      </c>
      <c r="I173">
        <v>-1</v>
      </c>
      <c r="J173" t="s">
        <v>1144</v>
      </c>
      <c r="L173" s="25">
        <v>0</v>
      </c>
      <c r="M173">
        <v>0</v>
      </c>
      <c r="N173">
        <v>1</v>
      </c>
      <c r="T173" s="25">
        <v>0</v>
      </c>
      <c r="U173" s="25"/>
      <c r="V173" s="25"/>
      <c r="W173">
        <v>0</v>
      </c>
      <c r="X173"/>
      <c r="Y173"/>
      <c r="Z173">
        <v>3.8653</v>
      </c>
      <c r="AA173">
        <v>3.8653</v>
      </c>
      <c r="AB173">
        <v>11.0131</v>
      </c>
      <c r="AD173">
        <v>20</v>
      </c>
      <c r="AE173" s="55">
        <f t="shared" si="5"/>
        <v>0</v>
      </c>
      <c r="AF173" s="57">
        <v>0</v>
      </c>
      <c r="AG173" s="55">
        <v>0</v>
      </c>
      <c r="AH173" s="55">
        <v>164.541706117579</v>
      </c>
      <c r="AI173" s="52"/>
      <c r="AJ173" s="51"/>
      <c r="AK173" s="52"/>
      <c r="AL173" s="52">
        <v>0.12154973028970729</v>
      </c>
      <c r="AM173" s="28">
        <v>1.75</v>
      </c>
      <c r="AN173" s="28">
        <v>2.5</v>
      </c>
      <c r="AO173" s="28">
        <v>0.75</v>
      </c>
      <c r="AP173" s="28">
        <v>0</v>
      </c>
      <c r="AQ173" s="28">
        <v>0.35</v>
      </c>
      <c r="AR173" s="28">
        <v>0.5</v>
      </c>
      <c r="AS173" s="28">
        <v>0.15</v>
      </c>
      <c r="AT173" s="28">
        <v>0</v>
      </c>
      <c r="AU173" s="25">
        <v>1</v>
      </c>
      <c r="AV173" s="25">
        <v>3.44</v>
      </c>
      <c r="AW173" s="25">
        <v>2.44</v>
      </c>
      <c r="AX173" s="25">
        <v>2.7124999999999999</v>
      </c>
      <c r="AY173">
        <v>2.7124999999999999</v>
      </c>
      <c r="AZ173">
        <v>6.264025610615688</v>
      </c>
      <c r="BC173" s="75">
        <v>0.53381265134868672</v>
      </c>
      <c r="BG173">
        <v>6.0774865144853633E-2</v>
      </c>
      <c r="BH173">
        <v>0.12154973028970729</v>
      </c>
      <c r="BI173">
        <v>6.0774865144853633E-2</v>
      </c>
      <c r="BJ173">
        <v>0.53381265134868672</v>
      </c>
    </row>
    <row r="174" spans="1:62" x14ac:dyDescent="0.3">
      <c r="A174" s="2" t="s">
        <v>63</v>
      </c>
      <c r="B174" s="13" t="s">
        <v>773</v>
      </c>
      <c r="C174" s="13"/>
      <c r="F174" s="2">
        <v>3.5</v>
      </c>
      <c r="G174" s="2" t="s">
        <v>152</v>
      </c>
      <c r="H174" s="9">
        <v>-1</v>
      </c>
      <c r="I174">
        <v>-1</v>
      </c>
      <c r="J174" t="s">
        <v>1144</v>
      </c>
      <c r="L174" s="25">
        <v>0</v>
      </c>
      <c r="M174">
        <v>0</v>
      </c>
      <c r="N174">
        <v>1</v>
      </c>
      <c r="O174" s="2">
        <v>3.85</v>
      </c>
      <c r="P174" s="2">
        <v>3.85</v>
      </c>
      <c r="Q174" s="2">
        <v>29.296700000000001</v>
      </c>
      <c r="R174" s="2" t="s">
        <v>519</v>
      </c>
      <c r="S174"/>
      <c r="T174" s="25">
        <v>0</v>
      </c>
      <c r="U174" s="25"/>
      <c r="V174" s="25"/>
      <c r="W174">
        <v>0</v>
      </c>
      <c r="X174"/>
      <c r="Y174"/>
      <c r="Z174">
        <v>3.8653</v>
      </c>
      <c r="AA174">
        <v>3.8653</v>
      </c>
      <c r="AB174">
        <v>11.0131</v>
      </c>
      <c r="AD174">
        <v>20</v>
      </c>
      <c r="AE174" s="55">
        <f t="shared" si="5"/>
        <v>434.25033575000009</v>
      </c>
      <c r="AF174" s="57">
        <v>0</v>
      </c>
      <c r="AG174" s="55">
        <v>0</v>
      </c>
      <c r="AH174" s="55">
        <v>164.541706117579</v>
      </c>
      <c r="AI174" s="52"/>
      <c r="AJ174" s="51"/>
      <c r="AK174" s="52"/>
      <c r="AL174" s="52">
        <v>0.12154973028970729</v>
      </c>
      <c r="AM174" s="28">
        <v>1.75</v>
      </c>
      <c r="AN174" s="28">
        <v>2.5</v>
      </c>
      <c r="AO174" s="28">
        <v>0.75</v>
      </c>
      <c r="AP174" s="28">
        <v>0</v>
      </c>
      <c r="AQ174" s="28">
        <v>0.35</v>
      </c>
      <c r="AR174" s="28">
        <v>0.5</v>
      </c>
      <c r="AS174" s="28">
        <v>0.15</v>
      </c>
      <c r="AT174" s="28">
        <v>0</v>
      </c>
      <c r="AU174" s="25">
        <v>1</v>
      </c>
      <c r="AV174" s="25">
        <v>3.44</v>
      </c>
      <c r="AW174" s="25">
        <v>2.44</v>
      </c>
      <c r="AX174" s="25">
        <v>2.7124999999999999</v>
      </c>
      <c r="AY174">
        <v>2.7124999999999999</v>
      </c>
      <c r="AZ174">
        <v>6.264025610615688</v>
      </c>
      <c r="BC174" s="75">
        <v>0.53381265134868672</v>
      </c>
      <c r="BG174">
        <v>6.0774865144853633E-2</v>
      </c>
      <c r="BH174">
        <v>0.12154973028970729</v>
      </c>
      <c r="BI174">
        <v>6.0774865144853633E-2</v>
      </c>
      <c r="BJ174">
        <v>0.53381265134868672</v>
      </c>
    </row>
    <row r="175" spans="1:62" x14ac:dyDescent="0.3">
      <c r="A175" s="2" t="s">
        <v>151</v>
      </c>
      <c r="B175" s="13" t="s">
        <v>774</v>
      </c>
      <c r="C175" s="13"/>
      <c r="F175" s="2">
        <v>3.3</v>
      </c>
      <c r="G175" s="2" t="s">
        <v>152</v>
      </c>
      <c r="H175" s="9">
        <v>-1</v>
      </c>
      <c r="I175">
        <v>-1</v>
      </c>
      <c r="J175"/>
      <c r="K175" s="2">
        <v>2</v>
      </c>
      <c r="L175" s="25">
        <v>0</v>
      </c>
      <c r="M175">
        <v>0</v>
      </c>
      <c r="N175">
        <v>0</v>
      </c>
      <c r="O175" s="2">
        <v>3.89</v>
      </c>
      <c r="P175" s="2">
        <v>3.89</v>
      </c>
      <c r="Q175" s="2">
        <v>33.299999999999997</v>
      </c>
      <c r="R175" s="2" t="s">
        <v>519</v>
      </c>
      <c r="T175" s="25">
        <v>0</v>
      </c>
      <c r="U175" s="25"/>
      <c r="V175" s="25"/>
      <c r="W175">
        <v>0</v>
      </c>
      <c r="X175"/>
      <c r="Y175"/>
      <c r="Z175">
        <v>0</v>
      </c>
      <c r="AA175"/>
      <c r="AB175"/>
      <c r="AD175">
        <v>20</v>
      </c>
      <c r="AE175" s="55">
        <f t="shared" si="5"/>
        <v>503.89893000000001</v>
      </c>
      <c r="AF175" s="57">
        <v>0</v>
      </c>
      <c r="AG175" s="55">
        <v>0</v>
      </c>
      <c r="AH175" s="55">
        <v>0</v>
      </c>
      <c r="AI175" s="52">
        <f t="shared" ref="AI175:AI200" si="7">K175*AD175/AE175</f>
        <v>7.9380998090232108E-2</v>
      </c>
      <c r="AJ175" s="51"/>
      <c r="AK175" s="52"/>
      <c r="AL175" s="52"/>
      <c r="AM175" s="28">
        <v>1.75</v>
      </c>
      <c r="AN175" s="28">
        <v>2.5</v>
      </c>
      <c r="AO175" s="28">
        <v>0.75</v>
      </c>
      <c r="AP175" s="28">
        <v>0</v>
      </c>
      <c r="AQ175" s="28">
        <v>0.35</v>
      </c>
      <c r="AR175" s="28">
        <v>0.5</v>
      </c>
      <c r="AS175" s="28">
        <v>0.15</v>
      </c>
      <c r="AT175" s="28">
        <v>0</v>
      </c>
      <c r="AU175" s="25">
        <v>0.95</v>
      </c>
      <c r="AV175" s="25">
        <v>3.44</v>
      </c>
      <c r="AW175" s="25">
        <v>2.4900000000000002</v>
      </c>
      <c r="AX175" s="25">
        <v>2.7062499999999998</v>
      </c>
      <c r="AY175">
        <v>2.7062499999999998</v>
      </c>
      <c r="AZ175">
        <v>6.2396022968656872</v>
      </c>
      <c r="BD175">
        <v>3.9690499045116047E-2</v>
      </c>
      <c r="BH175">
        <v>7.9380998090232108E-2</v>
      </c>
      <c r="BI175">
        <v>3.9690499045116047E-2</v>
      </c>
      <c r="BJ175">
        <v>0</v>
      </c>
    </row>
    <row r="176" spans="1:62" x14ac:dyDescent="0.3">
      <c r="A176" s="2" t="s">
        <v>153</v>
      </c>
      <c r="B176" s="13" t="s">
        <v>775</v>
      </c>
      <c r="C176" s="13"/>
      <c r="F176" s="2">
        <v>3.23</v>
      </c>
      <c r="G176" s="2" t="s">
        <v>152</v>
      </c>
      <c r="H176" s="9" t="s">
        <v>578</v>
      </c>
      <c r="I176">
        <v>-1</v>
      </c>
      <c r="J176" t="s">
        <v>1166</v>
      </c>
      <c r="L176" s="25">
        <v>1</v>
      </c>
      <c r="M176">
        <v>0</v>
      </c>
      <c r="N176">
        <v>1</v>
      </c>
      <c r="O176" s="2">
        <v>3.89</v>
      </c>
      <c r="P176" s="2">
        <v>3.89</v>
      </c>
      <c r="Q176" s="2">
        <v>21.29</v>
      </c>
      <c r="R176" s="2" t="s">
        <v>519</v>
      </c>
      <c r="T176" s="25">
        <v>3.9263319999999999</v>
      </c>
      <c r="U176" s="25">
        <v>3.9263319999999999</v>
      </c>
      <c r="V176" s="25">
        <v>10.74639</v>
      </c>
      <c r="W176">
        <v>0</v>
      </c>
      <c r="X176"/>
      <c r="Y176"/>
      <c r="Z176">
        <v>3.8913000000000002</v>
      </c>
      <c r="AA176">
        <v>3.8913000000000002</v>
      </c>
      <c r="AB176">
        <v>10.47</v>
      </c>
      <c r="AD176">
        <v>14</v>
      </c>
      <c r="AE176" s="55">
        <f t="shared" si="5"/>
        <v>322.16240900000003</v>
      </c>
      <c r="AF176" s="57">
        <v>165.66723991337099</v>
      </c>
      <c r="AG176" s="55">
        <v>0</v>
      </c>
      <c r="AH176" s="55">
        <v>158.53899827430001</v>
      </c>
      <c r="AI176" s="52"/>
      <c r="AJ176" s="51">
        <v>8.4506749839743392E-2</v>
      </c>
      <c r="AK176" s="52"/>
      <c r="AL176" s="52">
        <v>8.8306348295310685E-2</v>
      </c>
      <c r="AM176" s="28">
        <v>1.7272727272727271</v>
      </c>
      <c r="AN176" s="28">
        <v>2.545454545454545</v>
      </c>
      <c r="AO176" s="28">
        <v>0.81818181818181823</v>
      </c>
      <c r="AP176" s="28">
        <v>0</v>
      </c>
      <c r="AQ176" s="28">
        <v>0.3392857142857143</v>
      </c>
      <c r="AR176" s="28">
        <v>0.5</v>
      </c>
      <c r="AS176" s="28">
        <v>0.1607142857142857</v>
      </c>
      <c r="AT176" s="28">
        <v>0</v>
      </c>
      <c r="AU176" s="25">
        <v>1.1000000000000001</v>
      </c>
      <c r="AV176" s="25">
        <v>3.44</v>
      </c>
      <c r="AW176" s="25">
        <v>2.34</v>
      </c>
      <c r="AX176" s="25">
        <v>2.78</v>
      </c>
      <c r="AY176">
        <v>2.78</v>
      </c>
      <c r="AZ176">
        <v>6.4270052227137269</v>
      </c>
      <c r="BA176" s="75">
        <v>0.41874886813759421</v>
      </c>
      <c r="BC176" s="75">
        <v>0</v>
      </c>
      <c r="BE176">
        <v>4.2253374919871717E-2</v>
      </c>
      <c r="BG176">
        <v>4.4153174147655357E-2</v>
      </c>
      <c r="BH176">
        <v>8.6406549067527039E-2</v>
      </c>
      <c r="BI176">
        <v>4.3203274533763533E-2</v>
      </c>
      <c r="BJ176">
        <v>0.20937443406879711</v>
      </c>
    </row>
    <row r="177" spans="1:62" x14ac:dyDescent="0.3">
      <c r="A177" s="2" t="s">
        <v>7</v>
      </c>
      <c r="B177" s="13" t="s">
        <v>692</v>
      </c>
      <c r="C177" s="13"/>
      <c r="F177" s="2">
        <v>3.47</v>
      </c>
      <c r="G177" s="2" t="s">
        <v>154</v>
      </c>
      <c r="H177" s="9">
        <v>-1</v>
      </c>
      <c r="I177">
        <v>-1</v>
      </c>
      <c r="J177"/>
      <c r="K177" s="2">
        <v>8</v>
      </c>
      <c r="L177" s="25">
        <v>0</v>
      </c>
      <c r="M177">
        <v>0</v>
      </c>
      <c r="N177">
        <v>0</v>
      </c>
      <c r="O177" s="2">
        <v>7.8209999999999997</v>
      </c>
      <c r="P177" s="2">
        <v>7.7649999999999997</v>
      </c>
      <c r="Q177" s="2">
        <v>30.08</v>
      </c>
      <c r="R177" t="s">
        <v>495</v>
      </c>
      <c r="S177"/>
      <c r="T177" s="25">
        <v>0</v>
      </c>
      <c r="U177" s="25"/>
      <c r="V177" s="25"/>
      <c r="W177">
        <v>0</v>
      </c>
      <c r="X177"/>
      <c r="Y177"/>
      <c r="Z177">
        <v>0</v>
      </c>
      <c r="AA177"/>
      <c r="AB177"/>
      <c r="AD177">
        <v>20</v>
      </c>
      <c r="AE177" s="55">
        <f t="shared" si="5"/>
        <v>1826.7603551999998</v>
      </c>
      <c r="AF177" s="57">
        <v>0</v>
      </c>
      <c r="AG177" s="55">
        <v>0</v>
      </c>
      <c r="AH177" s="55">
        <v>0</v>
      </c>
      <c r="AI177" s="52">
        <f t="shared" si="7"/>
        <v>8.7586748609115E-2</v>
      </c>
      <c r="AJ177" s="51"/>
      <c r="AK177" s="52"/>
      <c r="AL177" s="52"/>
      <c r="AM177" s="28">
        <v>1.75</v>
      </c>
      <c r="AN177" s="28">
        <v>2.5</v>
      </c>
      <c r="AO177" s="28">
        <v>0.75</v>
      </c>
      <c r="AP177" s="28">
        <v>0</v>
      </c>
      <c r="AQ177" s="28">
        <v>0.35</v>
      </c>
      <c r="AR177" s="28">
        <v>0.5</v>
      </c>
      <c r="AS177" s="28">
        <v>0.15</v>
      </c>
      <c r="AT177" s="28">
        <v>0</v>
      </c>
      <c r="AU177" s="25">
        <v>0.82</v>
      </c>
      <c r="AV177" s="25">
        <v>3.44</v>
      </c>
      <c r="AW177" s="25">
        <v>2.62</v>
      </c>
      <c r="AX177" s="25">
        <v>2.62</v>
      </c>
      <c r="AY177">
        <v>2.62</v>
      </c>
      <c r="AZ177">
        <v>5.9423863675000002</v>
      </c>
      <c r="BD177">
        <v>4.37933743045575E-2</v>
      </c>
      <c r="BH177">
        <v>8.7586748609115E-2</v>
      </c>
      <c r="BI177">
        <v>4.37933743045575E-2</v>
      </c>
      <c r="BJ177">
        <v>0</v>
      </c>
    </row>
    <row r="178" spans="1:62" x14ac:dyDescent="0.3">
      <c r="A178" s="2" t="s">
        <v>155</v>
      </c>
      <c r="B178" s="13" t="s">
        <v>776</v>
      </c>
      <c r="C178" s="13"/>
      <c r="F178" s="2">
        <v>3.76</v>
      </c>
      <c r="G178" s="2" t="s">
        <v>154</v>
      </c>
      <c r="H178" s="9">
        <v>-1</v>
      </c>
      <c r="I178">
        <v>-1</v>
      </c>
      <c r="J178"/>
      <c r="K178" s="2">
        <v>8</v>
      </c>
      <c r="L178" s="25">
        <v>0</v>
      </c>
      <c r="M178">
        <v>0</v>
      </c>
      <c r="N178">
        <v>0</v>
      </c>
      <c r="O178" s="2">
        <v>7.8209999999999997</v>
      </c>
      <c r="P178" s="2">
        <v>7.7649999999999997</v>
      </c>
      <c r="Q178" s="2">
        <v>30.96</v>
      </c>
      <c r="R178" t="s">
        <v>495</v>
      </c>
      <c r="S178"/>
      <c r="T178" s="25">
        <v>0</v>
      </c>
      <c r="U178" s="25"/>
      <c r="V178" s="25"/>
      <c r="W178">
        <v>0</v>
      </c>
      <c r="X178"/>
      <c r="Y178"/>
      <c r="Z178">
        <v>0</v>
      </c>
      <c r="AA178"/>
      <c r="AB178"/>
      <c r="AD178">
        <v>20</v>
      </c>
      <c r="AE178" s="55">
        <f t="shared" si="5"/>
        <v>1880.2028123999999</v>
      </c>
      <c r="AF178" s="57">
        <v>0</v>
      </c>
      <c r="AG178" s="55">
        <v>0</v>
      </c>
      <c r="AH178" s="55">
        <v>0</v>
      </c>
      <c r="AI178" s="52">
        <f t="shared" si="7"/>
        <v>8.5097202783016121E-2</v>
      </c>
      <c r="AJ178" s="51"/>
      <c r="AK178" s="52"/>
      <c r="AL178" s="52"/>
      <c r="AM178" s="28">
        <v>1.8125</v>
      </c>
      <c r="AN178" s="28">
        <v>2.5</v>
      </c>
      <c r="AO178" s="28">
        <v>0.6875</v>
      </c>
      <c r="AP178" s="28">
        <v>0.875</v>
      </c>
      <c r="AQ178" s="28">
        <v>0.30851063829787229</v>
      </c>
      <c r="AR178" s="28">
        <v>0.42553191489361702</v>
      </c>
      <c r="AS178" s="28">
        <v>0.1170212765957447</v>
      </c>
      <c r="AT178" s="28">
        <v>0.14893617021276601</v>
      </c>
      <c r="AU178" s="25">
        <v>0.82</v>
      </c>
      <c r="AV178" s="25">
        <v>3.44</v>
      </c>
      <c r="AW178" s="25">
        <v>2.62</v>
      </c>
      <c r="AX178" s="25">
        <v>2.61375</v>
      </c>
      <c r="AY178">
        <v>2.61375</v>
      </c>
      <c r="AZ178">
        <v>5.9485249299999996</v>
      </c>
      <c r="BD178">
        <v>4.254860139150806E-2</v>
      </c>
      <c r="BH178">
        <v>8.5097202783016121E-2</v>
      </c>
      <c r="BI178">
        <v>4.254860139150806E-2</v>
      </c>
      <c r="BJ178">
        <v>0</v>
      </c>
    </row>
    <row r="179" spans="1:62" x14ac:dyDescent="0.3">
      <c r="A179" s="2" t="s">
        <v>156</v>
      </c>
      <c r="B179" s="13" t="s">
        <v>777</v>
      </c>
      <c r="C179" s="13"/>
      <c r="F179" s="2">
        <v>3.76</v>
      </c>
      <c r="G179" s="2" t="s">
        <v>154</v>
      </c>
      <c r="H179" s="9">
        <v>-1</v>
      </c>
      <c r="I179">
        <v>-1</v>
      </c>
      <c r="J179"/>
      <c r="K179" s="2">
        <v>8</v>
      </c>
      <c r="L179" s="25">
        <v>0</v>
      </c>
      <c r="M179">
        <v>0</v>
      </c>
      <c r="N179">
        <v>0</v>
      </c>
      <c r="O179" s="2">
        <v>7.8209999999999997</v>
      </c>
      <c r="P179" s="2">
        <v>7.7649999999999997</v>
      </c>
      <c r="Q179" s="2">
        <v>29.84</v>
      </c>
      <c r="R179" t="s">
        <v>495</v>
      </c>
      <c r="S179"/>
      <c r="T179" s="25">
        <v>0</v>
      </c>
      <c r="U179" s="25"/>
      <c r="V179" s="25"/>
      <c r="W179">
        <v>0</v>
      </c>
      <c r="X179"/>
      <c r="Y179"/>
      <c r="Z179">
        <v>0</v>
      </c>
      <c r="AA179"/>
      <c r="AB179"/>
      <c r="AD179">
        <v>20</v>
      </c>
      <c r="AE179" s="55">
        <f t="shared" si="5"/>
        <v>1812.1851396</v>
      </c>
      <c r="AF179" s="57">
        <v>0</v>
      </c>
      <c r="AG179" s="55">
        <v>0</v>
      </c>
      <c r="AH179" s="55">
        <v>0</v>
      </c>
      <c r="AI179" s="52">
        <f t="shared" si="7"/>
        <v>8.8291199670314305E-2</v>
      </c>
      <c r="AJ179" s="51"/>
      <c r="AK179" s="52"/>
      <c r="AL179" s="52"/>
      <c r="AM179" s="28">
        <v>1.8666666666666669</v>
      </c>
      <c r="AN179" s="28">
        <v>2.666666666666667</v>
      </c>
      <c r="AO179" s="28">
        <v>0.46666666666666667</v>
      </c>
      <c r="AP179" s="28">
        <v>0.93333333333333335</v>
      </c>
      <c r="AQ179" s="28">
        <v>0.3146067415730337</v>
      </c>
      <c r="AR179" s="28">
        <v>0.44943820224719089</v>
      </c>
      <c r="AS179" s="28">
        <v>7.8651685393258425E-2</v>
      </c>
      <c r="AT179" s="28">
        <v>0.15730337078651679</v>
      </c>
      <c r="AU179" s="25">
        <v>0.82</v>
      </c>
      <c r="AV179" s="25">
        <v>3.44</v>
      </c>
      <c r="AW179" s="25">
        <v>2.62</v>
      </c>
      <c r="AX179" s="25">
        <v>2.6813333333333329</v>
      </c>
      <c r="AY179">
        <v>2.6813333333333329</v>
      </c>
      <c r="AZ179">
        <v>6.0892180253333326</v>
      </c>
      <c r="BD179">
        <v>4.4145599835157152E-2</v>
      </c>
      <c r="BH179">
        <v>8.8291199670314305E-2</v>
      </c>
      <c r="BI179">
        <v>4.4145599835157152E-2</v>
      </c>
      <c r="BJ179">
        <v>0</v>
      </c>
    </row>
    <row r="180" spans="1:62" x14ac:dyDescent="0.3">
      <c r="A180" s="2" t="s">
        <v>157</v>
      </c>
      <c r="B180" s="13" t="s">
        <v>778</v>
      </c>
      <c r="C180" s="13"/>
      <c r="F180" s="2">
        <v>3.91</v>
      </c>
      <c r="G180" s="2" t="s">
        <v>154</v>
      </c>
      <c r="H180" s="9">
        <v>-1</v>
      </c>
      <c r="I180">
        <v>-1</v>
      </c>
      <c r="J180"/>
      <c r="K180" s="2">
        <v>8</v>
      </c>
      <c r="L180" s="25">
        <v>0</v>
      </c>
      <c r="M180">
        <v>0</v>
      </c>
      <c r="N180">
        <v>0</v>
      </c>
      <c r="O180" s="2">
        <v>7.8209999999999997</v>
      </c>
      <c r="P180" s="2">
        <v>7.7649999999999997</v>
      </c>
      <c r="Q180" s="2">
        <v>30.08</v>
      </c>
      <c r="R180" t="s">
        <v>495</v>
      </c>
      <c r="S180"/>
      <c r="T180" s="25">
        <v>0</v>
      </c>
      <c r="U180" s="25"/>
      <c r="V180" s="25"/>
      <c r="W180">
        <v>0</v>
      </c>
      <c r="X180"/>
      <c r="Y180"/>
      <c r="Z180">
        <v>0</v>
      </c>
      <c r="AA180"/>
      <c r="AB180"/>
      <c r="AD180">
        <v>20</v>
      </c>
      <c r="AE180" s="55">
        <f t="shared" si="5"/>
        <v>1826.7603551999998</v>
      </c>
      <c r="AF180" s="57">
        <v>0</v>
      </c>
      <c r="AG180" s="55">
        <v>0</v>
      </c>
      <c r="AH180" s="55">
        <v>0</v>
      </c>
      <c r="AI180" s="52">
        <f t="shared" si="7"/>
        <v>8.7586748609115E-2</v>
      </c>
      <c r="AJ180" s="51"/>
      <c r="AK180" s="52"/>
      <c r="AL180" s="52"/>
      <c r="AM180" s="28">
        <v>1.875</v>
      </c>
      <c r="AN180" s="28">
        <v>2.5</v>
      </c>
      <c r="AO180" s="28">
        <v>0.625</v>
      </c>
      <c r="AP180" s="28">
        <v>1.75</v>
      </c>
      <c r="AQ180" s="28">
        <v>0.27777777777777779</v>
      </c>
      <c r="AR180" s="28">
        <v>0.37037037037037029</v>
      </c>
      <c r="AS180" s="28">
        <v>9.2592592592592587E-2</v>
      </c>
      <c r="AT180" s="28">
        <v>0.25925925925925919</v>
      </c>
      <c r="AU180" s="25">
        <v>0.82</v>
      </c>
      <c r="AV180" s="25">
        <v>3.44</v>
      </c>
      <c r="AW180" s="25">
        <v>2.62</v>
      </c>
      <c r="AX180" s="25">
        <v>2.6074999999999999</v>
      </c>
      <c r="AY180">
        <v>2.6074999999999999</v>
      </c>
      <c r="AZ180">
        <v>5.9546634925000008</v>
      </c>
      <c r="BD180">
        <v>4.37933743045575E-2</v>
      </c>
      <c r="BH180">
        <v>8.7586748609115E-2</v>
      </c>
      <c r="BI180">
        <v>4.37933743045575E-2</v>
      </c>
      <c r="BJ180">
        <v>0</v>
      </c>
    </row>
    <row r="181" spans="1:62" x14ac:dyDescent="0.3">
      <c r="A181" s="2" t="s">
        <v>158</v>
      </c>
      <c r="B181" s="13" t="s">
        <v>779</v>
      </c>
      <c r="C181" s="13"/>
      <c r="F181" s="2">
        <v>4.29</v>
      </c>
      <c r="G181" s="2" t="s">
        <v>154</v>
      </c>
      <c r="H181" s="9">
        <v>-1</v>
      </c>
      <c r="I181">
        <v>-1</v>
      </c>
      <c r="J181"/>
      <c r="K181" s="2">
        <v>8</v>
      </c>
      <c r="L181" s="25">
        <v>0</v>
      </c>
      <c r="M181">
        <v>0</v>
      </c>
      <c r="N181">
        <v>0</v>
      </c>
      <c r="O181" s="2">
        <v>7.8440000000000003</v>
      </c>
      <c r="P181" s="2">
        <v>7.7690000000000001</v>
      </c>
      <c r="Q181" s="2">
        <v>29.72</v>
      </c>
      <c r="R181" t="s">
        <v>495</v>
      </c>
      <c r="S181"/>
      <c r="T181" s="25">
        <v>0</v>
      </c>
      <c r="U181" s="25"/>
      <c r="V181" s="25"/>
      <c r="W181">
        <v>0</v>
      </c>
      <c r="X181"/>
      <c r="Y181"/>
      <c r="Z181">
        <v>0</v>
      </c>
      <c r="AA181"/>
      <c r="AB181"/>
      <c r="AD181">
        <v>20</v>
      </c>
      <c r="AE181" s="55">
        <f t="shared" si="5"/>
        <v>1811.1378699200002</v>
      </c>
      <c r="AF181" s="57">
        <v>0</v>
      </c>
      <c r="AG181" s="55">
        <v>0</v>
      </c>
      <c r="AH181" s="55">
        <v>0</v>
      </c>
      <c r="AI181" s="52">
        <f t="shared" si="7"/>
        <v>8.8342253042871535E-2</v>
      </c>
      <c r="AJ181" s="51"/>
      <c r="AK181" s="52"/>
      <c r="AL181" s="52"/>
      <c r="AM181" s="28">
        <v>1.9375</v>
      </c>
      <c r="AN181" s="28">
        <v>2.5</v>
      </c>
      <c r="AO181" s="28">
        <v>0.5625</v>
      </c>
      <c r="AP181" s="28">
        <v>2.625</v>
      </c>
      <c r="AQ181" s="28">
        <v>0.25409836065573771</v>
      </c>
      <c r="AR181" s="28">
        <v>0.32786885245901642</v>
      </c>
      <c r="AS181" s="28">
        <v>7.3770491803278687E-2</v>
      </c>
      <c r="AT181" s="28">
        <v>0.34426229508196721</v>
      </c>
      <c r="AU181" s="25">
        <v>0.82</v>
      </c>
      <c r="AV181" s="25">
        <v>3.44</v>
      </c>
      <c r="AW181" s="25">
        <v>2.62</v>
      </c>
      <c r="AX181" s="25">
        <v>2.6012499999999998</v>
      </c>
      <c r="AY181">
        <v>2.6012499999999998</v>
      </c>
      <c r="AZ181">
        <v>5.9608020550000003</v>
      </c>
      <c r="BD181">
        <v>4.4171126521435768E-2</v>
      </c>
      <c r="BH181">
        <v>8.8342253042871535E-2</v>
      </c>
      <c r="BI181">
        <v>4.4171126521435768E-2</v>
      </c>
      <c r="BJ181">
        <v>0</v>
      </c>
    </row>
    <row r="182" spans="1:62" x14ac:dyDescent="0.3">
      <c r="A182" s="2" t="s">
        <v>151</v>
      </c>
      <c r="B182" s="13" t="s">
        <v>774</v>
      </c>
      <c r="C182" s="13"/>
      <c r="F182" s="2">
        <v>3.5</v>
      </c>
      <c r="G182" s="2" t="s">
        <v>154</v>
      </c>
      <c r="H182" s="9">
        <v>-1</v>
      </c>
      <c r="I182">
        <v>-1</v>
      </c>
      <c r="J182"/>
      <c r="K182" s="2">
        <v>8</v>
      </c>
      <c r="L182" s="25">
        <v>0</v>
      </c>
      <c r="M182">
        <v>0</v>
      </c>
      <c r="N182">
        <v>0</v>
      </c>
      <c r="O182" s="2">
        <f>3.907*2</f>
        <v>7.8140000000000001</v>
      </c>
      <c r="P182" s="2">
        <f>3.907*2</f>
        <v>7.8140000000000001</v>
      </c>
      <c r="Q182" s="2">
        <v>33.06</v>
      </c>
      <c r="T182" s="25">
        <v>0</v>
      </c>
      <c r="U182" s="25"/>
      <c r="V182" s="25"/>
      <c r="W182">
        <v>0</v>
      </c>
      <c r="X182"/>
      <c r="Y182"/>
      <c r="Z182">
        <v>0</v>
      </c>
      <c r="AA182"/>
      <c r="AB182"/>
      <c r="AD182">
        <v>20</v>
      </c>
      <c r="AE182" s="55">
        <f t="shared" si="5"/>
        <v>2018.5971837600002</v>
      </c>
      <c r="AF182" s="57">
        <v>0</v>
      </c>
      <c r="AG182" s="55">
        <v>0</v>
      </c>
      <c r="AH182" s="55">
        <v>0</v>
      </c>
      <c r="AI182" s="52">
        <f t="shared" si="7"/>
        <v>7.9262966027710005E-2</v>
      </c>
      <c r="AJ182" s="51"/>
      <c r="AK182" s="52"/>
      <c r="AL182" s="52"/>
      <c r="AM182" s="28">
        <v>1.75</v>
      </c>
      <c r="AN182" s="28">
        <v>2.5</v>
      </c>
      <c r="AO182" s="28">
        <v>0.75</v>
      </c>
      <c r="AP182" s="28">
        <v>0</v>
      </c>
      <c r="AQ182" s="28">
        <v>0.35</v>
      </c>
      <c r="AR182" s="28">
        <v>0.5</v>
      </c>
      <c r="AS182" s="28">
        <v>0.15</v>
      </c>
      <c r="AT182" s="28">
        <v>0</v>
      </c>
      <c r="AU182" s="25">
        <v>0.95</v>
      </c>
      <c r="AV182" s="25">
        <v>3.44</v>
      </c>
      <c r="AW182" s="25">
        <v>2.4900000000000002</v>
      </c>
      <c r="AX182" s="25">
        <v>2.7062499999999998</v>
      </c>
      <c r="AY182">
        <v>2.7062499999999998</v>
      </c>
      <c r="AZ182">
        <v>6.2396022968656872</v>
      </c>
      <c r="BD182">
        <v>3.9631483013855003E-2</v>
      </c>
      <c r="BH182">
        <v>7.9262966027710005E-2</v>
      </c>
      <c r="BI182">
        <v>3.9631483013855003E-2</v>
      </c>
      <c r="BJ182">
        <v>0</v>
      </c>
    </row>
    <row r="183" spans="1:62" x14ac:dyDescent="0.3">
      <c r="A183" s="2" t="s">
        <v>159</v>
      </c>
      <c r="B183" s="13" t="s">
        <v>780</v>
      </c>
      <c r="C183" s="13"/>
      <c r="F183" s="2">
        <v>3.77</v>
      </c>
      <c r="G183" s="2" t="s">
        <v>154</v>
      </c>
      <c r="H183" s="9">
        <v>-1</v>
      </c>
      <c r="I183">
        <v>-1</v>
      </c>
      <c r="J183"/>
      <c r="K183" s="2">
        <v>8</v>
      </c>
      <c r="L183" s="25">
        <v>0</v>
      </c>
      <c r="M183">
        <v>0</v>
      </c>
      <c r="N183">
        <v>0</v>
      </c>
      <c r="O183" s="2">
        <f t="shared" ref="O183:P186" si="8">3.907*2</f>
        <v>7.8140000000000001</v>
      </c>
      <c r="P183" s="2">
        <f t="shared" si="8"/>
        <v>7.8140000000000001</v>
      </c>
      <c r="Q183" s="2">
        <v>32.86</v>
      </c>
      <c r="T183" s="25">
        <v>0</v>
      </c>
      <c r="U183" s="25"/>
      <c r="V183" s="25"/>
      <c r="W183">
        <v>0</v>
      </c>
      <c r="X183"/>
      <c r="Y183"/>
      <c r="Z183">
        <v>0</v>
      </c>
      <c r="AA183"/>
      <c r="AB183"/>
      <c r="AD183">
        <v>20</v>
      </c>
      <c r="AE183" s="55">
        <f t="shared" si="5"/>
        <v>2006.3854645599999</v>
      </c>
      <c r="AF183" s="57">
        <v>0</v>
      </c>
      <c r="AG183" s="55">
        <v>0</v>
      </c>
      <c r="AH183" s="55">
        <v>0</v>
      </c>
      <c r="AI183" s="52">
        <f t="shared" si="7"/>
        <v>7.9745394305419756E-2</v>
      </c>
      <c r="AJ183" s="51"/>
      <c r="AK183" s="52"/>
      <c r="AL183" s="52"/>
      <c r="AM183" s="28">
        <v>1.8125</v>
      </c>
      <c r="AN183" s="28">
        <v>2.5</v>
      </c>
      <c r="AO183" s="28">
        <v>0.6875</v>
      </c>
      <c r="AP183" s="28">
        <v>0.875</v>
      </c>
      <c r="AQ183" s="28">
        <v>0.30851063829787229</v>
      </c>
      <c r="AR183" s="28">
        <v>0.42553191489361702</v>
      </c>
      <c r="AS183" s="28">
        <v>0.1170212765957447</v>
      </c>
      <c r="AT183" s="28">
        <v>0.14893617021276601</v>
      </c>
      <c r="AU183" s="25">
        <v>0.95</v>
      </c>
      <c r="AV183" s="25">
        <v>3.44</v>
      </c>
      <c r="AW183" s="25">
        <v>2.4900000000000002</v>
      </c>
      <c r="AX183" s="25">
        <v>2.7</v>
      </c>
      <c r="AY183">
        <v>2.7</v>
      </c>
      <c r="AZ183">
        <v>6.2457408593656876</v>
      </c>
      <c r="BD183">
        <v>3.9872697152709878E-2</v>
      </c>
      <c r="BH183">
        <v>7.9745394305419756E-2</v>
      </c>
      <c r="BI183">
        <v>3.9872697152709878E-2</v>
      </c>
      <c r="BJ183">
        <v>0</v>
      </c>
    </row>
    <row r="184" spans="1:62" x14ac:dyDescent="0.3">
      <c r="A184" s="2" t="s">
        <v>160</v>
      </c>
      <c r="B184" s="13" t="s">
        <v>781</v>
      </c>
      <c r="C184" s="13"/>
      <c r="F184" s="2">
        <v>3.8</v>
      </c>
      <c r="G184" s="2" t="s">
        <v>154</v>
      </c>
      <c r="H184" s="9">
        <v>-1</v>
      </c>
      <c r="I184">
        <v>-1</v>
      </c>
      <c r="J184"/>
      <c r="K184" s="2">
        <v>8</v>
      </c>
      <c r="L184" s="25">
        <v>0</v>
      </c>
      <c r="M184">
        <v>0</v>
      </c>
      <c r="N184">
        <v>0</v>
      </c>
      <c r="O184" s="2">
        <f t="shared" si="8"/>
        <v>7.8140000000000001</v>
      </c>
      <c r="P184" s="2">
        <f t="shared" si="8"/>
        <v>7.8140000000000001</v>
      </c>
      <c r="Q184" s="2">
        <v>32.42</v>
      </c>
      <c r="T184" s="25">
        <v>0</v>
      </c>
      <c r="U184" s="25"/>
      <c r="V184" s="25"/>
      <c r="W184">
        <v>0</v>
      </c>
      <c r="X184"/>
      <c r="Y184"/>
      <c r="Z184">
        <v>0</v>
      </c>
      <c r="AA184"/>
      <c r="AB184"/>
      <c r="AD184">
        <v>20</v>
      </c>
      <c r="AE184" s="55">
        <f t="shared" si="5"/>
        <v>1979.5196823200001</v>
      </c>
      <c r="AF184" s="57">
        <v>0</v>
      </c>
      <c r="AG184" s="55">
        <v>0</v>
      </c>
      <c r="AH184" s="55">
        <v>0</v>
      </c>
      <c r="AI184" s="52">
        <f t="shared" si="7"/>
        <v>8.082768836755376E-2</v>
      </c>
      <c r="AJ184" s="51"/>
      <c r="AK184" s="52"/>
      <c r="AL184" s="52"/>
      <c r="AM184" s="28">
        <v>1.8666666666666669</v>
      </c>
      <c r="AN184" s="28">
        <v>2.666666666666667</v>
      </c>
      <c r="AO184" s="28">
        <v>0.46666666666666667</v>
      </c>
      <c r="AP184" s="28">
        <v>0.93333333333333335</v>
      </c>
      <c r="AQ184" s="28">
        <v>0.3146067415730337</v>
      </c>
      <c r="AR184" s="28">
        <v>0.44943820224719089</v>
      </c>
      <c r="AS184" s="28">
        <v>7.8651685393258425E-2</v>
      </c>
      <c r="AT184" s="28">
        <v>0.15730337078651679</v>
      </c>
      <c r="AU184" s="25">
        <v>0.95</v>
      </c>
      <c r="AV184" s="25">
        <v>3.44</v>
      </c>
      <c r="AW184" s="25">
        <v>2.4900000000000002</v>
      </c>
      <c r="AX184" s="25">
        <v>2.773333333333333</v>
      </c>
      <c r="AY184">
        <v>2.773333333333333</v>
      </c>
      <c r="AZ184">
        <v>6.4062483499900669</v>
      </c>
      <c r="BD184">
        <v>4.041384418377688E-2</v>
      </c>
      <c r="BH184">
        <v>8.082768836755376E-2</v>
      </c>
      <c r="BI184">
        <v>4.041384418377688E-2</v>
      </c>
      <c r="BJ184">
        <v>0</v>
      </c>
    </row>
    <row r="185" spans="1:62" x14ac:dyDescent="0.3">
      <c r="A185" s="2" t="s">
        <v>161</v>
      </c>
      <c r="B185" s="13" t="s">
        <v>782</v>
      </c>
      <c r="C185" s="13"/>
      <c r="F185" s="2">
        <v>3.92</v>
      </c>
      <c r="G185" s="2" t="s">
        <v>154</v>
      </c>
      <c r="H185" s="9">
        <v>-1</v>
      </c>
      <c r="I185">
        <v>-1</v>
      </c>
      <c r="J185"/>
      <c r="K185" s="2">
        <v>8</v>
      </c>
      <c r="L185" s="25">
        <v>0</v>
      </c>
      <c r="M185">
        <v>0</v>
      </c>
      <c r="N185">
        <v>0</v>
      </c>
      <c r="O185" s="2">
        <f t="shared" si="8"/>
        <v>7.8140000000000001</v>
      </c>
      <c r="P185" s="2">
        <f t="shared" si="8"/>
        <v>7.8140000000000001</v>
      </c>
      <c r="Q185" s="2">
        <v>32.58</v>
      </c>
      <c r="T185" s="25">
        <v>0</v>
      </c>
      <c r="U185" s="25"/>
      <c r="V185" s="25"/>
      <c r="W185">
        <v>0</v>
      </c>
      <c r="X185"/>
      <c r="Y185"/>
      <c r="Z185">
        <v>0</v>
      </c>
      <c r="AA185"/>
      <c r="AB185"/>
      <c r="AD185">
        <v>20</v>
      </c>
      <c r="AE185" s="55">
        <f t="shared" si="5"/>
        <v>1989.28905768</v>
      </c>
      <c r="AF185" s="57">
        <v>0</v>
      </c>
      <c r="AG185" s="55">
        <v>0</v>
      </c>
      <c r="AH185" s="55">
        <v>0</v>
      </c>
      <c r="AI185" s="52">
        <f t="shared" si="7"/>
        <v>8.0430744532722323E-2</v>
      </c>
      <c r="AJ185" s="51"/>
      <c r="AK185" s="52"/>
      <c r="AL185" s="52"/>
      <c r="AM185" s="28">
        <v>1.875</v>
      </c>
      <c r="AN185" s="28">
        <v>2.5</v>
      </c>
      <c r="AO185" s="28">
        <v>0.625</v>
      </c>
      <c r="AP185" s="28">
        <v>1.75</v>
      </c>
      <c r="AQ185" s="28">
        <v>0.27777777777777779</v>
      </c>
      <c r="AR185" s="28">
        <v>0.37037037037037029</v>
      </c>
      <c r="AS185" s="28">
        <v>9.2592592592592587E-2</v>
      </c>
      <c r="AT185" s="28">
        <v>0.25925925925925919</v>
      </c>
      <c r="AU185" s="25">
        <v>0.95</v>
      </c>
      <c r="AV185" s="25">
        <v>3.44</v>
      </c>
      <c r="AW185" s="25">
        <v>2.4900000000000002</v>
      </c>
      <c r="AX185" s="25">
        <v>2.6937500000000001</v>
      </c>
      <c r="AY185">
        <v>2.6937500000000001</v>
      </c>
      <c r="AZ185">
        <v>6.2518794218656879</v>
      </c>
      <c r="BD185">
        <v>4.0215372266361162E-2</v>
      </c>
      <c r="BH185">
        <v>8.0430744532722323E-2</v>
      </c>
      <c r="BI185">
        <v>4.0215372266361162E-2</v>
      </c>
      <c r="BJ185">
        <v>0</v>
      </c>
    </row>
    <row r="186" spans="1:62" x14ac:dyDescent="0.3">
      <c r="A186" s="2" t="s">
        <v>162</v>
      </c>
      <c r="B186" s="13" t="s">
        <v>783</v>
      </c>
      <c r="C186" s="13"/>
      <c r="F186" s="2">
        <v>4.25</v>
      </c>
      <c r="G186" s="2" t="s">
        <v>154</v>
      </c>
      <c r="H186" s="9">
        <v>-1</v>
      </c>
      <c r="I186">
        <v>-1</v>
      </c>
      <c r="J186"/>
      <c r="K186" s="2">
        <v>8</v>
      </c>
      <c r="L186" s="25">
        <v>0</v>
      </c>
      <c r="M186">
        <v>0</v>
      </c>
      <c r="N186">
        <v>0</v>
      </c>
      <c r="O186" s="2">
        <f t="shared" si="8"/>
        <v>7.8140000000000001</v>
      </c>
      <c r="P186" s="2">
        <f t="shared" si="8"/>
        <v>7.8140000000000001</v>
      </c>
      <c r="Q186" s="2">
        <v>31.54</v>
      </c>
      <c r="T186" s="25">
        <v>0</v>
      </c>
      <c r="U186" s="25"/>
      <c r="V186" s="25"/>
      <c r="W186">
        <v>0</v>
      </c>
      <c r="X186"/>
      <c r="Y186"/>
      <c r="Z186">
        <v>0</v>
      </c>
      <c r="AA186"/>
      <c r="AB186"/>
      <c r="AD186">
        <v>20</v>
      </c>
      <c r="AE186" s="55">
        <f t="shared" si="5"/>
        <v>1925.78811784</v>
      </c>
      <c r="AF186" s="57">
        <v>0</v>
      </c>
      <c r="AG186" s="55">
        <v>0</v>
      </c>
      <c r="AH186" s="55">
        <v>0</v>
      </c>
      <c r="AI186" s="52">
        <f t="shared" si="7"/>
        <v>8.3082868004949059E-2</v>
      </c>
      <c r="AJ186" s="51"/>
      <c r="AK186" s="52"/>
      <c r="AL186" s="52"/>
      <c r="AM186" s="28">
        <v>1.9375</v>
      </c>
      <c r="AN186" s="28">
        <v>2.5</v>
      </c>
      <c r="AO186" s="28">
        <v>0.5625</v>
      </c>
      <c r="AP186" s="28">
        <v>2.625</v>
      </c>
      <c r="AQ186" s="28">
        <v>0.25409836065573771</v>
      </c>
      <c r="AR186" s="28">
        <v>0.32786885245901642</v>
      </c>
      <c r="AS186" s="28">
        <v>7.3770491803278687E-2</v>
      </c>
      <c r="AT186" s="28">
        <v>0.34426229508196721</v>
      </c>
      <c r="AU186" s="25">
        <v>0.95</v>
      </c>
      <c r="AV186" s="25">
        <v>3.44</v>
      </c>
      <c r="AW186" s="25">
        <v>2.4900000000000002</v>
      </c>
      <c r="AX186" s="25">
        <v>2.6875</v>
      </c>
      <c r="AY186">
        <v>2.6875</v>
      </c>
      <c r="AZ186">
        <v>6.2580179843656882</v>
      </c>
      <c r="BD186">
        <v>4.154143400247453E-2</v>
      </c>
      <c r="BH186">
        <v>8.3082868004949059E-2</v>
      </c>
      <c r="BI186">
        <v>4.154143400247453E-2</v>
      </c>
      <c r="BJ186">
        <v>0</v>
      </c>
    </row>
    <row r="187" spans="1:62" x14ac:dyDescent="0.3">
      <c r="A187" s="2" t="s">
        <v>151</v>
      </c>
      <c r="B187" s="17" t="s">
        <v>774</v>
      </c>
      <c r="C187" s="13"/>
      <c r="D187" s="2" t="s">
        <v>863</v>
      </c>
      <c r="E187" s="2">
        <v>4</v>
      </c>
      <c r="F187" s="2">
        <v>3.35</v>
      </c>
      <c r="G187" s="2" t="s">
        <v>154</v>
      </c>
      <c r="H187" s="9">
        <v>-1</v>
      </c>
      <c r="I187">
        <v>-1</v>
      </c>
      <c r="J187"/>
      <c r="K187" s="2">
        <v>8</v>
      </c>
      <c r="L187" s="25">
        <v>0</v>
      </c>
      <c r="M187">
        <v>0</v>
      </c>
      <c r="N187">
        <v>0</v>
      </c>
      <c r="O187" s="2">
        <f>3.88*2</f>
        <v>7.76</v>
      </c>
      <c r="P187" s="2">
        <f>3.88*2</f>
        <v>7.76</v>
      </c>
      <c r="Q187" s="2">
        <v>33</v>
      </c>
      <c r="T187" s="25">
        <v>0</v>
      </c>
      <c r="U187" s="25"/>
      <c r="V187" s="25"/>
      <c r="W187">
        <v>0</v>
      </c>
      <c r="X187"/>
      <c r="Y187"/>
      <c r="Z187">
        <v>0</v>
      </c>
      <c r="AA187"/>
      <c r="AB187"/>
      <c r="AD187">
        <v>20</v>
      </c>
      <c r="AE187" s="55">
        <f t="shared" si="5"/>
        <v>1987.1807999999999</v>
      </c>
      <c r="AF187" s="57">
        <v>0</v>
      </c>
      <c r="AG187" s="55">
        <v>0</v>
      </c>
      <c r="AH187" s="55">
        <v>0</v>
      </c>
      <c r="AI187" s="52">
        <f t="shared" si="7"/>
        <v>8.0516075839702161E-2</v>
      </c>
      <c r="AJ187" s="51"/>
      <c r="AK187" s="52"/>
      <c r="AL187" s="52"/>
      <c r="AM187" s="28">
        <v>1.75</v>
      </c>
      <c r="AN187" s="28">
        <v>2.5</v>
      </c>
      <c r="AO187" s="28">
        <v>0.75</v>
      </c>
      <c r="AP187" s="28">
        <v>0</v>
      </c>
      <c r="AQ187" s="28">
        <v>0.35</v>
      </c>
      <c r="AR187" s="28">
        <v>0.5</v>
      </c>
      <c r="AS187" s="28">
        <v>0.15</v>
      </c>
      <c r="AT187" s="28">
        <v>0</v>
      </c>
      <c r="AU187" s="25">
        <v>0.95</v>
      </c>
      <c r="AV187" s="25">
        <v>3.44</v>
      </c>
      <c r="AW187" s="25">
        <v>2.4900000000000002</v>
      </c>
      <c r="AX187" s="25">
        <v>2.7062499999999998</v>
      </c>
      <c r="AY187">
        <v>2.7062499999999998</v>
      </c>
      <c r="AZ187">
        <v>6.2396022968656872</v>
      </c>
      <c r="BD187">
        <v>4.0258037919851081E-2</v>
      </c>
      <c r="BH187">
        <v>8.0516075839702161E-2</v>
      </c>
      <c r="BI187">
        <v>4.0258037919851081E-2</v>
      </c>
      <c r="BJ187">
        <v>0</v>
      </c>
    </row>
    <row r="188" spans="1:62" x14ac:dyDescent="0.3">
      <c r="A188" s="2" t="s">
        <v>159</v>
      </c>
      <c r="B188" s="17" t="s">
        <v>780</v>
      </c>
      <c r="C188" s="13"/>
      <c r="D188" s="2" t="s">
        <v>863</v>
      </c>
      <c r="E188" s="2">
        <v>4</v>
      </c>
      <c r="F188" s="2">
        <v>3.74</v>
      </c>
      <c r="G188" s="2" t="s">
        <v>154</v>
      </c>
      <c r="H188" s="9">
        <v>-1</v>
      </c>
      <c r="I188">
        <v>-1</v>
      </c>
      <c r="J188"/>
      <c r="K188" s="2">
        <v>8</v>
      </c>
      <c r="L188" s="25">
        <v>0</v>
      </c>
      <c r="M188">
        <v>0</v>
      </c>
      <c r="N188">
        <v>0</v>
      </c>
      <c r="O188" s="2">
        <f t="shared" ref="O188:P191" si="9">3.88*2</f>
        <v>7.76</v>
      </c>
      <c r="P188" s="2">
        <f t="shared" si="9"/>
        <v>7.76</v>
      </c>
      <c r="Q188" s="2">
        <v>33.08</v>
      </c>
      <c r="T188" s="25">
        <v>0</v>
      </c>
      <c r="U188" s="25"/>
      <c r="V188" s="25"/>
      <c r="W188">
        <v>0</v>
      </c>
      <c r="X188"/>
      <c r="Y188"/>
      <c r="Z188">
        <v>0</v>
      </c>
      <c r="AA188"/>
      <c r="AB188"/>
      <c r="AD188">
        <v>20</v>
      </c>
      <c r="AE188" s="55">
        <f t="shared" si="5"/>
        <v>1991.9982079999997</v>
      </c>
      <c r="AF188" s="57">
        <v>0</v>
      </c>
      <c r="AG188" s="55">
        <v>0</v>
      </c>
      <c r="AH188" s="55">
        <v>0</v>
      </c>
      <c r="AI188" s="52">
        <f t="shared" si="7"/>
        <v>8.0321357397526341E-2</v>
      </c>
      <c r="AJ188" s="51"/>
      <c r="AK188" s="52"/>
      <c r="AL188" s="52"/>
      <c r="AM188" s="28">
        <v>1.8125</v>
      </c>
      <c r="AN188" s="28">
        <v>2.5</v>
      </c>
      <c r="AO188" s="28">
        <v>0.6875</v>
      </c>
      <c r="AP188" s="28">
        <v>0.875</v>
      </c>
      <c r="AQ188" s="28">
        <v>0.30851063829787229</v>
      </c>
      <c r="AR188" s="28">
        <v>0.42553191489361702</v>
      </c>
      <c r="AS188" s="28">
        <v>0.1170212765957447</v>
      </c>
      <c r="AT188" s="28">
        <v>0.14893617021276601</v>
      </c>
      <c r="AU188" s="25">
        <v>0.95</v>
      </c>
      <c r="AV188" s="25">
        <v>3.44</v>
      </c>
      <c r="AW188" s="25">
        <v>2.4900000000000002</v>
      </c>
      <c r="AX188" s="25">
        <v>2.7</v>
      </c>
      <c r="AY188">
        <v>2.7</v>
      </c>
      <c r="AZ188">
        <v>6.2457408593656876</v>
      </c>
      <c r="BD188">
        <v>4.0160678698763171E-2</v>
      </c>
      <c r="BH188">
        <v>8.0321357397526341E-2</v>
      </c>
      <c r="BI188">
        <v>4.0160678698763171E-2</v>
      </c>
      <c r="BJ188">
        <v>0</v>
      </c>
    </row>
    <row r="189" spans="1:62" x14ac:dyDescent="0.3">
      <c r="A189" s="2" t="s">
        <v>160</v>
      </c>
      <c r="B189" s="17" t="s">
        <v>781</v>
      </c>
      <c r="C189" s="13"/>
      <c r="D189" s="2" t="s">
        <v>863</v>
      </c>
      <c r="E189" s="2">
        <v>4</v>
      </c>
      <c r="F189" s="2">
        <v>3.74</v>
      </c>
      <c r="G189" s="2" t="s">
        <v>154</v>
      </c>
      <c r="H189" s="9">
        <v>-1</v>
      </c>
      <c r="I189">
        <v>-1</v>
      </c>
      <c r="J189"/>
      <c r="K189" s="2">
        <v>8</v>
      </c>
      <c r="L189" s="25">
        <v>0</v>
      </c>
      <c r="M189">
        <v>0</v>
      </c>
      <c r="N189">
        <v>0</v>
      </c>
      <c r="O189" s="2">
        <f t="shared" si="9"/>
        <v>7.76</v>
      </c>
      <c r="P189" s="2">
        <f t="shared" si="9"/>
        <v>7.76</v>
      </c>
      <c r="Q189" s="2">
        <v>33.24</v>
      </c>
      <c r="T189" s="25">
        <v>0</v>
      </c>
      <c r="U189" s="25"/>
      <c r="V189" s="25"/>
      <c r="W189">
        <v>0</v>
      </c>
      <c r="X189"/>
      <c r="Y189"/>
      <c r="Z189">
        <v>0</v>
      </c>
      <c r="AA189"/>
      <c r="AB189"/>
      <c r="AD189">
        <v>20</v>
      </c>
      <c r="AE189" s="55">
        <f t="shared" si="5"/>
        <v>2001.633024</v>
      </c>
      <c r="AF189" s="57">
        <v>0</v>
      </c>
      <c r="AG189" s="55">
        <v>0</v>
      </c>
      <c r="AH189" s="55">
        <v>0</v>
      </c>
      <c r="AI189" s="52">
        <f t="shared" si="7"/>
        <v>7.9934732331834277E-2</v>
      </c>
      <c r="AJ189" s="51"/>
      <c r="AK189" s="52"/>
      <c r="AL189" s="52"/>
      <c r="AM189" s="28">
        <v>1.8666666666666669</v>
      </c>
      <c r="AN189" s="28">
        <v>2.666666666666667</v>
      </c>
      <c r="AO189" s="28">
        <v>0.46666666666666667</v>
      </c>
      <c r="AP189" s="28">
        <v>0.93333333333333335</v>
      </c>
      <c r="AQ189" s="28">
        <v>0.3146067415730337</v>
      </c>
      <c r="AR189" s="28">
        <v>0.44943820224719089</v>
      </c>
      <c r="AS189" s="28">
        <v>7.8651685393258425E-2</v>
      </c>
      <c r="AT189" s="28">
        <v>0.15730337078651679</v>
      </c>
      <c r="AU189" s="25">
        <v>0.95</v>
      </c>
      <c r="AV189" s="25">
        <v>3.44</v>
      </c>
      <c r="AW189" s="25">
        <v>2.4900000000000002</v>
      </c>
      <c r="AX189" s="25">
        <v>2.773333333333333</v>
      </c>
      <c r="AY189">
        <v>2.773333333333333</v>
      </c>
      <c r="AZ189">
        <v>6.4062483499900669</v>
      </c>
      <c r="BD189">
        <v>3.9967366165917138E-2</v>
      </c>
      <c r="BH189">
        <v>7.9934732331834277E-2</v>
      </c>
      <c r="BI189">
        <v>3.9967366165917138E-2</v>
      </c>
      <c r="BJ189">
        <v>0</v>
      </c>
    </row>
    <row r="190" spans="1:62" x14ac:dyDescent="0.3">
      <c r="A190" s="2" t="s">
        <v>161</v>
      </c>
      <c r="B190" s="17" t="s">
        <v>782</v>
      </c>
      <c r="C190" s="13"/>
      <c r="D190" s="2" t="s">
        <v>863</v>
      </c>
      <c r="E190" s="2">
        <v>4</v>
      </c>
      <c r="F190" s="2">
        <v>3.78</v>
      </c>
      <c r="G190" s="2" t="s">
        <v>154</v>
      </c>
      <c r="H190" s="9">
        <v>-1</v>
      </c>
      <c r="I190">
        <v>-1</v>
      </c>
      <c r="J190"/>
      <c r="K190" s="2">
        <v>8</v>
      </c>
      <c r="L190" s="25">
        <v>0</v>
      </c>
      <c r="M190">
        <v>0</v>
      </c>
      <c r="N190">
        <v>0</v>
      </c>
      <c r="O190" s="2">
        <f t="shared" si="9"/>
        <v>7.76</v>
      </c>
      <c r="P190" s="2">
        <f t="shared" si="9"/>
        <v>7.76</v>
      </c>
      <c r="Q190" s="2">
        <v>33</v>
      </c>
      <c r="T190" s="25">
        <v>0</v>
      </c>
      <c r="U190" s="25"/>
      <c r="V190" s="25"/>
      <c r="W190">
        <v>0</v>
      </c>
      <c r="X190"/>
      <c r="Y190"/>
      <c r="Z190">
        <v>0</v>
      </c>
      <c r="AA190"/>
      <c r="AB190"/>
      <c r="AD190">
        <v>20</v>
      </c>
      <c r="AE190" s="55">
        <f t="shared" si="5"/>
        <v>1987.1807999999999</v>
      </c>
      <c r="AF190" s="57">
        <v>0</v>
      </c>
      <c r="AG190" s="55">
        <v>0</v>
      </c>
      <c r="AH190" s="55">
        <v>0</v>
      </c>
      <c r="AI190" s="52">
        <f t="shared" si="7"/>
        <v>8.0516075839702161E-2</v>
      </c>
      <c r="AJ190" s="51"/>
      <c r="AK190" s="52"/>
      <c r="AL190" s="52"/>
      <c r="AM190" s="28">
        <v>1.875</v>
      </c>
      <c r="AN190" s="28">
        <v>2.5</v>
      </c>
      <c r="AO190" s="28">
        <v>0.625</v>
      </c>
      <c r="AP190" s="28">
        <v>1.75</v>
      </c>
      <c r="AQ190" s="28">
        <v>0.27777777777777779</v>
      </c>
      <c r="AR190" s="28">
        <v>0.37037037037037029</v>
      </c>
      <c r="AS190" s="28">
        <v>9.2592592592592587E-2</v>
      </c>
      <c r="AT190" s="28">
        <v>0.25925925925925919</v>
      </c>
      <c r="AU190" s="25">
        <v>0.95</v>
      </c>
      <c r="AV190" s="25">
        <v>3.44</v>
      </c>
      <c r="AW190" s="25">
        <v>2.4900000000000002</v>
      </c>
      <c r="AX190" s="25">
        <v>2.6937500000000001</v>
      </c>
      <c r="AY190">
        <v>2.6937500000000001</v>
      </c>
      <c r="AZ190">
        <v>6.2518794218656879</v>
      </c>
      <c r="BD190">
        <v>4.0258037919851081E-2</v>
      </c>
      <c r="BH190">
        <v>8.0516075839702161E-2</v>
      </c>
      <c r="BI190">
        <v>4.0258037919851081E-2</v>
      </c>
      <c r="BJ190">
        <v>0</v>
      </c>
    </row>
    <row r="191" spans="1:62" x14ac:dyDescent="0.3">
      <c r="A191" s="2" t="s">
        <v>162</v>
      </c>
      <c r="B191" s="17" t="s">
        <v>783</v>
      </c>
      <c r="C191" s="13"/>
      <c r="D191" s="2" t="s">
        <v>863</v>
      </c>
      <c r="E191" s="2">
        <v>4</v>
      </c>
      <c r="F191" s="2">
        <v>3.99</v>
      </c>
      <c r="G191" s="2" t="s">
        <v>154</v>
      </c>
      <c r="H191" s="9">
        <v>-1</v>
      </c>
      <c r="I191">
        <v>-1</v>
      </c>
      <c r="J191"/>
      <c r="K191" s="2">
        <v>8</v>
      </c>
      <c r="L191" s="25">
        <v>0</v>
      </c>
      <c r="M191">
        <v>0</v>
      </c>
      <c r="N191">
        <v>0</v>
      </c>
      <c r="O191" s="2">
        <f t="shared" si="9"/>
        <v>7.76</v>
      </c>
      <c r="P191" s="2">
        <f t="shared" si="9"/>
        <v>7.76</v>
      </c>
      <c r="Q191" s="2">
        <v>29.18</v>
      </c>
      <c r="T191" s="25">
        <v>0</v>
      </c>
      <c r="U191" s="25"/>
      <c r="V191" s="25"/>
      <c r="W191">
        <v>0</v>
      </c>
      <c r="X191"/>
      <c r="Y191"/>
      <c r="Z191">
        <v>0</v>
      </c>
      <c r="AA191"/>
      <c r="AB191"/>
      <c r="AD191">
        <v>20</v>
      </c>
      <c r="AE191" s="55">
        <f t="shared" si="5"/>
        <v>1757.1495679999998</v>
      </c>
      <c r="AF191" s="57">
        <v>0</v>
      </c>
      <c r="AG191" s="55">
        <v>0</v>
      </c>
      <c r="AH191" s="55">
        <v>0</v>
      </c>
      <c r="AI191" s="52">
        <f t="shared" si="7"/>
        <v>9.1056562807065505E-2</v>
      </c>
      <c r="AJ191" s="51"/>
      <c r="AK191" s="52"/>
      <c r="AL191" s="52"/>
      <c r="AM191" s="28">
        <v>1.9375</v>
      </c>
      <c r="AN191" s="28">
        <v>2.5</v>
      </c>
      <c r="AO191" s="28">
        <v>0.5625</v>
      </c>
      <c r="AP191" s="28">
        <v>2.625</v>
      </c>
      <c r="AQ191" s="28">
        <v>0.25409836065573771</v>
      </c>
      <c r="AR191" s="28">
        <v>0.32786885245901642</v>
      </c>
      <c r="AS191" s="28">
        <v>7.3770491803278687E-2</v>
      </c>
      <c r="AT191" s="28">
        <v>0.34426229508196721</v>
      </c>
      <c r="AU191" s="25">
        <v>0.95</v>
      </c>
      <c r="AV191" s="25">
        <v>3.44</v>
      </c>
      <c r="AW191" s="25">
        <v>2.4900000000000002</v>
      </c>
      <c r="AX191" s="25">
        <v>2.6875</v>
      </c>
      <c r="AY191">
        <v>2.6875</v>
      </c>
      <c r="AZ191">
        <v>6.2580179843656882</v>
      </c>
      <c r="BD191">
        <v>4.5528281403532753E-2</v>
      </c>
      <c r="BH191">
        <v>9.1056562807065505E-2</v>
      </c>
      <c r="BI191">
        <v>4.5528281403532753E-2</v>
      </c>
      <c r="BJ191">
        <v>0</v>
      </c>
    </row>
    <row r="192" spans="1:62" x14ac:dyDescent="0.3">
      <c r="A192" s="2" t="s">
        <v>4</v>
      </c>
      <c r="B192" s="13" t="s">
        <v>689</v>
      </c>
      <c r="C192" s="13"/>
      <c r="F192" s="2">
        <v>3.5</v>
      </c>
      <c r="G192" s="2" t="s">
        <v>163</v>
      </c>
      <c r="H192" s="9" t="s">
        <v>527</v>
      </c>
      <c r="I192" t="s">
        <v>609</v>
      </c>
      <c r="J192"/>
      <c r="L192" s="25">
        <v>4</v>
      </c>
      <c r="M192">
        <v>4</v>
      </c>
      <c r="N192">
        <v>0</v>
      </c>
      <c r="T192" s="25">
        <v>7.8084429999999996</v>
      </c>
      <c r="U192" s="25">
        <v>7.8548809999999998</v>
      </c>
      <c r="V192" s="25">
        <v>15.19056011</v>
      </c>
      <c r="W192">
        <v>3.8801999999999999</v>
      </c>
      <c r="X192">
        <v>29.507999999999999</v>
      </c>
      <c r="Y192">
        <v>7.7140000000000004</v>
      </c>
      <c r="Z192">
        <v>0</v>
      </c>
      <c r="AA192"/>
      <c r="AB192"/>
      <c r="AD192">
        <v>20</v>
      </c>
      <c r="AE192" s="55">
        <f t="shared" si="5"/>
        <v>0</v>
      </c>
      <c r="AF192" s="57">
        <v>924.74694800021894</v>
      </c>
      <c r="AG192" s="55">
        <v>883.22940750240002</v>
      </c>
      <c r="AH192" s="55">
        <v>0</v>
      </c>
      <c r="AI192" s="52"/>
      <c r="AJ192" s="51">
        <v>8.6510153045653584E-2</v>
      </c>
      <c r="AK192" s="52">
        <v>9.0576694254581439E-2</v>
      </c>
      <c r="AL192" s="52"/>
      <c r="AM192" s="28">
        <v>1.75</v>
      </c>
      <c r="AN192" s="28">
        <v>2.5</v>
      </c>
      <c r="AO192" s="28">
        <v>0.75</v>
      </c>
      <c r="AP192" s="28">
        <v>0</v>
      </c>
      <c r="AQ192" s="28">
        <v>0.35</v>
      </c>
      <c r="AR192" s="28">
        <v>0.5</v>
      </c>
      <c r="AS192" s="28">
        <v>0.15</v>
      </c>
      <c r="AT192" s="28">
        <v>0</v>
      </c>
      <c r="AU192" s="25">
        <v>0.82</v>
      </c>
      <c r="AV192" s="25">
        <v>3.44</v>
      </c>
      <c r="AW192" s="25">
        <v>2.62</v>
      </c>
      <c r="AX192" s="25">
        <v>2.6262500000000002</v>
      </c>
      <c r="AY192">
        <v>2.6262500000000002</v>
      </c>
      <c r="AZ192">
        <v>5.96680968125</v>
      </c>
      <c r="BA192" s="75">
        <v>0.50555206026575039</v>
      </c>
      <c r="BB192" s="75">
        <v>0</v>
      </c>
      <c r="BE192">
        <v>4.3255076522826792E-2</v>
      </c>
      <c r="BF192">
        <v>4.5288347127290719E-2</v>
      </c>
      <c r="BH192">
        <v>8.8543423650117511E-2</v>
      </c>
      <c r="BI192">
        <v>4.4271711825058763E-2</v>
      </c>
      <c r="BJ192">
        <v>0.2527760301328752</v>
      </c>
    </row>
    <row r="193" spans="1:62" x14ac:dyDescent="0.3">
      <c r="A193" s="2" t="s">
        <v>165</v>
      </c>
      <c r="B193" s="13" t="s">
        <v>784</v>
      </c>
      <c r="C193" s="13"/>
      <c r="F193" s="2">
        <v>2.84</v>
      </c>
      <c r="G193" s="2" t="s">
        <v>164</v>
      </c>
      <c r="H193" s="9">
        <v>-1</v>
      </c>
      <c r="I193">
        <v>-1</v>
      </c>
      <c r="J193"/>
      <c r="K193" s="2">
        <v>2</v>
      </c>
      <c r="L193" s="25">
        <v>0</v>
      </c>
      <c r="M193">
        <v>0</v>
      </c>
      <c r="N193">
        <v>0</v>
      </c>
      <c r="O193" s="2">
        <v>3.97</v>
      </c>
      <c r="P193" s="2">
        <v>3.97</v>
      </c>
      <c r="Q193" s="2">
        <v>22.5</v>
      </c>
      <c r="T193" s="25">
        <v>0</v>
      </c>
      <c r="U193" s="25"/>
      <c r="V193" s="25"/>
      <c r="W193">
        <v>0</v>
      </c>
      <c r="X193"/>
      <c r="Y193"/>
      <c r="Z193">
        <v>0</v>
      </c>
      <c r="AA193"/>
      <c r="AB193"/>
      <c r="AD193">
        <v>18</v>
      </c>
      <c r="AE193" s="55">
        <f t="shared" si="5"/>
        <v>354.62025000000006</v>
      </c>
      <c r="AF193" s="57">
        <v>0</v>
      </c>
      <c r="AG193" s="55">
        <v>0</v>
      </c>
      <c r="AH193" s="55">
        <v>0</v>
      </c>
      <c r="AI193" s="52">
        <f t="shared" si="7"/>
        <v>0.10151704534639518</v>
      </c>
      <c r="AJ193" s="51"/>
      <c r="AK193" s="52"/>
      <c r="AL193" s="52"/>
      <c r="AM193" s="28">
        <v>1.8</v>
      </c>
      <c r="AN193" s="28">
        <v>2.4</v>
      </c>
      <c r="AO193" s="28">
        <v>1.1333333333333331</v>
      </c>
      <c r="AP193" s="28">
        <v>0</v>
      </c>
      <c r="AQ193" s="28">
        <v>0.33750000000000002</v>
      </c>
      <c r="AR193" s="28">
        <v>0.45</v>
      </c>
      <c r="AS193" s="28">
        <v>0.21249999999999999</v>
      </c>
      <c r="AT193" s="28">
        <v>0</v>
      </c>
      <c r="AU193" s="25">
        <v>0.93</v>
      </c>
      <c r="AV193" s="25">
        <v>3.44</v>
      </c>
      <c r="AW193" s="25">
        <v>2.5099999999999998</v>
      </c>
      <c r="AX193" s="25">
        <v>2.6033333333333331</v>
      </c>
      <c r="AY193">
        <v>2.6033333333333331</v>
      </c>
      <c r="AZ193">
        <v>5.9143459586666669</v>
      </c>
      <c r="BD193">
        <v>5.0758522673197588E-2</v>
      </c>
      <c r="BH193">
        <v>0.1015170453463952</v>
      </c>
      <c r="BI193">
        <v>5.0758522673197588E-2</v>
      </c>
      <c r="BJ193">
        <v>0</v>
      </c>
    </row>
    <row r="194" spans="1:62" x14ac:dyDescent="0.3">
      <c r="A194" s="2" t="s">
        <v>166</v>
      </c>
      <c r="B194" s="13" t="s">
        <v>785</v>
      </c>
      <c r="C194" s="13"/>
      <c r="F194" s="2">
        <v>3.48</v>
      </c>
      <c r="G194" s="2" t="s">
        <v>164</v>
      </c>
      <c r="H194" s="9">
        <v>-1</v>
      </c>
      <c r="I194">
        <v>-1</v>
      </c>
      <c r="J194"/>
      <c r="K194" s="2">
        <v>2</v>
      </c>
      <c r="L194" s="25">
        <v>0</v>
      </c>
      <c r="M194">
        <v>0</v>
      </c>
      <c r="N194">
        <v>0</v>
      </c>
      <c r="O194" s="2">
        <v>3.97</v>
      </c>
      <c r="P194" s="2">
        <v>3.97</v>
      </c>
      <c r="Q194" s="2">
        <v>22.5</v>
      </c>
      <c r="T194" s="25">
        <v>0</v>
      </c>
      <c r="U194" s="25"/>
      <c r="V194" s="25"/>
      <c r="W194">
        <v>0</v>
      </c>
      <c r="X194"/>
      <c r="Y194"/>
      <c r="Z194">
        <v>0</v>
      </c>
      <c r="AA194"/>
      <c r="AB194"/>
      <c r="AC194" s="2">
        <v>3</v>
      </c>
      <c r="AD194">
        <v>18</v>
      </c>
      <c r="AE194" s="55">
        <f t="shared" si="5"/>
        <v>354.62025000000006</v>
      </c>
      <c r="AF194" s="57">
        <v>0</v>
      </c>
      <c r="AG194" s="55">
        <v>0</v>
      </c>
      <c r="AH194" s="55">
        <v>0</v>
      </c>
      <c r="AI194" s="52">
        <f t="shared" si="7"/>
        <v>0.10151704534639518</v>
      </c>
      <c r="AJ194" s="51"/>
      <c r="AK194" s="52"/>
      <c r="AL194" s="52"/>
      <c r="AM194" s="28">
        <v>1.8</v>
      </c>
      <c r="AN194" s="28">
        <v>2.4</v>
      </c>
      <c r="AO194" s="28">
        <v>1.1333333333333331</v>
      </c>
      <c r="AP194" s="28">
        <v>0</v>
      </c>
      <c r="AQ194" s="28">
        <v>0.33750000000000002</v>
      </c>
      <c r="AR194" s="28">
        <v>0.45</v>
      </c>
      <c r="AS194" s="28">
        <v>0.21249999999999999</v>
      </c>
      <c r="AT194" s="28">
        <v>0</v>
      </c>
      <c r="AU194" s="25">
        <v>0.79</v>
      </c>
      <c r="AV194" s="25">
        <v>3.44</v>
      </c>
      <c r="AW194" s="25">
        <v>2.65</v>
      </c>
      <c r="AX194" s="25">
        <v>2.5939999999999999</v>
      </c>
      <c r="AY194">
        <v>2.5939999999999999</v>
      </c>
      <c r="AZ194">
        <v>5.870297050914334</v>
      </c>
      <c r="BD194">
        <v>5.0758522673197588E-2</v>
      </c>
      <c r="BH194">
        <v>0.1015170453463952</v>
      </c>
      <c r="BI194">
        <v>5.0758522673197588E-2</v>
      </c>
      <c r="BJ194">
        <v>0</v>
      </c>
    </row>
    <row r="195" spans="1:62" x14ac:dyDescent="0.3">
      <c r="A195" s="5" t="s">
        <v>167</v>
      </c>
      <c r="B195" s="39" t="s">
        <v>786</v>
      </c>
      <c r="C195" s="39"/>
      <c r="D195" s="5"/>
      <c r="E195" s="5"/>
      <c r="F195" s="5">
        <v>3.49</v>
      </c>
      <c r="G195" s="5" t="s">
        <v>164</v>
      </c>
      <c r="H195" s="40">
        <v>-2</v>
      </c>
      <c r="I195" s="5">
        <v>-1</v>
      </c>
      <c r="J195" s="5"/>
      <c r="K195" s="5"/>
      <c r="L195" s="41">
        <v>0</v>
      </c>
      <c r="M195">
        <v>0</v>
      </c>
      <c r="N195">
        <v>0</v>
      </c>
      <c r="O195" s="5"/>
      <c r="P195" s="5"/>
      <c r="Q195" s="5"/>
      <c r="R195" s="5"/>
      <c r="S195" s="5"/>
      <c r="T195" s="41">
        <v>0</v>
      </c>
      <c r="U195" s="41"/>
      <c r="V195" s="41"/>
      <c r="W195">
        <v>0</v>
      </c>
      <c r="X195"/>
      <c r="Y195"/>
      <c r="Z195">
        <v>0</v>
      </c>
      <c r="AA195"/>
      <c r="AB195"/>
      <c r="AC195" s="5"/>
      <c r="AD195" s="5">
        <v>18</v>
      </c>
      <c r="AE195" s="55">
        <f t="shared" ref="AE195:AE258" si="10">O195*P195*Q195</f>
        <v>0</v>
      </c>
      <c r="AF195" s="57">
        <v>0</v>
      </c>
      <c r="AG195" s="55">
        <v>0</v>
      </c>
      <c r="AH195" s="55">
        <v>0</v>
      </c>
      <c r="AI195" s="52"/>
      <c r="AJ195" s="51"/>
      <c r="AK195" s="52"/>
      <c r="AL195" s="52"/>
      <c r="AM195" s="5">
        <v>1.8</v>
      </c>
      <c r="AN195" s="5">
        <v>2.4</v>
      </c>
      <c r="AO195" s="5">
        <v>1.1333333333333331</v>
      </c>
      <c r="AP195" s="5">
        <v>0</v>
      </c>
      <c r="AQ195" s="5">
        <v>0.33750000000000002</v>
      </c>
      <c r="AR195" s="5">
        <v>0.45</v>
      </c>
      <c r="AS195" s="5">
        <v>0.21249999999999999</v>
      </c>
      <c r="AT195" s="5">
        <v>0</v>
      </c>
      <c r="AU195" s="41">
        <v>0.95</v>
      </c>
      <c r="AV195" s="41">
        <v>3.44</v>
      </c>
      <c r="AW195" s="41">
        <v>2.4900000000000002</v>
      </c>
      <c r="AX195" s="41">
        <v>2.6880000000000011</v>
      </c>
      <c r="AY195" s="5">
        <v>2.6880000000000002</v>
      </c>
      <c r="AZ195" s="5">
        <v>6.2032136049900668</v>
      </c>
      <c r="BH195">
        <v>0</v>
      </c>
      <c r="BI195">
        <v>0</v>
      </c>
      <c r="BJ195">
        <v>0</v>
      </c>
    </row>
    <row r="196" spans="1:62" x14ac:dyDescent="0.3">
      <c r="A196" s="2" t="s">
        <v>63</v>
      </c>
      <c r="B196" s="68" t="s">
        <v>1222</v>
      </c>
      <c r="C196" s="13"/>
      <c r="F196" s="2">
        <v>3.75</v>
      </c>
      <c r="G196" s="2" t="s">
        <v>168</v>
      </c>
      <c r="H196" s="9">
        <v>-1</v>
      </c>
      <c r="I196">
        <v>-1</v>
      </c>
      <c r="J196"/>
      <c r="K196" s="2">
        <v>2</v>
      </c>
      <c r="L196" s="25">
        <v>0</v>
      </c>
      <c r="M196">
        <v>0</v>
      </c>
      <c r="N196">
        <v>0</v>
      </c>
      <c r="O196" s="2">
        <v>3.8530000000000002</v>
      </c>
      <c r="P196" s="2">
        <v>3.8530000000000002</v>
      </c>
      <c r="Q196" s="2">
        <v>29</v>
      </c>
      <c r="R196"/>
      <c r="S196"/>
      <c r="T196" s="25">
        <v>0</v>
      </c>
      <c r="U196" s="25"/>
      <c r="V196" s="25"/>
      <c r="W196">
        <v>0</v>
      </c>
      <c r="X196"/>
      <c r="Y196"/>
      <c r="Z196">
        <v>0</v>
      </c>
      <c r="AA196"/>
      <c r="AB196"/>
      <c r="AC196" s="2">
        <v>3</v>
      </c>
      <c r="AD196">
        <v>20</v>
      </c>
      <c r="AE196" s="55">
        <f t="shared" si="10"/>
        <v>430.52266100000003</v>
      </c>
      <c r="AF196" s="57">
        <v>0</v>
      </c>
      <c r="AG196" s="55">
        <v>0</v>
      </c>
      <c r="AH196" s="55">
        <v>0</v>
      </c>
      <c r="AI196" s="52">
        <f t="shared" si="7"/>
        <v>9.2910324179195758E-2</v>
      </c>
      <c r="AJ196" s="51"/>
      <c r="AK196" s="52"/>
      <c r="AL196" s="52"/>
      <c r="AM196" s="28">
        <v>1.75</v>
      </c>
      <c r="AN196" s="28">
        <v>2.5</v>
      </c>
      <c r="AO196" s="28">
        <v>0.75</v>
      </c>
      <c r="AP196" s="28">
        <v>0</v>
      </c>
      <c r="AQ196" s="28">
        <v>0.35</v>
      </c>
      <c r="AR196" s="28">
        <v>0.5</v>
      </c>
      <c r="AS196" s="28">
        <v>0.15</v>
      </c>
      <c r="AT196" s="28">
        <v>0</v>
      </c>
      <c r="AU196" s="25">
        <v>1</v>
      </c>
      <c r="AV196" s="25">
        <v>3.44</v>
      </c>
      <c r="AW196" s="25">
        <v>2.44</v>
      </c>
      <c r="AX196" s="25">
        <v>2.7124999999999999</v>
      </c>
      <c r="AY196">
        <v>2.7124999999999999</v>
      </c>
      <c r="AZ196">
        <v>6.264025610615688</v>
      </c>
      <c r="BD196">
        <v>4.6455162089597879E-2</v>
      </c>
      <c r="BH196">
        <v>9.2910324179195758E-2</v>
      </c>
      <c r="BI196">
        <v>4.6455162089597879E-2</v>
      </c>
      <c r="BJ196">
        <v>0</v>
      </c>
    </row>
    <row r="197" spans="1:62" x14ac:dyDescent="0.3">
      <c r="A197" s="2" t="s">
        <v>232</v>
      </c>
      <c r="B197" s="68" t="s">
        <v>1223</v>
      </c>
      <c r="C197" s="13"/>
      <c r="F197" s="2">
        <v>3.86</v>
      </c>
      <c r="G197" s="2" t="s">
        <v>168</v>
      </c>
      <c r="H197" s="9">
        <v>-1</v>
      </c>
      <c r="I197">
        <v>-1</v>
      </c>
      <c r="J197"/>
      <c r="K197" s="2">
        <v>2</v>
      </c>
      <c r="L197" s="25">
        <v>0</v>
      </c>
      <c r="M197">
        <v>0</v>
      </c>
      <c r="N197">
        <v>0</v>
      </c>
      <c r="O197" s="2">
        <v>3.8530000000000002</v>
      </c>
      <c r="P197" s="2">
        <v>3.8530000000000002</v>
      </c>
      <c r="Q197" s="2">
        <v>31.24</v>
      </c>
      <c r="T197" s="25">
        <v>0</v>
      </c>
      <c r="U197" s="25"/>
      <c r="V197" s="25"/>
      <c r="W197">
        <v>0</v>
      </c>
      <c r="X197"/>
      <c r="Y197"/>
      <c r="Z197">
        <v>0</v>
      </c>
      <c r="AA197"/>
      <c r="AB197"/>
      <c r="AC197" s="2">
        <v>3</v>
      </c>
      <c r="AD197">
        <v>20</v>
      </c>
      <c r="AE197" s="55">
        <f t="shared" si="10"/>
        <v>463.77682516000004</v>
      </c>
      <c r="AF197" s="57">
        <v>0</v>
      </c>
      <c r="AG197" s="55">
        <v>0</v>
      </c>
      <c r="AH197" s="55">
        <v>0</v>
      </c>
      <c r="AI197" s="52">
        <f t="shared" si="7"/>
        <v>8.6248380319996057E-2</v>
      </c>
      <c r="AJ197" s="51"/>
      <c r="AK197" s="52"/>
      <c r="AL197" s="52"/>
      <c r="AM197" s="28">
        <v>1.8125</v>
      </c>
      <c r="AN197" s="28">
        <v>2.5</v>
      </c>
      <c r="AO197" s="28">
        <v>0.6875</v>
      </c>
      <c r="AP197" s="28">
        <v>0.875</v>
      </c>
      <c r="AQ197" s="28">
        <v>0.30851063829787229</v>
      </c>
      <c r="AR197" s="28">
        <v>0.42553191489361702</v>
      </c>
      <c r="AS197" s="28">
        <v>0.1170212765957447</v>
      </c>
      <c r="AT197" s="28">
        <v>0.14893617021276601</v>
      </c>
      <c r="AU197" s="25">
        <v>1</v>
      </c>
      <c r="AV197" s="25">
        <v>3.44</v>
      </c>
      <c r="AW197" s="25">
        <v>2.44</v>
      </c>
      <c r="AX197" s="25">
        <v>2.7062499999999998</v>
      </c>
      <c r="AY197">
        <v>2.7062499999999998</v>
      </c>
      <c r="AZ197">
        <v>6.2701641731156874</v>
      </c>
      <c r="BD197">
        <v>4.3124190159998028E-2</v>
      </c>
      <c r="BH197">
        <v>8.6248380319996057E-2</v>
      </c>
      <c r="BI197">
        <v>4.3124190159998028E-2</v>
      </c>
      <c r="BJ197">
        <v>0</v>
      </c>
    </row>
    <row r="198" spans="1:62" x14ac:dyDescent="0.3">
      <c r="A198" s="2" t="s">
        <v>1220</v>
      </c>
      <c r="B198" s="68" t="s">
        <v>1224</v>
      </c>
      <c r="C198" s="13"/>
      <c r="F198" s="2">
        <v>4.01</v>
      </c>
      <c r="G198" s="2" t="s">
        <v>168</v>
      </c>
      <c r="H198" s="9">
        <v>-1</v>
      </c>
      <c r="I198">
        <v>-1</v>
      </c>
      <c r="J198"/>
      <c r="K198" s="2">
        <v>2</v>
      </c>
      <c r="L198" s="25">
        <v>0</v>
      </c>
      <c r="M198">
        <v>0</v>
      </c>
      <c r="N198">
        <v>0</v>
      </c>
      <c r="O198" s="2">
        <v>3.8530000000000002</v>
      </c>
      <c r="P198" s="2">
        <v>3.8530000000000002</v>
      </c>
      <c r="Q198" s="2">
        <v>31.54</v>
      </c>
      <c r="T198" s="25">
        <v>0</v>
      </c>
      <c r="U198" s="25"/>
      <c r="V198" s="25"/>
      <c r="W198">
        <v>0</v>
      </c>
      <c r="X198"/>
      <c r="Y198"/>
      <c r="Z198">
        <v>0</v>
      </c>
      <c r="AA198"/>
      <c r="AB198"/>
      <c r="AC198" s="2">
        <v>3</v>
      </c>
      <c r="AD198">
        <v>20</v>
      </c>
      <c r="AE198" s="55">
        <f t="shared" si="10"/>
        <v>468.23050786000005</v>
      </c>
      <c r="AF198" s="57">
        <v>0</v>
      </c>
      <c r="AG198" s="55">
        <v>0</v>
      </c>
      <c r="AH198" s="55">
        <v>0</v>
      </c>
      <c r="AI198" s="52">
        <f t="shared" si="7"/>
        <v>8.5428008915557282E-2</v>
      </c>
      <c r="AJ198" s="51"/>
      <c r="AK198" s="52"/>
      <c r="AL198" s="52"/>
      <c r="AM198" s="28">
        <v>1.84375</v>
      </c>
      <c r="AN198" s="28">
        <v>2.5</v>
      </c>
      <c r="AO198" s="28">
        <v>0.65625</v>
      </c>
      <c r="AP198" s="28">
        <v>1.3125</v>
      </c>
      <c r="AQ198" s="28">
        <v>0.29207920792079212</v>
      </c>
      <c r="AR198" s="28">
        <v>0.39603960396039611</v>
      </c>
      <c r="AS198" s="28">
        <v>0.103960396039604</v>
      </c>
      <c r="AT198" s="28">
        <v>0.20792079207920791</v>
      </c>
      <c r="AU198" s="25">
        <v>1</v>
      </c>
      <c r="AV198" s="25">
        <v>3.44</v>
      </c>
      <c r="AW198" s="25">
        <v>2.44</v>
      </c>
      <c r="AX198" s="25">
        <v>2.703125</v>
      </c>
      <c r="AY198">
        <v>2.703125</v>
      </c>
      <c r="AZ198">
        <v>6.2732334543656876</v>
      </c>
      <c r="BD198">
        <v>4.2714004457778641E-2</v>
      </c>
      <c r="BH198">
        <v>8.5428008915557282E-2</v>
      </c>
      <c r="BI198">
        <v>4.2714004457778641E-2</v>
      </c>
      <c r="BJ198">
        <v>0</v>
      </c>
    </row>
    <row r="199" spans="1:62" x14ac:dyDescent="0.3">
      <c r="A199" s="2" t="s">
        <v>1221</v>
      </c>
      <c r="B199" s="68" t="s">
        <v>1225</v>
      </c>
      <c r="C199" s="13"/>
      <c r="F199" s="2">
        <v>4.16</v>
      </c>
      <c r="G199" s="2" t="s">
        <v>168</v>
      </c>
      <c r="H199" s="9">
        <v>-1</v>
      </c>
      <c r="I199">
        <v>-1</v>
      </c>
      <c r="J199"/>
      <c r="K199" s="2">
        <v>2</v>
      </c>
      <c r="L199" s="25">
        <v>0</v>
      </c>
      <c r="M199">
        <v>0</v>
      </c>
      <c r="N199">
        <v>0</v>
      </c>
      <c r="O199" s="2">
        <v>3.8530000000000002</v>
      </c>
      <c r="P199" s="2">
        <v>3.8530000000000002</v>
      </c>
      <c r="Q199" s="2">
        <v>32.4</v>
      </c>
      <c r="T199" s="25">
        <v>0</v>
      </c>
      <c r="U199" s="25"/>
      <c r="V199" s="25"/>
      <c r="W199">
        <v>0</v>
      </c>
      <c r="X199"/>
      <c r="Y199"/>
      <c r="Z199">
        <v>0</v>
      </c>
      <c r="AA199"/>
      <c r="AB199"/>
      <c r="AC199" s="2">
        <v>3</v>
      </c>
      <c r="AD199">
        <v>20</v>
      </c>
      <c r="AE199" s="55">
        <f t="shared" si="10"/>
        <v>480.99773160000001</v>
      </c>
      <c r="AF199" s="57">
        <v>0</v>
      </c>
      <c r="AG199" s="55">
        <v>0</v>
      </c>
      <c r="AH199" s="55">
        <v>0</v>
      </c>
      <c r="AI199" s="52">
        <f t="shared" si="7"/>
        <v>8.3160475345576454E-2</v>
      </c>
      <c r="AJ199" s="51"/>
      <c r="AK199" s="52"/>
      <c r="AL199" s="52"/>
      <c r="AM199" s="28">
        <v>1.875</v>
      </c>
      <c r="AN199" s="28">
        <v>2.5</v>
      </c>
      <c r="AO199" s="28">
        <v>0.625</v>
      </c>
      <c r="AP199" s="28">
        <v>1.75</v>
      </c>
      <c r="AQ199" s="28">
        <v>0.27777777777777779</v>
      </c>
      <c r="AR199" s="28">
        <v>0.37037037037037029</v>
      </c>
      <c r="AS199" s="28">
        <v>9.2592592592592587E-2</v>
      </c>
      <c r="AT199" s="28">
        <v>0.25925925925925919</v>
      </c>
      <c r="AU199" s="25">
        <v>1</v>
      </c>
      <c r="AV199" s="25">
        <v>3.44</v>
      </c>
      <c r="AW199" s="25">
        <v>2.44</v>
      </c>
      <c r="AX199" s="25">
        <v>2.7</v>
      </c>
      <c r="AY199">
        <v>2.7</v>
      </c>
      <c r="AZ199">
        <v>6.2763027356156877</v>
      </c>
      <c r="BD199">
        <v>4.1580237672788227E-2</v>
      </c>
      <c r="BH199">
        <v>8.3160475345576454E-2</v>
      </c>
      <c r="BI199">
        <v>4.1580237672788227E-2</v>
      </c>
      <c r="BJ199">
        <v>0</v>
      </c>
    </row>
    <row r="200" spans="1:62" x14ac:dyDescent="0.3">
      <c r="A200" s="2" t="s">
        <v>855</v>
      </c>
      <c r="B200" s="68" t="s">
        <v>1226</v>
      </c>
      <c r="C200" s="13"/>
      <c r="F200" s="2">
        <v>4.59</v>
      </c>
      <c r="G200" s="2" t="s">
        <v>168</v>
      </c>
      <c r="H200" s="9">
        <v>-1</v>
      </c>
      <c r="I200">
        <v>-1</v>
      </c>
      <c r="J200"/>
      <c r="K200" s="2">
        <v>2</v>
      </c>
      <c r="L200" s="25">
        <v>0</v>
      </c>
      <c r="M200">
        <v>0</v>
      </c>
      <c r="N200">
        <v>0</v>
      </c>
      <c r="O200" s="2">
        <v>3.8530000000000002</v>
      </c>
      <c r="P200" s="2">
        <v>3.8530000000000002</v>
      </c>
      <c r="Q200" s="2">
        <v>32.64</v>
      </c>
      <c r="R200" t="s">
        <v>496</v>
      </c>
      <c r="S200"/>
      <c r="T200" s="25">
        <v>0</v>
      </c>
      <c r="U200" s="25"/>
      <c r="V200" s="25"/>
      <c r="W200">
        <v>0</v>
      </c>
      <c r="X200"/>
      <c r="Y200"/>
      <c r="Z200">
        <v>0</v>
      </c>
      <c r="AA200"/>
      <c r="AB200"/>
      <c r="AC200" s="2">
        <v>3</v>
      </c>
      <c r="AD200">
        <v>20</v>
      </c>
      <c r="AE200" s="55">
        <f t="shared" si="10"/>
        <v>484.56067776000003</v>
      </c>
      <c r="AF200" s="57">
        <v>0</v>
      </c>
      <c r="AG200" s="55">
        <v>0</v>
      </c>
      <c r="AH200" s="55">
        <v>0</v>
      </c>
      <c r="AI200" s="52">
        <f t="shared" si="7"/>
        <v>8.2549001262153088E-2</v>
      </c>
      <c r="AJ200" s="51"/>
      <c r="AK200" s="52"/>
      <c r="AL200" s="52"/>
      <c r="AM200" s="28">
        <v>1.9375</v>
      </c>
      <c r="AN200" s="28">
        <v>2.5</v>
      </c>
      <c r="AO200" s="28">
        <v>0.5625</v>
      </c>
      <c r="AP200" s="28">
        <v>2.625</v>
      </c>
      <c r="AQ200" s="28">
        <v>0.25409836065573771</v>
      </c>
      <c r="AR200" s="28">
        <v>0.32786885245901642</v>
      </c>
      <c r="AS200" s="28">
        <v>7.3770491803278687E-2</v>
      </c>
      <c r="AT200" s="28">
        <v>0.34426229508196721</v>
      </c>
      <c r="AU200" s="25">
        <v>1</v>
      </c>
      <c r="AV200" s="25">
        <v>3.44</v>
      </c>
      <c r="AW200" s="25">
        <v>2.44</v>
      </c>
      <c r="AX200" s="25">
        <v>2.6937500000000001</v>
      </c>
      <c r="AY200">
        <v>2.6937500000000001</v>
      </c>
      <c r="AZ200">
        <v>6.2824412981156881</v>
      </c>
      <c r="BD200">
        <v>4.1274500631076537E-2</v>
      </c>
      <c r="BH200">
        <v>8.2549001262153088E-2</v>
      </c>
      <c r="BI200">
        <v>4.1274500631076537E-2</v>
      </c>
      <c r="BJ200">
        <v>0</v>
      </c>
    </row>
    <row r="201" spans="1:62" x14ac:dyDescent="0.3">
      <c r="A201" s="2" t="s">
        <v>2</v>
      </c>
      <c r="B201" s="13" t="s">
        <v>687</v>
      </c>
      <c r="C201" s="13"/>
      <c r="F201" s="2">
        <v>3.3</v>
      </c>
      <c r="G201" s="2" t="s">
        <v>174</v>
      </c>
      <c r="H201" s="9" t="s">
        <v>525</v>
      </c>
      <c r="I201">
        <v>-1</v>
      </c>
      <c r="J201"/>
      <c r="L201" s="25">
        <v>2</v>
      </c>
      <c r="M201">
        <v>0</v>
      </c>
      <c r="N201">
        <v>0</v>
      </c>
      <c r="O201" s="2">
        <v>5.4763999999999999</v>
      </c>
      <c r="P201" s="2">
        <v>22.404199999999999</v>
      </c>
      <c r="Q201" s="2">
        <v>5.1576000000000004</v>
      </c>
      <c r="R201" s="2" t="s">
        <v>515</v>
      </c>
      <c r="T201" s="25">
        <v>11.92921406</v>
      </c>
      <c r="U201" s="25">
        <v>11.92921406</v>
      </c>
      <c r="V201" s="25">
        <v>11.92921406</v>
      </c>
      <c r="W201">
        <v>0</v>
      </c>
      <c r="X201"/>
      <c r="Y201"/>
      <c r="Z201">
        <v>0</v>
      </c>
      <c r="AA201"/>
      <c r="AB201"/>
      <c r="AD201">
        <v>14</v>
      </c>
      <c r="AE201" s="55">
        <f t="shared" si="10"/>
        <v>632.80843567468798</v>
      </c>
      <c r="AF201" s="57">
        <v>349.00875366799971</v>
      </c>
      <c r="AG201" s="55">
        <v>0</v>
      </c>
      <c r="AH201" s="55">
        <v>0</v>
      </c>
      <c r="AI201" s="52"/>
      <c r="AJ201" s="51">
        <v>8.0227214090553903E-2</v>
      </c>
      <c r="AK201" s="52"/>
      <c r="AL201" s="52"/>
      <c r="AM201" s="28">
        <v>1.7272727272727271</v>
      </c>
      <c r="AN201" s="28">
        <v>2.545454545454545</v>
      </c>
      <c r="AO201" s="28">
        <v>0.81818181818181823</v>
      </c>
      <c r="AP201" s="28">
        <v>0</v>
      </c>
      <c r="AQ201" s="28">
        <v>0.3392857142857143</v>
      </c>
      <c r="AR201" s="28">
        <v>0.5</v>
      </c>
      <c r="AS201" s="28">
        <v>0.1607142857142857</v>
      </c>
      <c r="AT201" s="28">
        <v>0</v>
      </c>
      <c r="AU201" s="25">
        <v>0.82</v>
      </c>
      <c r="AV201" s="25">
        <v>3.44</v>
      </c>
      <c r="AW201" s="25">
        <v>2.62</v>
      </c>
      <c r="AX201" s="25">
        <v>2.6545454545454539</v>
      </c>
      <c r="AY201">
        <v>2.6545454545454552</v>
      </c>
      <c r="AZ201">
        <v>5.9865512095454543</v>
      </c>
      <c r="BA201" s="75">
        <v>0.50734392504100967</v>
      </c>
      <c r="BE201">
        <v>4.0113607045276937E-2</v>
      </c>
      <c r="BH201">
        <v>8.0227214090553903E-2</v>
      </c>
      <c r="BI201">
        <v>4.0113607045276937E-2</v>
      </c>
      <c r="BJ201">
        <v>0.50734392504100967</v>
      </c>
    </row>
    <row r="202" spans="1:62" x14ac:dyDescent="0.3">
      <c r="A202" s="2" t="s">
        <v>175</v>
      </c>
      <c r="B202" s="13" t="s">
        <v>792</v>
      </c>
      <c r="C202" s="13"/>
      <c r="F202" s="2">
        <v>2.98</v>
      </c>
      <c r="G202" s="2" t="s">
        <v>174</v>
      </c>
      <c r="H202" s="9" t="s">
        <v>579</v>
      </c>
      <c r="I202" t="s">
        <v>654</v>
      </c>
      <c r="J202"/>
      <c r="L202" s="25">
        <v>1</v>
      </c>
      <c r="M202">
        <v>2</v>
      </c>
      <c r="N202">
        <v>0</v>
      </c>
      <c r="O202" s="2">
        <v>7.7803000000000004</v>
      </c>
      <c r="P202" s="2">
        <v>7.7803000000000004</v>
      </c>
      <c r="Q202" s="2">
        <v>42.569200000000002</v>
      </c>
      <c r="R202" s="2" t="s">
        <v>516</v>
      </c>
      <c r="T202" s="25">
        <v>11.30538971</v>
      </c>
      <c r="U202" s="25">
        <v>11.30538971</v>
      </c>
      <c r="V202" s="25">
        <v>11.30538971</v>
      </c>
      <c r="W202">
        <v>3.8996</v>
      </c>
      <c r="X202">
        <v>3.8996</v>
      </c>
      <c r="Y202">
        <v>21.687999999999999</v>
      </c>
      <c r="Z202">
        <v>0</v>
      </c>
      <c r="AA202"/>
      <c r="AB202"/>
      <c r="AD202">
        <v>14</v>
      </c>
      <c r="AE202" s="55">
        <f t="shared" si="10"/>
        <v>2576.8442821368285</v>
      </c>
      <c r="AF202" s="57">
        <v>169.7295487154349</v>
      </c>
      <c r="AG202" s="55">
        <v>329.80681691007999</v>
      </c>
      <c r="AH202" s="55">
        <v>0</v>
      </c>
      <c r="AI202" s="52"/>
      <c r="AJ202" s="51">
        <v>8.248416440128592E-2</v>
      </c>
      <c r="AK202" s="52">
        <v>8.4898184526107132E-2</v>
      </c>
      <c r="AL202" s="52"/>
      <c r="AM202" s="28">
        <v>1.7272727272727271</v>
      </c>
      <c r="AN202" s="28">
        <v>2.545454545454545</v>
      </c>
      <c r="AO202" s="28">
        <v>1.7272727272727271</v>
      </c>
      <c r="AP202" s="28">
        <v>0</v>
      </c>
      <c r="AQ202" s="28">
        <v>0.2878787878787879</v>
      </c>
      <c r="AR202" s="28">
        <v>0.42424242424242431</v>
      </c>
      <c r="AS202" s="28">
        <v>0.2878787878787879</v>
      </c>
      <c r="AT202" s="28">
        <v>0</v>
      </c>
      <c r="AU202" s="25">
        <v>1.1000000000000001</v>
      </c>
      <c r="AV202" s="25">
        <v>3.44</v>
      </c>
      <c r="AW202" s="25">
        <v>2.34</v>
      </c>
      <c r="AX202" s="25">
        <v>2.7554545454545449</v>
      </c>
      <c r="AY202">
        <v>2.7554545454545449</v>
      </c>
      <c r="AZ202">
        <v>6.1782631499999994</v>
      </c>
      <c r="BA202" s="75">
        <v>0.46170510468104309</v>
      </c>
      <c r="BB202" s="75">
        <v>0</v>
      </c>
      <c r="BE202">
        <v>4.124208220064296E-2</v>
      </c>
      <c r="BF202">
        <v>4.2449092263053573E-2</v>
      </c>
      <c r="BH202">
        <v>8.3691174463696533E-2</v>
      </c>
      <c r="BI202">
        <v>4.1845587231848273E-2</v>
      </c>
      <c r="BJ202">
        <v>0.23085255234052149</v>
      </c>
    </row>
    <row r="203" spans="1:62" x14ac:dyDescent="0.3">
      <c r="A203" s="2" t="s">
        <v>2</v>
      </c>
      <c r="B203" s="13" t="s">
        <v>687</v>
      </c>
      <c r="C203" s="13"/>
      <c r="F203" s="2">
        <v>3.3</v>
      </c>
      <c r="G203" s="2" t="s">
        <v>176</v>
      </c>
      <c r="H203" s="9" t="s">
        <v>525</v>
      </c>
      <c r="I203">
        <v>-1</v>
      </c>
      <c r="J203"/>
      <c r="L203" s="25">
        <v>2</v>
      </c>
      <c r="M203">
        <v>0</v>
      </c>
      <c r="N203">
        <v>0</v>
      </c>
      <c r="O203" s="2">
        <v>5.5339999999999998</v>
      </c>
      <c r="P203" s="2">
        <v>22.083300000000001</v>
      </c>
      <c r="Q203" s="2">
        <v>5.5033000000000003</v>
      </c>
      <c r="R203" s="2" t="s">
        <v>515</v>
      </c>
      <c r="T203" s="25">
        <v>11.92921406</v>
      </c>
      <c r="U203" s="25">
        <v>11.92921406</v>
      </c>
      <c r="V203" s="25">
        <v>11.92921406</v>
      </c>
      <c r="W203">
        <v>0</v>
      </c>
      <c r="X203"/>
      <c r="Y203"/>
      <c r="Z203">
        <v>0</v>
      </c>
      <c r="AA203"/>
      <c r="AB203"/>
      <c r="AD203">
        <v>14</v>
      </c>
      <c r="AE203" s="55">
        <f t="shared" si="10"/>
        <v>672.55269174126011</v>
      </c>
      <c r="AF203" s="57">
        <v>349.00875366799971</v>
      </c>
      <c r="AG203" s="55">
        <v>0</v>
      </c>
      <c r="AH203" s="55">
        <v>0</v>
      </c>
      <c r="AI203" s="52"/>
      <c r="AJ203" s="51">
        <v>8.0227214090553903E-2</v>
      </c>
      <c r="AK203" s="52"/>
      <c r="AL203" s="52"/>
      <c r="AM203" s="28">
        <v>1.7272727272727271</v>
      </c>
      <c r="AN203" s="28">
        <v>2.545454545454545</v>
      </c>
      <c r="AO203" s="28">
        <v>0.81818181818181823</v>
      </c>
      <c r="AP203" s="28">
        <v>0</v>
      </c>
      <c r="AQ203" s="28">
        <v>0.3392857142857143</v>
      </c>
      <c r="AR203" s="28">
        <v>0.5</v>
      </c>
      <c r="AS203" s="28">
        <v>0.1607142857142857</v>
      </c>
      <c r="AT203" s="28">
        <v>0</v>
      </c>
      <c r="AU203" s="25">
        <v>0.82</v>
      </c>
      <c r="AV203" s="25">
        <v>3.44</v>
      </c>
      <c r="AW203" s="25">
        <v>2.62</v>
      </c>
      <c r="AX203" s="25">
        <v>2.6545454545454539</v>
      </c>
      <c r="AY203">
        <v>2.6545454545454552</v>
      </c>
      <c r="AZ203">
        <v>5.9865512095454543</v>
      </c>
      <c r="BA203" s="75">
        <v>0.50734392504100967</v>
      </c>
      <c r="BE203">
        <v>4.0113607045276937E-2</v>
      </c>
      <c r="BH203">
        <v>8.0227214090553903E-2</v>
      </c>
      <c r="BI203">
        <v>4.0113607045276937E-2</v>
      </c>
      <c r="BJ203">
        <v>0.50734392504100967</v>
      </c>
    </row>
    <row r="204" spans="1:62" x14ac:dyDescent="0.3">
      <c r="A204" s="2" t="s">
        <v>175</v>
      </c>
      <c r="B204" s="13" t="s">
        <v>792</v>
      </c>
      <c r="C204" s="13"/>
      <c r="F204" s="2">
        <v>2.85</v>
      </c>
      <c r="G204" s="2" t="s">
        <v>176</v>
      </c>
      <c r="H204" s="9" t="s">
        <v>579</v>
      </c>
      <c r="I204" t="s">
        <v>654</v>
      </c>
      <c r="J204"/>
      <c r="L204" s="25">
        <v>1</v>
      </c>
      <c r="M204">
        <v>2</v>
      </c>
      <c r="N204">
        <v>0</v>
      </c>
      <c r="O204" s="2">
        <v>3.9045000000000001</v>
      </c>
      <c r="P204" s="2">
        <v>3.9045000000000001</v>
      </c>
      <c r="Q204" s="2">
        <v>21.652100000000001</v>
      </c>
      <c r="R204" s="2" t="s">
        <v>516</v>
      </c>
      <c r="T204" s="25">
        <v>11.30538971</v>
      </c>
      <c r="U204" s="25">
        <v>11.30538971</v>
      </c>
      <c r="V204" s="25">
        <v>11.30538971</v>
      </c>
      <c r="W204">
        <v>3.8996</v>
      </c>
      <c r="X204">
        <v>3.8996</v>
      </c>
      <c r="Y204">
        <v>21.687999999999999</v>
      </c>
      <c r="Z204">
        <v>0</v>
      </c>
      <c r="AA204"/>
      <c r="AB204"/>
      <c r="AD204">
        <v>14</v>
      </c>
      <c r="AE204" s="55">
        <f t="shared" si="10"/>
        <v>330.08886816502502</v>
      </c>
      <c r="AF204" s="57">
        <v>169.7295487154349</v>
      </c>
      <c r="AG204" s="55">
        <v>329.80681691007999</v>
      </c>
      <c r="AH204" s="55">
        <v>0</v>
      </c>
      <c r="AI204" s="52"/>
      <c r="AJ204" s="51">
        <v>8.248416440128592E-2</v>
      </c>
      <c r="AK204" s="52">
        <v>8.4898184526107132E-2</v>
      </c>
      <c r="AL204" s="52"/>
      <c r="AM204" s="28">
        <v>1.7272727272727271</v>
      </c>
      <c r="AN204" s="28">
        <v>2.545454545454545</v>
      </c>
      <c r="AO204" s="28">
        <v>1.7272727272727271</v>
      </c>
      <c r="AP204" s="28">
        <v>0</v>
      </c>
      <c r="AQ204" s="28">
        <v>0.2878787878787879</v>
      </c>
      <c r="AR204" s="28">
        <v>0.42424242424242431</v>
      </c>
      <c r="AS204" s="28">
        <v>0.2878787878787879</v>
      </c>
      <c r="AT204" s="28">
        <v>0</v>
      </c>
      <c r="AU204" s="25">
        <v>1.1000000000000001</v>
      </c>
      <c r="AV204" s="25">
        <v>3.44</v>
      </c>
      <c r="AW204" s="25">
        <v>2.34</v>
      </c>
      <c r="AX204" s="25">
        <v>2.7554545454545449</v>
      </c>
      <c r="AY204">
        <v>2.7554545454545449</v>
      </c>
      <c r="AZ204">
        <v>6.1782631499999994</v>
      </c>
      <c r="BA204" s="75">
        <v>0.46170510468104309</v>
      </c>
      <c r="BB204" s="75">
        <v>0</v>
      </c>
      <c r="BE204">
        <v>4.124208220064296E-2</v>
      </c>
      <c r="BF204">
        <v>4.2449092263053573E-2</v>
      </c>
      <c r="BH204">
        <v>8.3691174463696533E-2</v>
      </c>
      <c r="BI204">
        <v>4.1845587231848273E-2</v>
      </c>
      <c r="BJ204">
        <v>0.23085255234052149</v>
      </c>
    </row>
    <row r="205" spans="1:62" x14ac:dyDescent="0.3">
      <c r="A205" s="2" t="s">
        <v>5</v>
      </c>
      <c r="B205" s="13" t="s">
        <v>690</v>
      </c>
      <c r="C205" s="13"/>
      <c r="F205" s="2">
        <v>3.5</v>
      </c>
      <c r="G205" s="2" t="s">
        <v>176</v>
      </c>
      <c r="H205" s="9" t="s">
        <v>528</v>
      </c>
      <c r="I205" t="s">
        <v>610</v>
      </c>
      <c r="J205"/>
      <c r="L205" s="25">
        <v>1</v>
      </c>
      <c r="M205">
        <v>1</v>
      </c>
      <c r="N205">
        <v>0</v>
      </c>
      <c r="O205" s="2">
        <v>3.8650000000000002</v>
      </c>
      <c r="P205" s="2">
        <v>3.8650000000000002</v>
      </c>
      <c r="Q205" s="2">
        <v>14.974299999999999</v>
      </c>
      <c r="R205" s="2" t="s">
        <v>439</v>
      </c>
      <c r="T205" s="25">
        <v>3.9661010000000001</v>
      </c>
      <c r="U205" s="25">
        <v>3.9661010000000001</v>
      </c>
      <c r="V205" s="25">
        <v>15.283337</v>
      </c>
      <c r="W205">
        <v>3.8586499999999999</v>
      </c>
      <c r="X205">
        <v>3.8586499999999999</v>
      </c>
      <c r="Y205">
        <v>14.9108</v>
      </c>
      <c r="Z205">
        <v>0</v>
      </c>
      <c r="AA205"/>
      <c r="AB205"/>
      <c r="AD205">
        <v>20</v>
      </c>
      <c r="AE205" s="55">
        <f t="shared" si="10"/>
        <v>223.6894626175</v>
      </c>
      <c r="AF205" s="57">
        <v>240.40623599981481</v>
      </c>
      <c r="AG205" s="55">
        <v>222.00958249733301</v>
      </c>
      <c r="AH205" s="55">
        <v>0</v>
      </c>
      <c r="AI205" s="52"/>
      <c r="AJ205" s="51">
        <v>8.3192517518619641E-2</v>
      </c>
      <c r="AK205" s="52">
        <v>9.0086201573034624E-2</v>
      </c>
      <c r="AL205" s="52"/>
      <c r="AM205" s="28">
        <v>1.75</v>
      </c>
      <c r="AN205" s="28">
        <v>2.5</v>
      </c>
      <c r="AO205" s="28">
        <v>0.75</v>
      </c>
      <c r="AP205" s="28">
        <v>0</v>
      </c>
      <c r="AQ205" s="28">
        <v>0.35</v>
      </c>
      <c r="AR205" s="28">
        <v>0.5</v>
      </c>
      <c r="AS205" s="28">
        <v>0.15</v>
      </c>
      <c r="AT205" s="28">
        <v>0</v>
      </c>
      <c r="AU205" s="25">
        <v>0.82</v>
      </c>
      <c r="AV205" s="25">
        <v>3.44</v>
      </c>
      <c r="AW205" s="25">
        <v>2.62</v>
      </c>
      <c r="AX205" s="25">
        <v>2.6262500000000002</v>
      </c>
      <c r="AY205">
        <v>2.6262500000000002</v>
      </c>
      <c r="AZ205">
        <v>5.9612134765624996</v>
      </c>
      <c r="BA205" s="75">
        <v>0.50467688585120674</v>
      </c>
      <c r="BB205" s="75">
        <v>0.54649654829675798</v>
      </c>
      <c r="BE205">
        <v>4.159625875930982E-2</v>
      </c>
      <c r="BF205">
        <v>4.5043100786517312E-2</v>
      </c>
      <c r="BH205">
        <v>8.6639359545827133E-2</v>
      </c>
      <c r="BI205">
        <v>4.3319679772913573E-2</v>
      </c>
      <c r="BJ205">
        <v>0.5255867170739823</v>
      </c>
    </row>
    <row r="206" spans="1:62" x14ac:dyDescent="0.3">
      <c r="A206" s="5" t="s">
        <v>177</v>
      </c>
      <c r="B206" s="39" t="s">
        <v>793</v>
      </c>
      <c r="C206" s="39"/>
      <c r="D206" s="5"/>
      <c r="E206" s="5"/>
      <c r="F206" s="5">
        <v>2.65</v>
      </c>
      <c r="G206" s="5" t="s">
        <v>176</v>
      </c>
      <c r="H206" s="40">
        <v>-2</v>
      </c>
      <c r="I206" s="5">
        <v>-1</v>
      </c>
      <c r="J206" s="5"/>
      <c r="K206" s="5"/>
      <c r="L206" s="41">
        <v>0</v>
      </c>
      <c r="M206">
        <v>0</v>
      </c>
      <c r="N206">
        <v>0</v>
      </c>
      <c r="O206" s="5"/>
      <c r="P206" s="5"/>
      <c r="Q206" s="5"/>
      <c r="R206" s="5"/>
      <c r="S206" s="5"/>
      <c r="T206" s="41">
        <v>0</v>
      </c>
      <c r="U206" s="41"/>
      <c r="V206" s="41"/>
      <c r="W206">
        <v>0</v>
      </c>
      <c r="X206"/>
      <c r="Y206"/>
      <c r="Z206">
        <v>0</v>
      </c>
      <c r="AA206"/>
      <c r="AB206"/>
      <c r="AC206" s="5"/>
      <c r="AD206" s="5">
        <v>20</v>
      </c>
      <c r="AE206" s="55">
        <f t="shared" si="10"/>
        <v>0</v>
      </c>
      <c r="AF206" s="57">
        <v>0</v>
      </c>
      <c r="AG206" s="55">
        <v>0</v>
      </c>
      <c r="AH206" s="55">
        <v>0</v>
      </c>
      <c r="AI206" s="52"/>
      <c r="AJ206" s="51"/>
      <c r="AK206" s="52"/>
      <c r="AL206" s="52"/>
      <c r="AM206" s="5">
        <v>1.75</v>
      </c>
      <c r="AN206" s="5">
        <v>2.5</v>
      </c>
      <c r="AO206" s="5">
        <v>1.375</v>
      </c>
      <c r="AP206" s="5">
        <v>0</v>
      </c>
      <c r="AQ206" s="5">
        <v>0.31111111111111112</v>
      </c>
      <c r="AR206" s="5">
        <v>0.44444444444444442</v>
      </c>
      <c r="AS206" s="5">
        <v>0.24444444444444441</v>
      </c>
      <c r="AT206" s="5">
        <v>0</v>
      </c>
      <c r="AU206" s="41">
        <v>1</v>
      </c>
      <c r="AV206" s="41">
        <v>3.44</v>
      </c>
      <c r="AW206" s="41">
        <v>2.44</v>
      </c>
      <c r="AX206" s="41">
        <v>2.6956250000000002</v>
      </c>
      <c r="AY206" s="5">
        <v>2.6956250000000002</v>
      </c>
      <c r="AZ206" s="5">
        <v>6.0930154356250004</v>
      </c>
      <c r="BH206">
        <v>0</v>
      </c>
      <c r="BI206">
        <v>0</v>
      </c>
      <c r="BJ206">
        <v>0</v>
      </c>
    </row>
    <row r="207" spans="1:62" x14ac:dyDescent="0.3">
      <c r="A207" s="2" t="s">
        <v>178</v>
      </c>
      <c r="B207" s="13" t="s">
        <v>794</v>
      </c>
      <c r="C207" s="13"/>
      <c r="F207" s="2">
        <v>3.1</v>
      </c>
      <c r="G207" s="2" t="s">
        <v>176</v>
      </c>
      <c r="H207" s="9" t="s">
        <v>580</v>
      </c>
      <c r="I207" t="s">
        <v>655</v>
      </c>
      <c r="J207"/>
      <c r="L207" s="25">
        <v>1</v>
      </c>
      <c r="M207">
        <v>1</v>
      </c>
      <c r="N207">
        <v>0</v>
      </c>
      <c r="O207" s="2">
        <v>3.9007999999999998</v>
      </c>
      <c r="P207" s="2">
        <v>3.9007999999999998</v>
      </c>
      <c r="Q207" s="2">
        <v>15.317</v>
      </c>
      <c r="R207" s="2" t="s">
        <v>439</v>
      </c>
      <c r="T207" s="25">
        <v>3.9860820000000001</v>
      </c>
      <c r="U207" s="25">
        <v>3.9860820000000001</v>
      </c>
      <c r="V207" s="25">
        <v>15.440419</v>
      </c>
      <c r="W207">
        <v>3.8944000000000001</v>
      </c>
      <c r="X207">
        <v>3.8944000000000001</v>
      </c>
      <c r="Y207">
        <v>15.271000000000001</v>
      </c>
      <c r="Z207">
        <v>0</v>
      </c>
      <c r="AA207"/>
      <c r="AB207"/>
      <c r="AD207">
        <v>20</v>
      </c>
      <c r="AE207" s="55">
        <f t="shared" si="10"/>
        <v>233.06715788288</v>
      </c>
      <c r="AF207" s="57">
        <v>245.33049696160739</v>
      </c>
      <c r="AG207" s="55">
        <v>231.60535161856001</v>
      </c>
      <c r="AH207" s="55">
        <v>0</v>
      </c>
      <c r="AI207" s="52"/>
      <c r="AJ207" s="51">
        <v>8.1522681638434333E-2</v>
      </c>
      <c r="AK207" s="52">
        <v>8.6353790446685313E-2</v>
      </c>
      <c r="AL207" s="52"/>
      <c r="AM207" s="28">
        <v>1.75</v>
      </c>
      <c r="AN207" s="28">
        <v>2.5</v>
      </c>
      <c r="AO207" s="28">
        <v>0.75</v>
      </c>
      <c r="AP207" s="28">
        <v>0</v>
      </c>
      <c r="AQ207" s="28">
        <v>0.35</v>
      </c>
      <c r="AR207" s="28">
        <v>0.5</v>
      </c>
      <c r="AS207" s="28">
        <v>0.15</v>
      </c>
      <c r="AT207" s="28">
        <v>0</v>
      </c>
      <c r="AU207" s="25">
        <v>0.82</v>
      </c>
      <c r="AV207" s="25">
        <v>3.44</v>
      </c>
      <c r="AW207" s="25">
        <v>2.62</v>
      </c>
      <c r="AX207" s="25">
        <v>2.62</v>
      </c>
      <c r="AY207">
        <v>2.62</v>
      </c>
      <c r="AZ207">
        <v>5.9367901628125006</v>
      </c>
      <c r="BA207" s="75">
        <v>0.52249469585014929</v>
      </c>
      <c r="BB207" s="75">
        <v>0.55345821025686881</v>
      </c>
      <c r="BE207">
        <v>4.0761340819217173E-2</v>
      </c>
      <c r="BF207">
        <v>4.3176895223342657E-2</v>
      </c>
      <c r="BH207">
        <v>8.3938236042559816E-2</v>
      </c>
      <c r="BI207">
        <v>4.1969118021279922E-2</v>
      </c>
      <c r="BJ207">
        <v>0.53797645305350905</v>
      </c>
    </row>
    <row r="208" spans="1:62" x14ac:dyDescent="0.3">
      <c r="A208" s="5" t="s">
        <v>179</v>
      </c>
      <c r="B208" s="39" t="s">
        <v>795</v>
      </c>
      <c r="C208" s="39"/>
      <c r="D208" s="5"/>
      <c r="E208" s="5"/>
      <c r="F208" s="5">
        <v>2.66</v>
      </c>
      <c r="G208" s="5" t="s">
        <v>176</v>
      </c>
      <c r="H208" s="40">
        <v>-2</v>
      </c>
      <c r="I208" s="5">
        <v>-1</v>
      </c>
      <c r="J208" s="5"/>
      <c r="K208" s="5"/>
      <c r="L208" s="41">
        <v>0</v>
      </c>
      <c r="M208">
        <v>0</v>
      </c>
      <c r="N208">
        <v>0</v>
      </c>
      <c r="O208" s="5"/>
      <c r="P208" s="5"/>
      <c r="Q208" s="5"/>
      <c r="R208" s="5"/>
      <c r="S208" s="5"/>
      <c r="T208" s="41">
        <v>0</v>
      </c>
      <c r="U208" s="41"/>
      <c r="V208" s="41"/>
      <c r="W208">
        <v>0</v>
      </c>
      <c r="X208"/>
      <c r="Y208"/>
      <c r="Z208">
        <v>0</v>
      </c>
      <c r="AA208"/>
      <c r="AB208"/>
      <c r="AC208" s="5"/>
      <c r="AD208" s="5">
        <v>20</v>
      </c>
      <c r="AE208" s="55">
        <f t="shared" si="10"/>
        <v>0</v>
      </c>
      <c r="AF208" s="57">
        <v>0</v>
      </c>
      <c r="AG208" s="55">
        <v>0</v>
      </c>
      <c r="AH208" s="55">
        <v>0</v>
      </c>
      <c r="AI208" s="52"/>
      <c r="AJ208" s="51"/>
      <c r="AK208" s="52"/>
      <c r="AL208" s="52"/>
      <c r="AM208" s="5">
        <v>1.75</v>
      </c>
      <c r="AN208" s="5">
        <v>2.5</v>
      </c>
      <c r="AO208" s="5">
        <v>1.375</v>
      </c>
      <c r="AP208" s="5">
        <v>0</v>
      </c>
      <c r="AQ208" s="5">
        <v>0.31111111111111112</v>
      </c>
      <c r="AR208" s="5">
        <v>0.44444444444444442</v>
      </c>
      <c r="AS208" s="5">
        <v>0.24444444444444441</v>
      </c>
      <c r="AT208" s="5">
        <v>0</v>
      </c>
      <c r="AU208" s="41">
        <v>0.95</v>
      </c>
      <c r="AV208" s="41">
        <v>3.44</v>
      </c>
      <c r="AW208" s="41">
        <v>2.4900000000000002</v>
      </c>
      <c r="AX208" s="41">
        <v>2.6893750000000001</v>
      </c>
      <c r="AY208" s="5">
        <v>2.6893750000000001</v>
      </c>
      <c r="AZ208" s="5">
        <v>6.0685921218750014</v>
      </c>
      <c r="BH208">
        <v>0</v>
      </c>
      <c r="BI208">
        <v>0</v>
      </c>
      <c r="BJ208">
        <v>0</v>
      </c>
    </row>
    <row r="209" spans="1:62" x14ac:dyDescent="0.3">
      <c r="A209" s="2" t="s">
        <v>180</v>
      </c>
      <c r="B209" s="13" t="s">
        <v>796</v>
      </c>
      <c r="C209" s="13"/>
      <c r="F209" s="2">
        <v>3.6</v>
      </c>
      <c r="G209" s="2" t="s">
        <v>176</v>
      </c>
      <c r="H209" s="9">
        <v>-1</v>
      </c>
      <c r="I209">
        <v>-1</v>
      </c>
      <c r="J209"/>
      <c r="K209" s="2">
        <v>2</v>
      </c>
      <c r="L209" s="25">
        <v>0</v>
      </c>
      <c r="M209">
        <v>0</v>
      </c>
      <c r="N209">
        <v>0</v>
      </c>
      <c r="O209" s="2">
        <v>3.9287999999999998</v>
      </c>
      <c r="P209" s="2">
        <v>3.9287999999999998</v>
      </c>
      <c r="Q209" s="2">
        <v>30.2698</v>
      </c>
      <c r="R209" s="2" t="s">
        <v>439</v>
      </c>
      <c r="T209" s="25">
        <v>0</v>
      </c>
      <c r="U209" s="25"/>
      <c r="V209" s="25"/>
      <c r="W209">
        <v>0</v>
      </c>
      <c r="X209"/>
      <c r="Y209"/>
      <c r="Z209">
        <v>0</v>
      </c>
      <c r="AA209"/>
      <c r="AB209"/>
      <c r="AD209">
        <v>20</v>
      </c>
      <c r="AE209" s="55">
        <f t="shared" si="10"/>
        <v>467.22857285491193</v>
      </c>
      <c r="AF209" s="57">
        <v>0</v>
      </c>
      <c r="AG209" s="55">
        <v>0</v>
      </c>
      <c r="AH209" s="55">
        <v>0</v>
      </c>
      <c r="AI209" s="52">
        <f t="shared" ref="AI209:AI212" si="11">K209*AD209/AE209</f>
        <v>8.5611202576048706E-2</v>
      </c>
      <c r="AJ209" s="51"/>
      <c r="AK209" s="52"/>
      <c r="AL209" s="52"/>
      <c r="AM209" s="28">
        <v>1.882352941176471</v>
      </c>
      <c r="AN209" s="28">
        <v>2.3529411764705879</v>
      </c>
      <c r="AO209" s="28">
        <v>0.47058823529411759</v>
      </c>
      <c r="AP209" s="28">
        <v>0</v>
      </c>
      <c r="AQ209" s="28">
        <v>0.4</v>
      </c>
      <c r="AR209" s="28">
        <v>0.5</v>
      </c>
      <c r="AS209" s="28">
        <v>9.9999999999999992E-2</v>
      </c>
      <c r="AT209" s="28">
        <v>0</v>
      </c>
      <c r="AU209" s="25">
        <v>0.82</v>
      </c>
      <c r="AV209" s="25">
        <v>3.44</v>
      </c>
      <c r="AW209" s="25">
        <v>2.62</v>
      </c>
      <c r="AX209" s="25">
        <v>2.5211764705882351</v>
      </c>
      <c r="AY209">
        <v>2.521176470588236</v>
      </c>
      <c r="AZ209">
        <v>5.6793405594117647</v>
      </c>
      <c r="BD209">
        <v>4.2805601288024353E-2</v>
      </c>
      <c r="BH209">
        <v>8.5611202576048706E-2</v>
      </c>
      <c r="BI209">
        <v>4.2805601288024353E-2</v>
      </c>
      <c r="BJ209">
        <v>0</v>
      </c>
    </row>
    <row r="210" spans="1:62" x14ac:dyDescent="0.3">
      <c r="A210" s="2" t="s">
        <v>181</v>
      </c>
      <c r="B210" s="13" t="s">
        <v>797</v>
      </c>
      <c r="C210" s="13"/>
      <c r="F210" s="2">
        <v>2.4</v>
      </c>
      <c r="G210" s="2" t="s">
        <v>176</v>
      </c>
      <c r="H210" s="9" t="s">
        <v>581</v>
      </c>
      <c r="I210" t="s">
        <v>656</v>
      </c>
      <c r="J210"/>
      <c r="K210" s="2">
        <v>2</v>
      </c>
      <c r="L210" s="25">
        <v>1</v>
      </c>
      <c r="M210">
        <v>2</v>
      </c>
      <c r="N210">
        <v>0</v>
      </c>
      <c r="O210" s="2">
        <v>3.8313999999999999</v>
      </c>
      <c r="P210" s="2">
        <v>3.8313999999999999</v>
      </c>
      <c r="Q210" s="2">
        <v>28.871400000000001</v>
      </c>
      <c r="R210" s="2" t="s">
        <v>440</v>
      </c>
      <c r="T210" s="25">
        <v>14.88329339</v>
      </c>
      <c r="U210" s="25">
        <v>14.88329339</v>
      </c>
      <c r="V210" s="25">
        <v>14.88329339</v>
      </c>
      <c r="W210">
        <v>3.8250999999999999</v>
      </c>
      <c r="X210">
        <v>3.8250999999999999</v>
      </c>
      <c r="Y210">
        <v>28.884</v>
      </c>
      <c r="Z210">
        <v>0</v>
      </c>
      <c r="AA210"/>
      <c r="AB210"/>
      <c r="AD210">
        <v>20</v>
      </c>
      <c r="AE210" s="55">
        <f t="shared" si="10"/>
        <v>423.82135294154398</v>
      </c>
      <c r="AF210" s="57">
        <v>218.43262216091571</v>
      </c>
      <c r="AG210" s="55">
        <v>422.61306904883998</v>
      </c>
      <c r="AH210" s="55">
        <v>0</v>
      </c>
      <c r="AI210" s="52">
        <f t="shared" si="11"/>
        <v>9.4379388207741013E-2</v>
      </c>
      <c r="AJ210" s="51">
        <v>9.1561415150097566E-2</v>
      </c>
      <c r="AK210" s="52">
        <v>9.4649226276950119E-2</v>
      </c>
      <c r="AL210" s="52"/>
      <c r="AM210" s="28">
        <v>1.882352941176471</v>
      </c>
      <c r="AN210" s="28">
        <v>2.3529411764705879</v>
      </c>
      <c r="AO210" s="28">
        <v>1.6470588235294119</v>
      </c>
      <c r="AP210" s="28">
        <v>0</v>
      </c>
      <c r="AQ210" s="28">
        <v>0.32</v>
      </c>
      <c r="AR210" s="28">
        <v>0.4</v>
      </c>
      <c r="AS210" s="28">
        <v>0.28000000000000003</v>
      </c>
      <c r="AT210" s="28">
        <v>0</v>
      </c>
      <c r="AU210" s="25">
        <v>1.1000000000000001</v>
      </c>
      <c r="AV210" s="25">
        <v>3.44</v>
      </c>
      <c r="AW210" s="25">
        <v>2.34</v>
      </c>
      <c r="AX210" s="25">
        <v>2.651764705882353</v>
      </c>
      <c r="AY210">
        <v>2.651764705882353</v>
      </c>
      <c r="AZ210">
        <v>5.9274383647058819</v>
      </c>
      <c r="BA210" s="75">
        <v>0.55146660057091235</v>
      </c>
      <c r="BB210" s="75">
        <v>0.57006422384419775</v>
      </c>
      <c r="BD210">
        <v>4.7189694103870507E-2</v>
      </c>
      <c r="BE210">
        <v>4.5780707575048769E-2</v>
      </c>
      <c r="BF210">
        <v>4.7324613138475059E-2</v>
      </c>
      <c r="BH210">
        <v>9.353000987826289E-2</v>
      </c>
      <c r="BI210">
        <v>4.6765004939131452E-2</v>
      </c>
      <c r="BJ210">
        <v>0.56076541220755505</v>
      </c>
    </row>
    <row r="211" spans="1:62" x14ac:dyDescent="0.3">
      <c r="A211" s="2" t="s">
        <v>175</v>
      </c>
      <c r="B211" s="17" t="s">
        <v>792</v>
      </c>
      <c r="C211" s="13"/>
      <c r="D211" s="2" t="s">
        <v>863</v>
      </c>
      <c r="E211" s="2">
        <v>1</v>
      </c>
      <c r="F211" s="2">
        <v>3.15</v>
      </c>
      <c r="G211" s="2" t="s">
        <v>176</v>
      </c>
      <c r="H211" s="9" t="s">
        <v>579</v>
      </c>
      <c r="I211" t="s">
        <v>654</v>
      </c>
      <c r="J211"/>
      <c r="L211" s="25">
        <v>1</v>
      </c>
      <c r="M211">
        <v>2</v>
      </c>
      <c r="N211">
        <v>0</v>
      </c>
      <c r="O211" s="2">
        <v>7.7803000000000004</v>
      </c>
      <c r="P211" s="2">
        <v>7.7803000000000004</v>
      </c>
      <c r="Q211" s="2">
        <v>42.569200000000002</v>
      </c>
      <c r="R211" s="2" t="s">
        <v>516</v>
      </c>
      <c r="T211" s="25">
        <v>11.30538971</v>
      </c>
      <c r="U211" s="25">
        <v>11.30538971</v>
      </c>
      <c r="V211" s="25">
        <v>11.30538971</v>
      </c>
      <c r="W211">
        <v>3.8996</v>
      </c>
      <c r="X211">
        <v>3.8996</v>
      </c>
      <c r="Y211">
        <v>21.687999999999999</v>
      </c>
      <c r="Z211">
        <v>0</v>
      </c>
      <c r="AA211"/>
      <c r="AB211"/>
      <c r="AD211">
        <v>14</v>
      </c>
      <c r="AE211" s="55">
        <f t="shared" si="10"/>
        <v>2576.8442821368285</v>
      </c>
      <c r="AF211" s="57">
        <v>169.7295487154349</v>
      </c>
      <c r="AG211" s="55">
        <v>329.80681691007999</v>
      </c>
      <c r="AH211" s="55">
        <v>0</v>
      </c>
      <c r="AI211" s="52"/>
      <c r="AJ211" s="51">
        <v>8.248416440128592E-2</v>
      </c>
      <c r="AK211" s="52">
        <v>8.4898184526107132E-2</v>
      </c>
      <c r="AL211" s="52"/>
      <c r="AM211" s="28">
        <v>1.7272727272727271</v>
      </c>
      <c r="AN211" s="28">
        <v>2.545454545454545</v>
      </c>
      <c r="AO211" s="28">
        <v>1.7272727272727271</v>
      </c>
      <c r="AP211" s="28">
        <v>0</v>
      </c>
      <c r="AQ211" s="28">
        <v>0.2878787878787879</v>
      </c>
      <c r="AR211" s="28">
        <v>0.42424242424242431</v>
      </c>
      <c r="AS211" s="28">
        <v>0.2878787878787879</v>
      </c>
      <c r="AT211" s="28">
        <v>0</v>
      </c>
      <c r="AU211" s="25">
        <v>1.1000000000000001</v>
      </c>
      <c r="AV211" s="25">
        <v>3.44</v>
      </c>
      <c r="AW211" s="25">
        <v>2.34</v>
      </c>
      <c r="AX211" s="25">
        <v>2.7554545454545449</v>
      </c>
      <c r="AY211">
        <v>2.7554545454545449</v>
      </c>
      <c r="AZ211">
        <v>6.1782631499999994</v>
      </c>
      <c r="BA211" s="75">
        <v>0.46170510468104309</v>
      </c>
      <c r="BB211" s="75">
        <v>0</v>
      </c>
      <c r="BE211">
        <v>4.124208220064296E-2</v>
      </c>
      <c r="BF211">
        <v>4.2449092263053573E-2</v>
      </c>
      <c r="BH211">
        <v>8.3691174463696533E-2</v>
      </c>
      <c r="BI211">
        <v>4.1845587231848273E-2</v>
      </c>
      <c r="BJ211">
        <v>0.23085255234052149</v>
      </c>
    </row>
    <row r="212" spans="1:62" x14ac:dyDescent="0.3">
      <c r="A212" s="2" t="s">
        <v>177</v>
      </c>
      <c r="B212" s="17" t="s">
        <v>793</v>
      </c>
      <c r="C212" s="13"/>
      <c r="D212" s="2" t="s">
        <v>863</v>
      </c>
      <c r="E212" s="2">
        <v>1</v>
      </c>
      <c r="F212" s="2">
        <v>3.14</v>
      </c>
      <c r="G212" s="2" t="s">
        <v>176</v>
      </c>
      <c r="H212" s="9">
        <v>-1</v>
      </c>
      <c r="I212">
        <v>-1</v>
      </c>
      <c r="J212"/>
      <c r="K212" s="2">
        <v>1</v>
      </c>
      <c r="L212" s="25">
        <v>0</v>
      </c>
      <c r="M212">
        <v>0</v>
      </c>
      <c r="N212">
        <v>0</v>
      </c>
      <c r="O212" s="2">
        <v>3.84</v>
      </c>
      <c r="P212" s="2">
        <v>3.84</v>
      </c>
      <c r="Q212" s="2">
        <v>15.007</v>
      </c>
      <c r="T212" s="25">
        <v>0</v>
      </c>
      <c r="U212" s="25"/>
      <c r="V212" s="25"/>
      <c r="W212">
        <v>0</v>
      </c>
      <c r="X212"/>
      <c r="Y212"/>
      <c r="Z212">
        <v>0</v>
      </c>
      <c r="AA212"/>
      <c r="AB212"/>
      <c r="AD212">
        <v>20</v>
      </c>
      <c r="AE212" s="55">
        <f t="shared" si="10"/>
        <v>221.28721919999998</v>
      </c>
      <c r="AF212" s="57">
        <v>0</v>
      </c>
      <c r="AG212" s="55">
        <v>0</v>
      </c>
      <c r="AH212" s="55">
        <v>0</v>
      </c>
      <c r="AI212" s="52">
        <f t="shared" si="11"/>
        <v>9.0380276241457697E-2</v>
      </c>
      <c r="AJ212" s="51"/>
      <c r="AK212" s="52"/>
      <c r="AL212" s="52"/>
      <c r="AM212" s="28">
        <v>1.75</v>
      </c>
      <c r="AN212" s="28">
        <v>2.5</v>
      </c>
      <c r="AO212" s="28">
        <v>1.375</v>
      </c>
      <c r="AP212" s="28">
        <v>0</v>
      </c>
      <c r="AQ212" s="28">
        <v>0.31111111111111112</v>
      </c>
      <c r="AR212" s="28">
        <v>0.44444444444444442</v>
      </c>
      <c r="AS212" s="28">
        <v>0.24444444444444441</v>
      </c>
      <c r="AT212" s="28">
        <v>0</v>
      </c>
      <c r="AU212" s="25">
        <v>1</v>
      </c>
      <c r="AV212" s="25">
        <v>3.44</v>
      </c>
      <c r="AW212" s="25">
        <v>2.44</v>
      </c>
      <c r="AX212" s="25">
        <v>2.6956250000000002</v>
      </c>
      <c r="AY212">
        <v>2.6956250000000002</v>
      </c>
      <c r="AZ212">
        <v>6.0930154356250004</v>
      </c>
      <c r="BD212">
        <v>4.5190138120728848E-2</v>
      </c>
      <c r="BH212">
        <v>9.0380276241457697E-2</v>
      </c>
      <c r="BI212">
        <v>4.5190138120728848E-2</v>
      </c>
      <c r="BJ212">
        <v>0</v>
      </c>
    </row>
    <row r="213" spans="1:62" x14ac:dyDescent="0.3">
      <c r="A213" s="5" t="s">
        <v>179</v>
      </c>
      <c r="B213" s="46" t="s">
        <v>795</v>
      </c>
      <c r="C213" s="39"/>
      <c r="D213" s="5" t="s">
        <v>863</v>
      </c>
      <c r="E213" s="5">
        <v>1</v>
      </c>
      <c r="F213" s="5">
        <v>3.22</v>
      </c>
      <c r="G213" s="5" t="s">
        <v>176</v>
      </c>
      <c r="H213" s="40">
        <v>-2</v>
      </c>
      <c r="I213" s="5">
        <v>-1</v>
      </c>
      <c r="J213" s="5"/>
      <c r="K213" s="5"/>
      <c r="L213" s="41">
        <v>0</v>
      </c>
      <c r="M213">
        <v>0</v>
      </c>
      <c r="N213">
        <v>0</v>
      </c>
      <c r="O213" s="5"/>
      <c r="P213" s="5"/>
      <c r="Q213" s="5"/>
      <c r="R213" s="5"/>
      <c r="S213" s="5"/>
      <c r="T213" s="41">
        <v>0</v>
      </c>
      <c r="U213" s="41"/>
      <c r="V213" s="41"/>
      <c r="W213">
        <v>0</v>
      </c>
      <c r="X213"/>
      <c r="Y213"/>
      <c r="Z213">
        <v>0</v>
      </c>
      <c r="AA213"/>
      <c r="AB213"/>
      <c r="AC213" s="5"/>
      <c r="AD213" s="5">
        <v>20</v>
      </c>
      <c r="AE213" s="55">
        <f t="shared" si="10"/>
        <v>0</v>
      </c>
      <c r="AF213" s="57">
        <v>0</v>
      </c>
      <c r="AG213" s="55">
        <v>0</v>
      </c>
      <c r="AH213" s="55">
        <v>0</v>
      </c>
      <c r="AI213" s="52"/>
      <c r="AJ213" s="51"/>
      <c r="AK213" s="52"/>
      <c r="AL213" s="52"/>
      <c r="AM213" s="5">
        <v>1.75</v>
      </c>
      <c r="AN213" s="5">
        <v>2.5</v>
      </c>
      <c r="AO213" s="5">
        <v>1.375</v>
      </c>
      <c r="AP213" s="5">
        <v>0</v>
      </c>
      <c r="AQ213" s="5">
        <v>0.31111111111111112</v>
      </c>
      <c r="AR213" s="5">
        <v>0.44444444444444442</v>
      </c>
      <c r="AS213" s="5">
        <v>0.24444444444444441</v>
      </c>
      <c r="AT213" s="5">
        <v>0</v>
      </c>
      <c r="AU213" s="41">
        <v>0.95</v>
      </c>
      <c r="AV213" s="41">
        <v>3.44</v>
      </c>
      <c r="AW213" s="41">
        <v>2.4900000000000002</v>
      </c>
      <c r="AX213" s="41">
        <v>2.6893750000000001</v>
      </c>
      <c r="AY213" s="5">
        <v>2.6893750000000001</v>
      </c>
      <c r="AZ213" s="5">
        <v>6.0685921218750014</v>
      </c>
      <c r="BH213">
        <v>0</v>
      </c>
      <c r="BI213">
        <v>0</v>
      </c>
      <c r="BJ213">
        <v>0</v>
      </c>
    </row>
    <row r="214" spans="1:62" x14ac:dyDescent="0.3">
      <c r="A214" s="2" t="s">
        <v>181</v>
      </c>
      <c r="B214" s="17" t="s">
        <v>797</v>
      </c>
      <c r="C214" s="13"/>
      <c r="D214" s="2" t="s">
        <v>863</v>
      </c>
      <c r="E214" s="2">
        <v>1</v>
      </c>
      <c r="F214" s="2">
        <v>3.42</v>
      </c>
      <c r="G214" s="2" t="s">
        <v>176</v>
      </c>
      <c r="H214" s="9" t="s">
        <v>581</v>
      </c>
      <c r="I214" t="s">
        <v>656</v>
      </c>
      <c r="J214"/>
      <c r="L214" s="25">
        <v>1</v>
      </c>
      <c r="M214">
        <v>2</v>
      </c>
      <c r="N214">
        <v>0</v>
      </c>
      <c r="O214" s="2">
        <v>7.7803000000000004</v>
      </c>
      <c r="P214" s="2">
        <v>7.7803000000000004</v>
      </c>
      <c r="Q214" s="2">
        <v>42.569200000000002</v>
      </c>
      <c r="R214" s="2" t="s">
        <v>516</v>
      </c>
      <c r="T214" s="25">
        <v>14.88329339</v>
      </c>
      <c r="U214" s="25">
        <v>14.88329339</v>
      </c>
      <c r="V214" s="25">
        <v>14.88329339</v>
      </c>
      <c r="W214">
        <v>3.8250999999999999</v>
      </c>
      <c r="X214">
        <v>3.8250999999999999</v>
      </c>
      <c r="Y214">
        <v>28.884</v>
      </c>
      <c r="Z214">
        <v>0</v>
      </c>
      <c r="AA214"/>
      <c r="AB214"/>
      <c r="AD214">
        <v>20</v>
      </c>
      <c r="AE214" s="55">
        <f t="shared" si="10"/>
        <v>2576.8442821368285</v>
      </c>
      <c r="AF214" s="57">
        <v>218.43262216091571</v>
      </c>
      <c r="AG214" s="55">
        <v>422.61306904883998</v>
      </c>
      <c r="AH214" s="55">
        <v>0</v>
      </c>
      <c r="AI214" s="52"/>
      <c r="AJ214" s="51">
        <v>9.1561415150097566E-2</v>
      </c>
      <c r="AK214" s="52">
        <v>9.4649226276950119E-2</v>
      </c>
      <c r="AL214" s="52"/>
      <c r="AM214" s="28">
        <v>1.882352941176471</v>
      </c>
      <c r="AN214" s="28">
        <v>2.3529411764705879</v>
      </c>
      <c r="AO214" s="28">
        <v>1.6470588235294119</v>
      </c>
      <c r="AP214" s="28">
        <v>0</v>
      </c>
      <c r="AQ214" s="28">
        <v>0.32</v>
      </c>
      <c r="AR214" s="28">
        <v>0.4</v>
      </c>
      <c r="AS214" s="28">
        <v>0.28000000000000003</v>
      </c>
      <c r="AT214" s="28">
        <v>0</v>
      </c>
      <c r="AU214" s="25">
        <v>1.1000000000000001</v>
      </c>
      <c r="AV214" s="25">
        <v>3.44</v>
      </c>
      <c r="AW214" s="25">
        <v>2.34</v>
      </c>
      <c r="AX214" s="25">
        <v>2.651764705882353</v>
      </c>
      <c r="AY214">
        <v>2.651764705882353</v>
      </c>
      <c r="AZ214">
        <v>5.9274383647058819</v>
      </c>
      <c r="BA214" s="75">
        <v>0.55146660057091235</v>
      </c>
      <c r="BB214" s="75">
        <v>0.57006422384419775</v>
      </c>
      <c r="BE214">
        <v>4.5780707575048769E-2</v>
      </c>
      <c r="BF214">
        <v>4.7324613138475059E-2</v>
      </c>
      <c r="BH214">
        <v>9.3105320713523843E-2</v>
      </c>
      <c r="BI214">
        <v>4.6552660356761907E-2</v>
      </c>
      <c r="BJ214">
        <v>0.56076541220755505</v>
      </c>
    </row>
    <row r="215" spans="1:62" x14ac:dyDescent="0.3">
      <c r="A215" s="2" t="s">
        <v>38</v>
      </c>
      <c r="B215" s="13" t="s">
        <v>714</v>
      </c>
      <c r="C215" s="13"/>
      <c r="F215" s="2">
        <v>3.9</v>
      </c>
      <c r="G215" s="2" t="s">
        <v>182</v>
      </c>
      <c r="H215" s="9" t="s">
        <v>545</v>
      </c>
      <c r="I215" t="s">
        <v>626</v>
      </c>
      <c r="J215"/>
      <c r="L215" s="25">
        <v>1</v>
      </c>
      <c r="M215">
        <v>1</v>
      </c>
      <c r="N215">
        <v>0</v>
      </c>
      <c r="T215" s="25">
        <v>5.8532381300000003</v>
      </c>
      <c r="U215" s="25">
        <v>5.8532371599999999</v>
      </c>
      <c r="V215" s="25">
        <v>11.912811489999999</v>
      </c>
      <c r="W215">
        <v>5.7946</v>
      </c>
      <c r="X215">
        <v>5.7946</v>
      </c>
      <c r="Y215">
        <v>11.787599999999999</v>
      </c>
      <c r="Z215">
        <v>0</v>
      </c>
      <c r="AA215"/>
      <c r="AB215"/>
      <c r="AD215">
        <v>30</v>
      </c>
      <c r="AE215" s="55">
        <f t="shared" si="10"/>
        <v>0</v>
      </c>
      <c r="AF215" s="57">
        <v>353.45760058531442</v>
      </c>
      <c r="AG215" s="55">
        <v>342.77011164986573</v>
      </c>
      <c r="AH215" s="55">
        <v>0</v>
      </c>
      <c r="AI215" s="52"/>
      <c r="AJ215" s="51">
        <v>8.487580957467307E-2</v>
      </c>
      <c r="AK215" s="52">
        <v>8.752221672887435E-2</v>
      </c>
      <c r="AL215" s="52"/>
      <c r="AM215" s="28">
        <v>1.833333333333333</v>
      </c>
      <c r="AN215" s="28">
        <v>2.5</v>
      </c>
      <c r="AO215" s="28">
        <v>0.66666666666666663</v>
      </c>
      <c r="AP215" s="28">
        <v>0</v>
      </c>
      <c r="AQ215" s="28">
        <v>0.36666666666666659</v>
      </c>
      <c r="AR215" s="28">
        <v>0.5</v>
      </c>
      <c r="AS215" s="28">
        <v>0.1333333333333333</v>
      </c>
      <c r="AT215" s="28">
        <v>0</v>
      </c>
      <c r="AU215" s="25">
        <v>0.89</v>
      </c>
      <c r="AV215" s="25">
        <v>3.44</v>
      </c>
      <c r="AW215" s="25">
        <v>2.5499999999999998</v>
      </c>
      <c r="AX215" s="25">
        <v>2.6020833333333329</v>
      </c>
      <c r="AY215">
        <v>2.6020833333333329</v>
      </c>
      <c r="AZ215">
        <v>5.9098726145833336</v>
      </c>
      <c r="BA215" s="75">
        <v>0.57410011132036598</v>
      </c>
      <c r="BB215" s="75">
        <v>0.59200041353179045</v>
      </c>
      <c r="BE215">
        <v>4.2437904787336528E-2</v>
      </c>
      <c r="BF215">
        <v>4.3761108364437168E-2</v>
      </c>
      <c r="BH215">
        <v>8.619901315177371E-2</v>
      </c>
      <c r="BI215">
        <v>4.3099506575886848E-2</v>
      </c>
      <c r="BJ215">
        <v>0.58305026242607827</v>
      </c>
    </row>
    <row r="216" spans="1:62" x14ac:dyDescent="0.3">
      <c r="A216" s="2" t="s">
        <v>48</v>
      </c>
      <c r="B216" s="13" t="s">
        <v>724</v>
      </c>
      <c r="C216" s="13"/>
      <c r="F216" s="2">
        <v>4.3</v>
      </c>
      <c r="G216" s="2" t="s">
        <v>183</v>
      </c>
      <c r="H216" s="9" t="s">
        <v>552</v>
      </c>
      <c r="I216" t="s">
        <v>630</v>
      </c>
      <c r="J216"/>
      <c r="L216" s="25">
        <v>2</v>
      </c>
      <c r="M216">
        <v>8</v>
      </c>
      <c r="N216">
        <v>0</v>
      </c>
      <c r="T216" s="25">
        <v>7.4836094600000003</v>
      </c>
      <c r="U216" s="25">
        <v>7.4836094600000003</v>
      </c>
      <c r="V216" s="25">
        <v>7.4836094600000003</v>
      </c>
      <c r="W216">
        <v>10.34</v>
      </c>
      <c r="X216">
        <v>10.34</v>
      </c>
      <c r="Y216">
        <v>10.34</v>
      </c>
      <c r="Z216">
        <v>0</v>
      </c>
      <c r="AA216"/>
      <c r="AB216"/>
      <c r="AD216">
        <v>14</v>
      </c>
      <c r="AE216" s="55">
        <f t="shared" si="10"/>
        <v>0</v>
      </c>
      <c r="AF216" s="57">
        <v>296.35915518228359</v>
      </c>
      <c r="AG216" s="55">
        <v>1105.507304</v>
      </c>
      <c r="AH216" s="55">
        <v>0</v>
      </c>
      <c r="AI216" s="52"/>
      <c r="AJ216" s="51">
        <v>9.4479956196318104E-2</v>
      </c>
      <c r="AK216" s="52">
        <v>0.1013109543417363</v>
      </c>
      <c r="AL216" s="52"/>
      <c r="AM216" s="28">
        <v>1.8181818181818179</v>
      </c>
      <c r="AN216" s="28">
        <v>2.545454545454545</v>
      </c>
      <c r="AO216" s="28">
        <v>0.72727272727272729</v>
      </c>
      <c r="AP216" s="28">
        <v>0</v>
      </c>
      <c r="AQ216" s="28">
        <v>0.35714285714285721</v>
      </c>
      <c r="AR216" s="28">
        <v>0.5</v>
      </c>
      <c r="AS216" s="28">
        <v>0.1428571428571429</v>
      </c>
      <c r="AT216" s="28">
        <v>0</v>
      </c>
      <c r="AU216" s="25">
        <v>1</v>
      </c>
      <c r="AV216" s="25">
        <v>3.44</v>
      </c>
      <c r="AW216" s="25">
        <v>2.44</v>
      </c>
      <c r="AX216" s="25">
        <v>2.6618181818181821</v>
      </c>
      <c r="AY216">
        <v>2.6618181818181821</v>
      </c>
      <c r="AZ216">
        <v>6.0537295018181814</v>
      </c>
      <c r="BA216" s="75">
        <v>0.50642227837041764</v>
      </c>
      <c r="BB216" s="75">
        <v>0.5430371307011983</v>
      </c>
      <c r="BE216">
        <v>4.7239978098159073E-2</v>
      </c>
      <c r="BF216">
        <v>5.0655477170868157E-2</v>
      </c>
      <c r="BH216">
        <v>9.789545526902721E-2</v>
      </c>
      <c r="BI216">
        <v>4.8947727634513619E-2</v>
      </c>
      <c r="BJ216">
        <v>0.52472970453580792</v>
      </c>
    </row>
    <row r="217" spans="1:62" x14ac:dyDescent="0.3">
      <c r="A217" s="2" t="s">
        <v>49</v>
      </c>
      <c r="B217" s="13" t="s">
        <v>725</v>
      </c>
      <c r="C217" s="13"/>
      <c r="F217" s="2">
        <v>4.0999999999999996</v>
      </c>
      <c r="G217" s="2" t="s">
        <v>183</v>
      </c>
      <c r="H217" s="9" t="s">
        <v>553</v>
      </c>
      <c r="I217" t="s">
        <v>631</v>
      </c>
      <c r="J217"/>
      <c r="L217" s="25">
        <v>8</v>
      </c>
      <c r="M217">
        <v>8</v>
      </c>
      <c r="N217">
        <v>0</v>
      </c>
      <c r="T217" s="25">
        <v>5.8017180100000001</v>
      </c>
      <c r="U217" s="25">
        <v>7.9756520899999996</v>
      </c>
      <c r="V217" s="25">
        <v>27.352093400000001</v>
      </c>
      <c r="W217">
        <v>26.646989999999999</v>
      </c>
      <c r="X217">
        <v>7.9359999999999999</v>
      </c>
      <c r="Y217">
        <v>5.7050000000000001</v>
      </c>
      <c r="Z217">
        <v>0</v>
      </c>
      <c r="AA217"/>
      <c r="AB217"/>
      <c r="AD217">
        <v>14</v>
      </c>
      <c r="AE217" s="55">
        <f t="shared" si="10"/>
        <v>0</v>
      </c>
      <c r="AF217" s="57">
        <v>1265.6493143942739</v>
      </c>
      <c r="AG217" s="55">
        <v>1206.4392746112001</v>
      </c>
      <c r="AH217" s="55">
        <v>0</v>
      </c>
      <c r="AI217" s="52"/>
      <c r="AJ217" s="51">
        <v>8.8492127105210025E-2</v>
      </c>
      <c r="AK217" s="52">
        <v>9.2835174017436004E-2</v>
      </c>
      <c r="AL217" s="52"/>
      <c r="AM217" s="28">
        <v>1.8181818181818179</v>
      </c>
      <c r="AN217" s="28">
        <v>2.545454545454545</v>
      </c>
      <c r="AO217" s="28">
        <v>0.72727272727272729</v>
      </c>
      <c r="AP217" s="28">
        <v>0</v>
      </c>
      <c r="AQ217" s="28">
        <v>0.35714285714285721</v>
      </c>
      <c r="AR217" s="28">
        <v>0.5</v>
      </c>
      <c r="AS217" s="28">
        <v>0.1428571428571429</v>
      </c>
      <c r="AT217" s="28">
        <v>0</v>
      </c>
      <c r="AU217" s="25">
        <v>0.95</v>
      </c>
      <c r="AV217" s="25">
        <v>3.44</v>
      </c>
      <c r="AW217" s="25">
        <v>2.4900000000000002</v>
      </c>
      <c r="AX217" s="25">
        <v>2.6527272727272719</v>
      </c>
      <c r="AY217">
        <v>2.6527272727272728</v>
      </c>
      <c r="AZ217">
        <v>6.0182046818181814</v>
      </c>
      <c r="BA217" s="75">
        <v>0.5176653673612065</v>
      </c>
      <c r="BB217" s="75">
        <v>0.54307152550012683</v>
      </c>
      <c r="BE217">
        <v>4.4246063552605013E-2</v>
      </c>
      <c r="BF217">
        <v>4.6417587008717988E-2</v>
      </c>
      <c r="BH217">
        <v>9.0663650561323014E-2</v>
      </c>
      <c r="BI217">
        <v>4.53318252806615E-2</v>
      </c>
      <c r="BJ217">
        <v>0.53036844643066661</v>
      </c>
    </row>
    <row r="218" spans="1:62" x14ac:dyDescent="0.3">
      <c r="A218" s="2" t="s">
        <v>46</v>
      </c>
      <c r="B218" s="13" t="s">
        <v>722</v>
      </c>
      <c r="C218" s="13"/>
      <c r="F218" s="2">
        <v>3.2</v>
      </c>
      <c r="G218" s="2" t="s">
        <v>183</v>
      </c>
      <c r="H218" s="9" t="s">
        <v>551</v>
      </c>
      <c r="I218" t="s">
        <v>629</v>
      </c>
      <c r="J218"/>
      <c r="L218" s="25">
        <v>2</v>
      </c>
      <c r="M218">
        <v>4</v>
      </c>
      <c r="N218">
        <v>0</v>
      </c>
      <c r="T218" s="25">
        <v>7.41544296</v>
      </c>
      <c r="U218" s="25">
        <v>7.4154429599999991</v>
      </c>
      <c r="V218" s="25">
        <v>7.41544296</v>
      </c>
      <c r="W218">
        <v>7.8</v>
      </c>
      <c r="X218">
        <v>13.010999999999999</v>
      </c>
      <c r="Y218">
        <v>5.5460000000000003</v>
      </c>
      <c r="Z218">
        <v>0</v>
      </c>
      <c r="AA218"/>
      <c r="AB218"/>
      <c r="AD218">
        <v>14</v>
      </c>
      <c r="AE218" s="55">
        <f t="shared" si="10"/>
        <v>0</v>
      </c>
      <c r="AF218" s="57">
        <v>288.33429290182369</v>
      </c>
      <c r="AG218" s="55">
        <v>556.51188553357167</v>
      </c>
      <c r="AH218" s="55">
        <v>0</v>
      </c>
      <c r="AI218" s="52"/>
      <c r="AJ218" s="51">
        <v>9.7109503410799117E-2</v>
      </c>
      <c r="AK218" s="52">
        <v>0.10062678166578309</v>
      </c>
      <c r="AL218" s="52"/>
      <c r="AM218" s="28">
        <v>2</v>
      </c>
      <c r="AN218" s="28">
        <v>2.545454545454545</v>
      </c>
      <c r="AO218" s="28">
        <v>0.54545454545454541</v>
      </c>
      <c r="AP218" s="28">
        <v>0</v>
      </c>
      <c r="AQ218" s="28">
        <v>0.39285714285714279</v>
      </c>
      <c r="AR218" s="28">
        <v>0.5</v>
      </c>
      <c r="AS218" s="28">
        <v>0.1071428571428571</v>
      </c>
      <c r="AT218" s="28">
        <v>0</v>
      </c>
      <c r="AU218" s="25">
        <v>1.1000000000000001</v>
      </c>
      <c r="AV218" s="25">
        <v>3.44</v>
      </c>
      <c r="AW218" s="25">
        <v>2.34</v>
      </c>
      <c r="AX218" s="25">
        <v>2.669090909090909</v>
      </c>
      <c r="AY218">
        <v>2.669090909090909</v>
      </c>
      <c r="AZ218">
        <v>5.9831974772727277</v>
      </c>
      <c r="BA218" s="75">
        <v>0.52442413903612473</v>
      </c>
      <c r="BB218" s="75">
        <v>0.54341863036636606</v>
      </c>
      <c r="BE218">
        <v>4.8554751705399558E-2</v>
      </c>
      <c r="BF218">
        <v>5.0313390832891547E-2</v>
      </c>
      <c r="BH218">
        <v>9.8868142538291098E-2</v>
      </c>
      <c r="BI218">
        <v>4.9434071269145549E-2</v>
      </c>
      <c r="BJ218">
        <v>0.53392138470124539</v>
      </c>
    </row>
    <row r="219" spans="1:62" x14ac:dyDescent="0.3">
      <c r="A219" s="2" t="s">
        <v>47</v>
      </c>
      <c r="B219" s="13" t="s">
        <v>723</v>
      </c>
      <c r="C219" s="13"/>
      <c r="F219" s="2">
        <v>3.8</v>
      </c>
      <c r="G219" s="2" t="s">
        <v>183</v>
      </c>
      <c r="H219" s="9">
        <v>-1</v>
      </c>
      <c r="I219">
        <v>-1</v>
      </c>
      <c r="J219" t="s">
        <v>1152</v>
      </c>
      <c r="L219" s="25">
        <v>0</v>
      </c>
      <c r="M219">
        <v>0</v>
      </c>
      <c r="N219">
        <v>2</v>
      </c>
      <c r="T219" s="25">
        <v>0</v>
      </c>
      <c r="U219" s="25"/>
      <c r="V219" s="25"/>
      <c r="W219">
        <v>0</v>
      </c>
      <c r="X219"/>
      <c r="Y219"/>
      <c r="Z219">
        <v>5.5170000000000003</v>
      </c>
      <c r="AA219">
        <v>31.274999999999999</v>
      </c>
      <c r="AB219">
        <v>3.8942000000000001</v>
      </c>
      <c r="AD219">
        <v>34</v>
      </c>
      <c r="AE219" s="55">
        <f t="shared" si="10"/>
        <v>0</v>
      </c>
      <c r="AF219" s="57">
        <v>0</v>
      </c>
      <c r="AG219" s="55">
        <v>0</v>
      </c>
      <c r="AH219" s="55">
        <v>671.92152628500003</v>
      </c>
      <c r="AI219" s="52"/>
      <c r="AJ219" s="51"/>
      <c r="AK219" s="52"/>
      <c r="AL219" s="52">
        <v>0.1012022942261822</v>
      </c>
      <c r="AM219" s="28">
        <v>2</v>
      </c>
      <c r="AN219" s="28">
        <v>2.518518518518519</v>
      </c>
      <c r="AO219" s="28">
        <v>0.51851851851851849</v>
      </c>
      <c r="AP219" s="28">
        <v>0</v>
      </c>
      <c r="AQ219" s="28">
        <v>0.39705882352941169</v>
      </c>
      <c r="AR219" s="28">
        <v>0.5</v>
      </c>
      <c r="AS219" s="28">
        <v>0.1029411764705882</v>
      </c>
      <c r="AT219" s="28">
        <v>0</v>
      </c>
      <c r="AU219" s="25">
        <v>1</v>
      </c>
      <c r="AV219" s="25">
        <v>3.44</v>
      </c>
      <c r="AW219" s="25">
        <v>2.44</v>
      </c>
      <c r="AX219" s="25">
        <v>2.6511111111111112</v>
      </c>
      <c r="AY219">
        <v>2.6511111111111112</v>
      </c>
      <c r="AZ219">
        <v>5.9544359512962952</v>
      </c>
      <c r="BG219">
        <v>5.0601147113091112E-2</v>
      </c>
      <c r="BH219">
        <v>0.1012022942261822</v>
      </c>
      <c r="BI219">
        <v>5.0601147113091112E-2</v>
      </c>
      <c r="BJ219">
        <v>0</v>
      </c>
    </row>
    <row r="220" spans="1:62" x14ac:dyDescent="0.3">
      <c r="A220" s="2" t="s">
        <v>8</v>
      </c>
      <c r="B220" s="13" t="s">
        <v>694</v>
      </c>
      <c r="C220" s="13"/>
      <c r="F220" s="2">
        <v>3.1</v>
      </c>
      <c r="G220" s="2" t="s">
        <v>183</v>
      </c>
      <c r="H220" s="9" t="s">
        <v>530</v>
      </c>
      <c r="I220" t="s">
        <v>612</v>
      </c>
      <c r="J220"/>
      <c r="L220" s="25">
        <v>30</v>
      </c>
      <c r="M220">
        <v>4</v>
      </c>
      <c r="N220">
        <v>0</v>
      </c>
      <c r="T220" s="25">
        <v>10.59112378</v>
      </c>
      <c r="U220" s="25">
        <v>10.784736629999999</v>
      </c>
      <c r="V220" s="25">
        <v>10.486176179999999</v>
      </c>
      <c r="W220">
        <v>3.73</v>
      </c>
      <c r="X220">
        <v>3.73</v>
      </c>
      <c r="Y220">
        <v>9.3699999999999992</v>
      </c>
      <c r="Z220">
        <v>0</v>
      </c>
      <c r="AA220"/>
      <c r="AB220"/>
      <c r="AD220">
        <v>4</v>
      </c>
      <c r="AE220" s="55">
        <f t="shared" si="10"/>
        <v>0</v>
      </c>
      <c r="AF220" s="57">
        <v>1182.741260108548</v>
      </c>
      <c r="AG220" s="55">
        <v>130.36387300000001</v>
      </c>
      <c r="AH220" s="55">
        <v>0</v>
      </c>
      <c r="AI220" s="52"/>
      <c r="AJ220" s="51">
        <v>0.1014592151701775</v>
      </c>
      <c r="AK220" s="52">
        <v>0.1227333894874388</v>
      </c>
      <c r="AL220" s="52"/>
      <c r="AM220" s="28">
        <v>2</v>
      </c>
      <c r="AN220" s="28">
        <v>2.666666666666667</v>
      </c>
      <c r="AO220" s="28">
        <v>0.66666666666666663</v>
      </c>
      <c r="AP220" s="28">
        <v>0</v>
      </c>
      <c r="AQ220" s="28">
        <v>0.375</v>
      </c>
      <c r="AR220" s="28">
        <v>0.5</v>
      </c>
      <c r="AS220" s="28">
        <v>0.125</v>
      </c>
      <c r="AT220" s="28">
        <v>0</v>
      </c>
      <c r="AU220" s="25">
        <v>1.54</v>
      </c>
      <c r="AV220" s="25">
        <v>3.44</v>
      </c>
      <c r="AW220" s="25">
        <v>1.9</v>
      </c>
      <c r="AX220" s="25">
        <v>2.8066666666666671</v>
      </c>
      <c r="AY220">
        <v>2.8066666666666662</v>
      </c>
      <c r="AZ220">
        <v>6.1769976</v>
      </c>
      <c r="BA220" s="75">
        <v>0.46900407026869628</v>
      </c>
      <c r="BB220" s="75">
        <v>0.56734579634715776</v>
      </c>
      <c r="BE220">
        <v>5.072960758508873E-2</v>
      </c>
      <c r="BF220">
        <v>6.136669474371937E-2</v>
      </c>
      <c r="BH220">
        <v>0.1120963023288082</v>
      </c>
      <c r="BI220">
        <v>5.604815116440405E-2</v>
      </c>
      <c r="BJ220">
        <v>0.51817493330792708</v>
      </c>
    </row>
    <row r="221" spans="1:62" x14ac:dyDescent="0.3">
      <c r="A221" s="2" t="s">
        <v>0</v>
      </c>
      <c r="B221" s="13" t="s">
        <v>685</v>
      </c>
      <c r="C221" s="13"/>
      <c r="F221" s="2">
        <v>3.3</v>
      </c>
      <c r="G221" s="2" t="s">
        <v>183</v>
      </c>
      <c r="H221" s="9" t="s">
        <v>523</v>
      </c>
      <c r="I221" t="s">
        <v>606</v>
      </c>
      <c r="J221"/>
      <c r="L221" s="25">
        <v>4</v>
      </c>
      <c r="M221">
        <v>4</v>
      </c>
      <c r="N221">
        <v>0</v>
      </c>
      <c r="T221" s="25">
        <v>6.6040679999999998</v>
      </c>
      <c r="U221" s="25">
        <v>7.9389519999999996</v>
      </c>
      <c r="V221" s="25">
        <v>33.703336</v>
      </c>
      <c r="W221">
        <v>7.83</v>
      </c>
      <c r="X221">
        <v>33.209989999999998</v>
      </c>
      <c r="Y221">
        <v>6.46</v>
      </c>
      <c r="Z221">
        <v>0</v>
      </c>
      <c r="AA221"/>
      <c r="AB221"/>
      <c r="AD221">
        <v>34</v>
      </c>
      <c r="AE221" s="55">
        <f t="shared" si="10"/>
        <v>0</v>
      </c>
      <c r="AF221" s="57">
        <v>1767.0449718798691</v>
      </c>
      <c r="AG221" s="55">
        <v>1679.8210721820001</v>
      </c>
      <c r="AH221" s="55">
        <v>0</v>
      </c>
      <c r="AI221" s="52"/>
      <c r="AJ221" s="51">
        <v>7.6964651247849417E-2</v>
      </c>
      <c r="AK221" s="52">
        <v>8.0961003676030277E-2</v>
      </c>
      <c r="AL221" s="52"/>
      <c r="AM221" s="28">
        <v>1.62962962962963</v>
      </c>
      <c r="AN221" s="28">
        <v>2.518518518518519</v>
      </c>
      <c r="AO221" s="28">
        <v>0.88888888888888884</v>
      </c>
      <c r="AP221" s="28">
        <v>0</v>
      </c>
      <c r="AQ221" s="28">
        <v>0.32352941176470579</v>
      </c>
      <c r="AR221" s="28">
        <v>0.5</v>
      </c>
      <c r="AS221" s="28">
        <v>0.1764705882352941</v>
      </c>
      <c r="AT221" s="28">
        <v>0</v>
      </c>
      <c r="AU221" s="25">
        <v>0.82</v>
      </c>
      <c r="AV221" s="25">
        <v>3.44</v>
      </c>
      <c r="AW221" s="25">
        <v>2.62</v>
      </c>
      <c r="AX221" s="25">
        <v>2.642962962962963</v>
      </c>
      <c r="AY221">
        <v>2.642962962962963</v>
      </c>
      <c r="AZ221">
        <v>5.9587362692592576</v>
      </c>
      <c r="BA221" s="75">
        <v>0.48264383878002159</v>
      </c>
      <c r="BB221" s="75">
        <v>0.50770488753139842</v>
      </c>
      <c r="BE221">
        <v>3.8482325623924708E-2</v>
      </c>
      <c r="BF221">
        <v>4.0480501838015132E-2</v>
      </c>
      <c r="BH221">
        <v>7.8962827461939847E-2</v>
      </c>
      <c r="BI221">
        <v>3.9481413730969923E-2</v>
      </c>
      <c r="BJ221">
        <v>0.49517436315571001</v>
      </c>
    </row>
    <row r="222" spans="1:62" x14ac:dyDescent="0.3">
      <c r="A222" s="5" t="s">
        <v>184</v>
      </c>
      <c r="B222" s="39" t="s">
        <v>798</v>
      </c>
      <c r="C222" s="39"/>
      <c r="D222" s="5"/>
      <c r="E222" s="5"/>
      <c r="F222" s="5">
        <v>3.5</v>
      </c>
      <c r="G222" s="5" t="s">
        <v>183</v>
      </c>
      <c r="H222" s="40">
        <v>-2</v>
      </c>
      <c r="I222" s="5">
        <v>-1</v>
      </c>
      <c r="J222" s="5"/>
      <c r="K222" s="5"/>
      <c r="L222" s="41">
        <v>0</v>
      </c>
      <c r="M222">
        <v>0</v>
      </c>
      <c r="N222">
        <v>0</v>
      </c>
      <c r="O222" s="5"/>
      <c r="P222" s="5"/>
      <c r="Q222" s="5"/>
      <c r="R222" s="5"/>
      <c r="S222" s="5"/>
      <c r="T222" s="41">
        <v>0</v>
      </c>
      <c r="U222" s="41"/>
      <c r="V222" s="41"/>
      <c r="W222">
        <v>0</v>
      </c>
      <c r="X222"/>
      <c r="Y222"/>
      <c r="Z222">
        <v>0</v>
      </c>
      <c r="AA222"/>
      <c r="AB222"/>
      <c r="AC222" s="5"/>
      <c r="AD222" s="5">
        <v>20</v>
      </c>
      <c r="AE222" s="55">
        <f t="shared" si="10"/>
        <v>0</v>
      </c>
      <c r="AF222" s="57">
        <v>0</v>
      </c>
      <c r="AG222" s="55">
        <v>0</v>
      </c>
      <c r="AH222" s="55">
        <v>0</v>
      </c>
      <c r="AI222" s="52"/>
      <c r="AJ222" s="51"/>
      <c r="AK222" s="52"/>
      <c r="AL222" s="52"/>
      <c r="AM222" s="5">
        <v>1.9375</v>
      </c>
      <c r="AN222" s="5">
        <v>2.5</v>
      </c>
      <c r="AO222" s="5">
        <v>0.5625</v>
      </c>
      <c r="AP222" s="5">
        <v>2.625</v>
      </c>
      <c r="AQ222" s="5">
        <v>0.25409836065573771</v>
      </c>
      <c r="AR222" s="5">
        <v>0.32786885245901642</v>
      </c>
      <c r="AS222" s="5">
        <v>7.3770491803278687E-2</v>
      </c>
      <c r="AT222" s="5">
        <v>0.34426229508196721</v>
      </c>
      <c r="AU222" s="41">
        <v>0.82</v>
      </c>
      <c r="AV222" s="41">
        <v>3.44</v>
      </c>
      <c r="AW222" s="41">
        <v>2.62</v>
      </c>
      <c r="AX222" s="41">
        <v>2.59375</v>
      </c>
      <c r="AY222" s="5">
        <v>2.59375</v>
      </c>
      <c r="AZ222" s="5">
        <v>5.9363868768750008</v>
      </c>
      <c r="BH222">
        <v>0</v>
      </c>
      <c r="BI222">
        <v>0</v>
      </c>
      <c r="BJ222">
        <v>0</v>
      </c>
    </row>
    <row r="223" spans="1:62" x14ac:dyDescent="0.3">
      <c r="A223" s="2" t="s">
        <v>185</v>
      </c>
      <c r="B223" s="13" t="s">
        <v>729</v>
      </c>
      <c r="C223" s="13"/>
      <c r="F223" s="2">
        <v>4.55</v>
      </c>
      <c r="G223" s="2" t="s">
        <v>192</v>
      </c>
      <c r="H223" s="9" t="s">
        <v>556</v>
      </c>
      <c r="I223" t="s">
        <v>633</v>
      </c>
      <c r="J223"/>
      <c r="K223" s="2">
        <v>4</v>
      </c>
      <c r="L223" s="25">
        <v>2</v>
      </c>
      <c r="M223">
        <v>4</v>
      </c>
      <c r="N223">
        <v>0</v>
      </c>
      <c r="O223" s="2">
        <v>3.9369999999999998</v>
      </c>
      <c r="P223" s="2">
        <v>27.198</v>
      </c>
      <c r="Q223" s="2">
        <v>5.6920000000000002</v>
      </c>
      <c r="T223" s="25">
        <v>13.81974189</v>
      </c>
      <c r="U223" s="25">
        <v>13.81974189</v>
      </c>
      <c r="V223" s="25">
        <v>5.7110870199999999</v>
      </c>
      <c r="W223">
        <v>3.94</v>
      </c>
      <c r="X223">
        <v>27.15</v>
      </c>
      <c r="Y223">
        <v>5.6920000000000002</v>
      </c>
      <c r="Z223">
        <v>0</v>
      </c>
      <c r="AA223"/>
      <c r="AB223"/>
      <c r="AD223">
        <v>14</v>
      </c>
      <c r="AE223" s="55">
        <f t="shared" si="10"/>
        <v>609.49096999200003</v>
      </c>
      <c r="AF223" s="57">
        <v>309.44138863753989</v>
      </c>
      <c r="AG223" s="55">
        <v>608.87893199999996</v>
      </c>
      <c r="AH223" s="55">
        <v>0</v>
      </c>
      <c r="AI223" s="52">
        <f t="shared" ref="AI223:AI236" si="12">K223*AD223/AE223</f>
        <v>9.1879950248869205E-2</v>
      </c>
      <c r="AJ223" s="51">
        <v>9.0485633235046756E-2</v>
      </c>
      <c r="AK223" s="52">
        <v>9.1972306901891634E-2</v>
      </c>
      <c r="AL223" s="52"/>
      <c r="AM223" s="28">
        <v>2</v>
      </c>
      <c r="AN223" s="28">
        <v>2.545454545454545</v>
      </c>
      <c r="AO223" s="28">
        <v>0.54545454545454541</v>
      </c>
      <c r="AP223" s="28">
        <v>2.545454545454545</v>
      </c>
      <c r="AQ223" s="28">
        <v>0.26190476190476192</v>
      </c>
      <c r="AR223" s="28">
        <v>0.33333333333333331</v>
      </c>
      <c r="AS223" s="28">
        <v>7.1428571428571425E-2</v>
      </c>
      <c r="AT223" s="28">
        <v>0.33333333333333331</v>
      </c>
      <c r="AU223" s="25">
        <v>0.95</v>
      </c>
      <c r="AV223" s="25">
        <v>3.44</v>
      </c>
      <c r="AW223" s="25">
        <v>2.4900000000000002</v>
      </c>
      <c r="AX223" s="25">
        <v>2.6345454545454539</v>
      </c>
      <c r="AY223">
        <v>2.6345454545454552</v>
      </c>
      <c r="AZ223">
        <v>6.036062318181818</v>
      </c>
      <c r="BA223" s="75">
        <v>0.52932707238284982</v>
      </c>
      <c r="BB223" s="75">
        <v>0.53802388525275069</v>
      </c>
      <c r="BD223">
        <v>4.5939975124434602E-2</v>
      </c>
      <c r="BE223">
        <v>4.5242816617523378E-2</v>
      </c>
      <c r="BF223">
        <v>4.5986153450945817E-2</v>
      </c>
      <c r="BH223">
        <v>9.1445963461935856E-2</v>
      </c>
      <c r="BI223">
        <v>4.5722981730967928E-2</v>
      </c>
      <c r="BJ223">
        <v>0.5336754788178002</v>
      </c>
    </row>
    <row r="224" spans="1:62" x14ac:dyDescent="0.3">
      <c r="A224" s="2" t="s">
        <v>1227</v>
      </c>
      <c r="B224" s="68" t="s">
        <v>1234</v>
      </c>
      <c r="C224" s="13"/>
      <c r="F224" s="2">
        <v>4.43</v>
      </c>
      <c r="G224" s="2" t="s">
        <v>192</v>
      </c>
      <c r="H224" s="9">
        <v>-1</v>
      </c>
      <c r="I224">
        <v>-1</v>
      </c>
      <c r="J224"/>
      <c r="K224" s="2">
        <v>4</v>
      </c>
      <c r="L224" s="25">
        <v>0</v>
      </c>
      <c r="M224">
        <v>0</v>
      </c>
      <c r="N224">
        <v>0</v>
      </c>
      <c r="O224" s="1">
        <v>3.9369999999999998</v>
      </c>
      <c r="P224" s="1">
        <v>27.198</v>
      </c>
      <c r="Q224" s="1">
        <v>5.6920000000000002</v>
      </c>
      <c r="T224" s="25">
        <v>0</v>
      </c>
      <c r="U224" s="25"/>
      <c r="V224" s="25"/>
      <c r="W224">
        <v>0</v>
      </c>
      <c r="X224"/>
      <c r="Y224"/>
      <c r="Z224">
        <v>0</v>
      </c>
      <c r="AA224"/>
      <c r="AB224"/>
      <c r="AD224">
        <v>14</v>
      </c>
      <c r="AE224" s="55">
        <f t="shared" si="10"/>
        <v>609.49096999200003</v>
      </c>
      <c r="AF224" s="57">
        <v>0</v>
      </c>
      <c r="AG224" s="55">
        <v>0</v>
      </c>
      <c r="AH224" s="55">
        <v>0</v>
      </c>
      <c r="AI224" s="52">
        <f t="shared" si="12"/>
        <v>9.1879950248869205E-2</v>
      </c>
      <c r="AJ224" s="51"/>
      <c r="AK224" s="52"/>
      <c r="AL224" s="52"/>
      <c r="AM224" s="28">
        <v>1.9950000000000001</v>
      </c>
      <c r="AN224" s="28">
        <v>2.8</v>
      </c>
      <c r="AO224" s="28">
        <v>0.30499999999999999</v>
      </c>
      <c r="AP224" s="28">
        <v>1.33</v>
      </c>
      <c r="AQ224" s="28">
        <v>0.31026438569206838</v>
      </c>
      <c r="AR224" s="28">
        <v>0.43545878693623641</v>
      </c>
      <c r="AS224" s="28">
        <v>4.7433903576982892E-2</v>
      </c>
      <c r="AT224" s="28">
        <v>0.20684292379471231</v>
      </c>
      <c r="AU224" s="25">
        <v>0.95</v>
      </c>
      <c r="AV224" s="25">
        <v>3.44</v>
      </c>
      <c r="AW224" s="25">
        <v>2.4900000000000002</v>
      </c>
      <c r="AX224" s="25">
        <v>2.7484999999999991</v>
      </c>
      <c r="AY224">
        <v>2.7484999999999999</v>
      </c>
      <c r="AZ224">
        <v>6.2455429149999997</v>
      </c>
      <c r="BD224">
        <v>4.5939975124434602E-2</v>
      </c>
      <c r="BH224">
        <v>9.1879950248869205E-2</v>
      </c>
      <c r="BI224">
        <v>4.5939975124434602E-2</v>
      </c>
      <c r="BJ224">
        <v>0</v>
      </c>
    </row>
    <row r="225" spans="1:62" x14ac:dyDescent="0.3">
      <c r="A225" s="2" t="s">
        <v>1228</v>
      </c>
      <c r="B225" s="68" t="s">
        <v>1235</v>
      </c>
      <c r="C225" s="13"/>
      <c r="F225" s="2">
        <v>4.34</v>
      </c>
      <c r="G225" s="2" t="s">
        <v>192</v>
      </c>
      <c r="H225" s="9">
        <v>-1</v>
      </c>
      <c r="I225">
        <v>-1</v>
      </c>
      <c r="J225"/>
      <c r="K225" s="2">
        <v>4</v>
      </c>
      <c r="L225" s="25">
        <v>0</v>
      </c>
      <c r="M225">
        <v>0</v>
      </c>
      <c r="N225">
        <v>0</v>
      </c>
      <c r="O225" s="1">
        <v>3.9369999999999998</v>
      </c>
      <c r="P225" s="1">
        <v>27.198</v>
      </c>
      <c r="Q225" s="1">
        <v>5.6920000000000002</v>
      </c>
      <c r="T225" s="25">
        <v>0</v>
      </c>
      <c r="U225" s="25"/>
      <c r="V225" s="25"/>
      <c r="W225">
        <v>0</v>
      </c>
      <c r="X225"/>
      <c r="Y225"/>
      <c r="Z225">
        <v>0</v>
      </c>
      <c r="AA225"/>
      <c r="AB225"/>
      <c r="AD225">
        <v>14</v>
      </c>
      <c r="AE225" s="55">
        <f t="shared" si="10"/>
        <v>609.49096999200003</v>
      </c>
      <c r="AF225" s="57">
        <v>0</v>
      </c>
      <c r="AG225" s="55">
        <v>0</v>
      </c>
      <c r="AH225" s="55">
        <v>0</v>
      </c>
      <c r="AI225" s="52">
        <f t="shared" si="12"/>
        <v>9.1879950248869205E-2</v>
      </c>
      <c r="AJ225" s="51"/>
      <c r="AK225" s="52"/>
      <c r="AL225" s="52"/>
      <c r="AM225" s="28">
        <v>1.99</v>
      </c>
      <c r="AN225" s="28">
        <v>2.8</v>
      </c>
      <c r="AO225" s="28">
        <v>0.31</v>
      </c>
      <c r="AP225" s="28">
        <v>1.26</v>
      </c>
      <c r="AQ225" s="28">
        <v>0.31289308176100628</v>
      </c>
      <c r="AR225" s="28">
        <v>0.44025157232704398</v>
      </c>
      <c r="AS225" s="28">
        <v>4.874213836477987E-2</v>
      </c>
      <c r="AT225" s="28">
        <v>0.1981132075471698</v>
      </c>
      <c r="AU225" s="25">
        <v>0.95</v>
      </c>
      <c r="AV225" s="25">
        <v>3.44</v>
      </c>
      <c r="AW225" s="25">
        <v>2.4900000000000002</v>
      </c>
      <c r="AX225" s="25">
        <v>2.7490000000000001</v>
      </c>
      <c r="AY225">
        <v>2.7490000000000001</v>
      </c>
      <c r="AZ225">
        <v>6.2450518300000004</v>
      </c>
      <c r="BD225">
        <v>4.5939975124434602E-2</v>
      </c>
      <c r="BH225">
        <v>9.1879950248869205E-2</v>
      </c>
      <c r="BI225">
        <v>4.5939975124434602E-2</v>
      </c>
      <c r="BJ225">
        <v>0</v>
      </c>
    </row>
    <row r="226" spans="1:62" x14ac:dyDescent="0.3">
      <c r="A226" s="2" t="s">
        <v>1229</v>
      </c>
      <c r="B226" s="68" t="s">
        <v>1236</v>
      </c>
      <c r="C226" s="13"/>
      <c r="F226" s="2">
        <v>4.2699999999999996</v>
      </c>
      <c r="G226" s="2" t="s">
        <v>192</v>
      </c>
      <c r="H226" s="9">
        <v>-1</v>
      </c>
      <c r="I226">
        <v>-1</v>
      </c>
      <c r="J226"/>
      <c r="K226" s="2">
        <v>4</v>
      </c>
      <c r="L226" s="25">
        <v>0</v>
      </c>
      <c r="M226">
        <v>0</v>
      </c>
      <c r="N226">
        <v>0</v>
      </c>
      <c r="O226" s="1">
        <v>3.9369999999999998</v>
      </c>
      <c r="P226" s="1">
        <v>27.198</v>
      </c>
      <c r="Q226" s="1">
        <v>5.6920000000000002</v>
      </c>
      <c r="T226" s="25">
        <v>0</v>
      </c>
      <c r="U226" s="25"/>
      <c r="V226" s="25"/>
      <c r="W226">
        <v>0</v>
      </c>
      <c r="X226"/>
      <c r="Y226"/>
      <c r="Z226">
        <v>0</v>
      </c>
      <c r="AA226"/>
      <c r="AB226"/>
      <c r="AD226">
        <v>14</v>
      </c>
      <c r="AE226" s="55">
        <f t="shared" si="10"/>
        <v>609.49096999200003</v>
      </c>
      <c r="AF226" s="57">
        <v>0</v>
      </c>
      <c r="AG226" s="55">
        <v>0</v>
      </c>
      <c r="AH226" s="55">
        <v>0</v>
      </c>
      <c r="AI226" s="52">
        <f t="shared" si="12"/>
        <v>9.1879950248869205E-2</v>
      </c>
      <c r="AJ226" s="51"/>
      <c r="AK226" s="52"/>
      <c r="AL226" s="52"/>
      <c r="AM226" s="28">
        <v>1.9850000000000001</v>
      </c>
      <c r="AN226" s="28">
        <v>2.8</v>
      </c>
      <c r="AO226" s="28">
        <v>0.315</v>
      </c>
      <c r="AP226" s="28">
        <v>1.19</v>
      </c>
      <c r="AQ226" s="28">
        <v>0.31558028616852152</v>
      </c>
      <c r="AR226" s="28">
        <v>0.4451510333863275</v>
      </c>
      <c r="AS226" s="28">
        <v>5.0079491255961853E-2</v>
      </c>
      <c r="AT226" s="28">
        <v>0.1891891891891892</v>
      </c>
      <c r="AU226" s="25">
        <v>0.95</v>
      </c>
      <c r="AV226" s="25">
        <v>3.44</v>
      </c>
      <c r="AW226" s="25">
        <v>2.4900000000000002</v>
      </c>
      <c r="AX226" s="25">
        <v>2.7494999999999989</v>
      </c>
      <c r="AY226">
        <v>2.7494999999999998</v>
      </c>
      <c r="AZ226">
        <v>6.2445607449999994</v>
      </c>
      <c r="BD226">
        <v>4.5939975124434602E-2</v>
      </c>
      <c r="BH226">
        <v>9.1879950248869205E-2</v>
      </c>
      <c r="BI226">
        <v>4.5939975124434602E-2</v>
      </c>
      <c r="BJ226">
        <v>0</v>
      </c>
    </row>
    <row r="227" spans="1:62" x14ac:dyDescent="0.3">
      <c r="A227" s="2" t="s">
        <v>1230</v>
      </c>
      <c r="B227" s="68" t="s">
        <v>1237</v>
      </c>
      <c r="C227" s="13"/>
      <c r="F227" s="2">
        <v>4.13</v>
      </c>
      <c r="G227" s="2" t="s">
        <v>192</v>
      </c>
      <c r="H227" s="9">
        <v>-1</v>
      </c>
      <c r="I227">
        <v>-1</v>
      </c>
      <c r="J227"/>
      <c r="K227" s="2">
        <v>4</v>
      </c>
      <c r="L227" s="25">
        <v>0</v>
      </c>
      <c r="M227">
        <v>0</v>
      </c>
      <c r="N227">
        <v>0</v>
      </c>
      <c r="O227" s="1">
        <v>3.9369999999999998</v>
      </c>
      <c r="P227" s="1">
        <v>27.198</v>
      </c>
      <c r="Q227" s="1">
        <v>5.6920000000000002</v>
      </c>
      <c r="T227" s="25">
        <v>0</v>
      </c>
      <c r="U227" s="25"/>
      <c r="V227" s="25"/>
      <c r="W227">
        <v>0</v>
      </c>
      <c r="X227"/>
      <c r="Y227"/>
      <c r="Z227">
        <v>0</v>
      </c>
      <c r="AA227"/>
      <c r="AB227"/>
      <c r="AD227">
        <v>14</v>
      </c>
      <c r="AE227" s="55">
        <f t="shared" si="10"/>
        <v>609.49096999200003</v>
      </c>
      <c r="AF227" s="57">
        <v>0</v>
      </c>
      <c r="AG227" s="55">
        <v>0</v>
      </c>
      <c r="AH227" s="55">
        <v>0</v>
      </c>
      <c r="AI227" s="52">
        <f t="shared" si="12"/>
        <v>9.1879950248869205E-2</v>
      </c>
      <c r="AJ227" s="51"/>
      <c r="AK227" s="52"/>
      <c r="AL227" s="52"/>
      <c r="AM227" s="28">
        <v>1.9750000000000001</v>
      </c>
      <c r="AN227" s="28">
        <v>2.8</v>
      </c>
      <c r="AO227" s="28">
        <v>0.32500000000000001</v>
      </c>
      <c r="AP227" s="28">
        <v>1.05</v>
      </c>
      <c r="AQ227" s="28">
        <v>0.32113821138211379</v>
      </c>
      <c r="AR227" s="28">
        <v>0.45528455284552838</v>
      </c>
      <c r="AS227" s="28">
        <v>5.2845528455284549E-2</v>
      </c>
      <c r="AT227" s="28">
        <v>0.17073170731707321</v>
      </c>
      <c r="AU227" s="25">
        <v>0.95</v>
      </c>
      <c r="AV227" s="25">
        <v>3.44</v>
      </c>
      <c r="AW227" s="25">
        <v>2.4900000000000002</v>
      </c>
      <c r="AX227" s="25">
        <v>2.7505000000000002</v>
      </c>
      <c r="AY227">
        <v>2.7505000000000002</v>
      </c>
      <c r="AZ227">
        <v>6.2435785749999999</v>
      </c>
      <c r="BD227">
        <v>4.5939975124434602E-2</v>
      </c>
      <c r="BH227">
        <v>9.1879950248869205E-2</v>
      </c>
      <c r="BI227">
        <v>4.5939975124434602E-2</v>
      </c>
      <c r="BJ227">
        <v>0</v>
      </c>
    </row>
    <row r="228" spans="1:62" x14ac:dyDescent="0.3">
      <c r="A228" s="2" t="s">
        <v>1231</v>
      </c>
      <c r="B228" s="68" t="s">
        <v>1238</v>
      </c>
      <c r="C228" s="13"/>
      <c r="F228" s="2">
        <v>4.07</v>
      </c>
      <c r="G228" s="2" t="s">
        <v>192</v>
      </c>
      <c r="H228" s="9">
        <v>-1</v>
      </c>
      <c r="I228">
        <v>-1</v>
      </c>
      <c r="J228"/>
      <c r="K228" s="2">
        <v>4</v>
      </c>
      <c r="L228" s="25">
        <v>0</v>
      </c>
      <c r="M228">
        <v>0</v>
      </c>
      <c r="N228">
        <v>0</v>
      </c>
      <c r="O228" s="1">
        <v>3.9369999999999998</v>
      </c>
      <c r="P228" s="1">
        <v>27.198</v>
      </c>
      <c r="Q228" s="1">
        <v>5.6920000000000002</v>
      </c>
      <c r="T228" s="25">
        <v>0</v>
      </c>
      <c r="U228" s="25"/>
      <c r="V228" s="25"/>
      <c r="W228">
        <v>0</v>
      </c>
      <c r="X228"/>
      <c r="Y228"/>
      <c r="Z228">
        <v>0</v>
      </c>
      <c r="AA228"/>
      <c r="AB228"/>
      <c r="AD228">
        <v>14</v>
      </c>
      <c r="AE228" s="55">
        <f t="shared" si="10"/>
        <v>609.49096999200003</v>
      </c>
      <c r="AF228" s="57">
        <v>0</v>
      </c>
      <c r="AG228" s="55">
        <v>0</v>
      </c>
      <c r="AH228" s="55">
        <v>0</v>
      </c>
      <c r="AI228" s="52">
        <f t="shared" si="12"/>
        <v>9.1879950248869205E-2</v>
      </c>
      <c r="AJ228" s="51"/>
      <c r="AK228" s="52"/>
      <c r="AL228" s="52"/>
      <c r="AM228" s="28">
        <v>1.9650000000000001</v>
      </c>
      <c r="AN228" s="28">
        <v>2.8</v>
      </c>
      <c r="AO228" s="28">
        <v>0.33500000000000002</v>
      </c>
      <c r="AP228" s="28">
        <v>0.90999999999999992</v>
      </c>
      <c r="AQ228" s="28">
        <v>0.32695507487520797</v>
      </c>
      <c r="AR228" s="28">
        <v>0.46589018302828622</v>
      </c>
      <c r="AS228" s="28">
        <v>5.5740432612312818E-2</v>
      </c>
      <c r="AT228" s="28">
        <v>0.15141430948419299</v>
      </c>
      <c r="AU228" s="25">
        <v>0.95</v>
      </c>
      <c r="AV228" s="25">
        <v>3.44</v>
      </c>
      <c r="AW228" s="25">
        <v>2.4900000000000002</v>
      </c>
      <c r="AX228" s="25">
        <v>2.7515000000000001</v>
      </c>
      <c r="AY228">
        <v>2.7515000000000001</v>
      </c>
      <c r="AZ228">
        <v>6.2425964049999996</v>
      </c>
      <c r="BD228">
        <v>4.5939975124434602E-2</v>
      </c>
      <c r="BH228">
        <v>9.1879950248869205E-2</v>
      </c>
      <c r="BI228">
        <v>4.5939975124434602E-2</v>
      </c>
      <c r="BJ228">
        <v>0</v>
      </c>
    </row>
    <row r="229" spans="1:62" x14ac:dyDescent="0.3">
      <c r="A229" s="2" t="s">
        <v>1232</v>
      </c>
      <c r="B229" s="68" t="s">
        <v>1239</v>
      </c>
      <c r="C229" s="13"/>
      <c r="F229" s="2">
        <v>4.03</v>
      </c>
      <c r="G229" s="2" t="s">
        <v>192</v>
      </c>
      <c r="H229" s="9">
        <v>-1</v>
      </c>
      <c r="I229">
        <v>-1</v>
      </c>
      <c r="J229"/>
      <c r="K229" s="2">
        <v>4</v>
      </c>
      <c r="L229" s="25">
        <v>0</v>
      </c>
      <c r="M229">
        <v>0</v>
      </c>
      <c r="N229">
        <v>0</v>
      </c>
      <c r="O229" s="1">
        <v>3.9369999999999998</v>
      </c>
      <c r="P229" s="1">
        <v>27.198</v>
      </c>
      <c r="Q229" s="1">
        <v>5.6920000000000002</v>
      </c>
      <c r="T229" s="25">
        <v>0</v>
      </c>
      <c r="U229" s="25"/>
      <c r="V229" s="25"/>
      <c r="W229">
        <v>0</v>
      </c>
      <c r="X229"/>
      <c r="Y229"/>
      <c r="Z229">
        <v>0</v>
      </c>
      <c r="AA229"/>
      <c r="AB229"/>
      <c r="AD229">
        <v>14</v>
      </c>
      <c r="AE229" s="55">
        <f t="shared" si="10"/>
        <v>609.49096999200003</v>
      </c>
      <c r="AF229" s="57">
        <v>0</v>
      </c>
      <c r="AG229" s="55">
        <v>0</v>
      </c>
      <c r="AH229" s="55">
        <v>0</v>
      </c>
      <c r="AI229" s="52">
        <f t="shared" si="12"/>
        <v>9.1879950248869205E-2</v>
      </c>
      <c r="AJ229" s="51"/>
      <c r="AK229" s="52"/>
      <c r="AL229" s="52"/>
      <c r="AM229" s="28">
        <v>1.95</v>
      </c>
      <c r="AN229" s="28">
        <v>2.8</v>
      </c>
      <c r="AO229" s="28">
        <v>0.35</v>
      </c>
      <c r="AP229" s="28">
        <v>0.7</v>
      </c>
      <c r="AQ229" s="28">
        <v>0.33620689655172409</v>
      </c>
      <c r="AR229" s="28">
        <v>0.48275862068965508</v>
      </c>
      <c r="AS229" s="28">
        <v>6.0344827586206892E-2</v>
      </c>
      <c r="AT229" s="28">
        <v>0.1206896551724138</v>
      </c>
      <c r="AU229" s="25">
        <v>0.95</v>
      </c>
      <c r="AV229" s="25">
        <v>3.44</v>
      </c>
      <c r="AW229" s="25">
        <v>2.4900000000000002</v>
      </c>
      <c r="AX229" s="25">
        <v>2.7530000000000001</v>
      </c>
      <c r="AY229">
        <v>2.7530000000000001</v>
      </c>
      <c r="AZ229">
        <v>6.24112315</v>
      </c>
      <c r="BD229">
        <v>4.5939975124434602E-2</v>
      </c>
      <c r="BH229">
        <v>9.1879950248869205E-2</v>
      </c>
      <c r="BI229">
        <v>4.5939975124434602E-2</v>
      </c>
      <c r="BJ229">
        <v>0</v>
      </c>
    </row>
    <row r="230" spans="1:62" x14ac:dyDescent="0.3">
      <c r="A230" s="2" t="s">
        <v>1233</v>
      </c>
      <c r="B230" s="68" t="s">
        <v>1240</v>
      </c>
      <c r="C230" s="13"/>
      <c r="F230" s="2">
        <v>3.96</v>
      </c>
      <c r="G230" s="2" t="s">
        <v>192</v>
      </c>
      <c r="H230" s="9">
        <v>-1</v>
      </c>
      <c r="I230">
        <v>-1</v>
      </c>
      <c r="J230"/>
      <c r="K230" s="2">
        <v>4</v>
      </c>
      <c r="L230" s="25">
        <v>0</v>
      </c>
      <c r="M230">
        <v>0</v>
      </c>
      <c r="N230">
        <v>0</v>
      </c>
      <c r="O230" s="1">
        <v>3.9369999999999998</v>
      </c>
      <c r="P230" s="1">
        <v>27.198</v>
      </c>
      <c r="Q230" s="1">
        <v>5.6920000000000002</v>
      </c>
      <c r="T230" s="25">
        <v>0</v>
      </c>
      <c r="U230" s="25"/>
      <c r="V230" s="25"/>
      <c r="W230">
        <v>0</v>
      </c>
      <c r="X230"/>
      <c r="Y230"/>
      <c r="Z230">
        <v>0</v>
      </c>
      <c r="AA230"/>
      <c r="AB230"/>
      <c r="AD230">
        <v>14</v>
      </c>
      <c r="AE230" s="55">
        <f t="shared" si="10"/>
        <v>609.49096999200003</v>
      </c>
      <c r="AF230" s="57">
        <v>0</v>
      </c>
      <c r="AG230" s="55">
        <v>0</v>
      </c>
      <c r="AH230" s="55">
        <v>0</v>
      </c>
      <c r="AI230" s="52">
        <f t="shared" si="12"/>
        <v>9.1879950248869205E-2</v>
      </c>
      <c r="AJ230" s="51"/>
      <c r="AK230" s="52"/>
      <c r="AL230" s="52"/>
      <c r="AM230" s="28">
        <v>1.92</v>
      </c>
      <c r="AN230" s="28">
        <v>2.8</v>
      </c>
      <c r="AO230" s="28">
        <v>0.38</v>
      </c>
      <c r="AP230" s="28">
        <v>0.28000000000000003</v>
      </c>
      <c r="AQ230" s="28">
        <v>0.35687732342007428</v>
      </c>
      <c r="AR230" s="28">
        <v>0.5204460966542751</v>
      </c>
      <c r="AS230" s="28">
        <v>7.0631970260223054E-2</v>
      </c>
      <c r="AT230" s="28">
        <v>5.2044609665427517E-2</v>
      </c>
      <c r="AU230" s="25">
        <v>0.95</v>
      </c>
      <c r="AV230" s="25">
        <v>3.44</v>
      </c>
      <c r="AW230" s="25">
        <v>2.4900000000000002</v>
      </c>
      <c r="AX230" s="25">
        <v>2.7559999999999998</v>
      </c>
      <c r="AY230">
        <v>2.7559999999999998</v>
      </c>
      <c r="AZ230">
        <v>6.2381766400000007</v>
      </c>
      <c r="BD230">
        <v>4.5939975124434602E-2</v>
      </c>
      <c r="BH230">
        <v>9.1879950248869205E-2</v>
      </c>
      <c r="BI230">
        <v>4.5939975124434602E-2</v>
      </c>
      <c r="BJ230">
        <v>0</v>
      </c>
    </row>
    <row r="231" spans="1:62" x14ac:dyDescent="0.3">
      <c r="A231" s="2" t="s">
        <v>49</v>
      </c>
      <c r="B231" s="13" t="s">
        <v>725</v>
      </c>
      <c r="C231" s="13"/>
      <c r="F231" s="2">
        <v>3.92</v>
      </c>
      <c r="G231" s="2" t="s">
        <v>192</v>
      </c>
      <c r="H231" s="9" t="s">
        <v>553</v>
      </c>
      <c r="I231" t="s">
        <v>631</v>
      </c>
      <c r="J231"/>
      <c r="L231" s="25">
        <v>8</v>
      </c>
      <c r="M231">
        <v>8</v>
      </c>
      <c r="N231">
        <v>0</v>
      </c>
      <c r="O231" s="2">
        <v>3.9329999999999998</v>
      </c>
      <c r="P231" s="2">
        <v>26.725999999999999</v>
      </c>
      <c r="Q231" s="2">
        <v>5.8630000000000004</v>
      </c>
      <c r="R231" s="2" t="s">
        <v>1095</v>
      </c>
      <c r="T231" s="25">
        <v>5.8017180100000001</v>
      </c>
      <c r="U231" s="25">
        <v>7.9756520899999996</v>
      </c>
      <c r="V231" s="25">
        <v>27.352093400000001</v>
      </c>
      <c r="W231">
        <v>26.646989999999999</v>
      </c>
      <c r="X231">
        <v>7.9359999999999999</v>
      </c>
      <c r="Y231">
        <v>5.7050000000000001</v>
      </c>
      <c r="Z231">
        <v>0</v>
      </c>
      <c r="AA231"/>
      <c r="AB231"/>
      <c r="AD231">
        <v>14</v>
      </c>
      <c r="AE231" s="55">
        <f t="shared" si="10"/>
        <v>616.27961795399995</v>
      </c>
      <c r="AF231" s="57">
        <v>1265.6493143942739</v>
      </c>
      <c r="AG231" s="55">
        <v>1206.4392746112001</v>
      </c>
      <c r="AH231" s="55">
        <v>0</v>
      </c>
      <c r="AI231" s="52"/>
      <c r="AJ231" s="51">
        <v>8.8492127105210025E-2</v>
      </c>
      <c r="AK231" s="52">
        <v>9.2835174017436004E-2</v>
      </c>
      <c r="AL231" s="52"/>
      <c r="AM231" s="28">
        <v>1.8181818181818179</v>
      </c>
      <c r="AN231" s="28">
        <v>2.545454545454545</v>
      </c>
      <c r="AO231" s="28">
        <v>0.72727272727272729</v>
      </c>
      <c r="AP231" s="28">
        <v>0</v>
      </c>
      <c r="AQ231" s="28">
        <v>0.35714285714285721</v>
      </c>
      <c r="AR231" s="28">
        <v>0.5</v>
      </c>
      <c r="AS231" s="28">
        <v>0.1428571428571429</v>
      </c>
      <c r="AT231" s="28">
        <v>0</v>
      </c>
      <c r="AU231" s="25">
        <v>0.95</v>
      </c>
      <c r="AV231" s="25">
        <v>3.44</v>
      </c>
      <c r="AW231" s="25">
        <v>2.4900000000000002</v>
      </c>
      <c r="AX231" s="25">
        <v>2.6527272727272719</v>
      </c>
      <c r="AY231">
        <v>2.6527272727272728</v>
      </c>
      <c r="AZ231">
        <v>6.0182046818181814</v>
      </c>
      <c r="BA231" s="75">
        <v>0.5176653673612065</v>
      </c>
      <c r="BB231" s="75">
        <v>0.54307152550012683</v>
      </c>
      <c r="BE231">
        <v>4.4246063552605013E-2</v>
      </c>
      <c r="BF231">
        <v>4.6417587008717988E-2</v>
      </c>
      <c r="BH231">
        <v>9.0663650561323014E-2</v>
      </c>
      <c r="BI231">
        <v>4.53318252806615E-2</v>
      </c>
      <c r="BJ231">
        <v>0.53036844643066661</v>
      </c>
    </row>
    <row r="232" spans="1:62" x14ac:dyDescent="0.3">
      <c r="A232" s="2" t="s">
        <v>46</v>
      </c>
      <c r="B232" s="13" t="s">
        <v>722</v>
      </c>
      <c r="C232" s="13"/>
      <c r="F232" s="2">
        <v>3.82</v>
      </c>
      <c r="G232" s="2" t="s">
        <v>197</v>
      </c>
      <c r="H232" s="9" t="s">
        <v>551</v>
      </c>
      <c r="I232" t="s">
        <v>629</v>
      </c>
      <c r="J232"/>
      <c r="K232" s="2">
        <v>4</v>
      </c>
      <c r="L232" s="25">
        <v>2</v>
      </c>
      <c r="M232">
        <v>4</v>
      </c>
      <c r="N232">
        <v>0</v>
      </c>
      <c r="O232" s="2">
        <v>13.01</v>
      </c>
      <c r="P232" s="2">
        <v>5.5439999999999996</v>
      </c>
      <c r="Q232" s="2">
        <v>7.81</v>
      </c>
      <c r="R232" s="2" t="s">
        <v>1095</v>
      </c>
      <c r="T232" s="25">
        <v>7.41544296</v>
      </c>
      <c r="U232" s="25">
        <v>7.4154429599999991</v>
      </c>
      <c r="V232" s="25">
        <v>7.41544296</v>
      </c>
      <c r="W232">
        <v>7.8</v>
      </c>
      <c r="X232">
        <v>13.010999999999999</v>
      </c>
      <c r="Y232">
        <v>5.5460000000000003</v>
      </c>
      <c r="Z232">
        <v>0</v>
      </c>
      <c r="AA232"/>
      <c r="AB232"/>
      <c r="AD232">
        <v>14</v>
      </c>
      <c r="AE232" s="55">
        <f t="shared" si="10"/>
        <v>563.31530639999994</v>
      </c>
      <c r="AF232" s="57">
        <v>288.33429290182369</v>
      </c>
      <c r="AG232" s="55">
        <v>556.51188553357167</v>
      </c>
      <c r="AH232" s="55">
        <v>0</v>
      </c>
      <c r="AI232" s="52">
        <f t="shared" si="12"/>
        <v>9.9411465237614932E-2</v>
      </c>
      <c r="AJ232" s="51">
        <v>9.7109503410799117E-2</v>
      </c>
      <c r="AK232" s="52">
        <v>0.10062678166578309</v>
      </c>
      <c r="AL232" s="52"/>
      <c r="AM232" s="28">
        <v>2</v>
      </c>
      <c r="AN232" s="28">
        <v>2.545454545454545</v>
      </c>
      <c r="AO232" s="28">
        <v>0.54545454545454541</v>
      </c>
      <c r="AP232" s="28">
        <v>0</v>
      </c>
      <c r="AQ232" s="28">
        <v>0.39285714285714279</v>
      </c>
      <c r="AR232" s="28">
        <v>0.5</v>
      </c>
      <c r="AS232" s="28">
        <v>0.1071428571428571</v>
      </c>
      <c r="AT232" s="28">
        <v>0</v>
      </c>
      <c r="AU232" s="25">
        <v>1.1000000000000001</v>
      </c>
      <c r="AV232" s="25">
        <v>3.44</v>
      </c>
      <c r="AW232" s="25">
        <v>2.34</v>
      </c>
      <c r="AX232" s="25">
        <v>2.669090909090909</v>
      </c>
      <c r="AY232">
        <v>2.669090909090909</v>
      </c>
      <c r="AZ232">
        <v>5.9831974772727277</v>
      </c>
      <c r="BA232" s="75">
        <v>0.52442413903612473</v>
      </c>
      <c r="BB232" s="75">
        <v>0.54341863036636606</v>
      </c>
      <c r="BD232">
        <v>4.9705732618807473E-2</v>
      </c>
      <c r="BE232">
        <v>4.8554751705399558E-2</v>
      </c>
      <c r="BF232">
        <v>5.0313390832891547E-2</v>
      </c>
      <c r="BH232">
        <v>9.9049250104732381E-2</v>
      </c>
      <c r="BI232">
        <v>4.952462505236619E-2</v>
      </c>
      <c r="BJ232">
        <v>0.53392138470124539</v>
      </c>
    </row>
    <row r="233" spans="1:62" x14ac:dyDescent="0.3">
      <c r="A233" s="2" t="s">
        <v>193</v>
      </c>
      <c r="B233" s="13" t="s">
        <v>799</v>
      </c>
      <c r="C233" s="13"/>
      <c r="F233" s="2">
        <v>3.68</v>
      </c>
      <c r="G233" s="2" t="s">
        <v>197</v>
      </c>
      <c r="H233" s="9">
        <v>-1</v>
      </c>
      <c r="I233">
        <v>-1</v>
      </c>
      <c r="J233"/>
      <c r="K233" s="2">
        <v>4</v>
      </c>
      <c r="L233" s="25">
        <v>0</v>
      </c>
      <c r="M233">
        <v>0</v>
      </c>
      <c r="N233">
        <v>0</v>
      </c>
      <c r="O233" s="2">
        <v>13.02</v>
      </c>
      <c r="P233" s="2">
        <v>5.5119999999999996</v>
      </c>
      <c r="Q233" s="2">
        <v>7.7450000000000001</v>
      </c>
      <c r="R233" s="2" t="s">
        <v>1095</v>
      </c>
      <c r="T233" s="25">
        <v>0</v>
      </c>
      <c r="U233" s="25"/>
      <c r="V233" s="25"/>
      <c r="W233">
        <v>0</v>
      </c>
      <c r="X233"/>
      <c r="Y233"/>
      <c r="Z233">
        <v>0</v>
      </c>
      <c r="AA233"/>
      <c r="AB233"/>
      <c r="AD233">
        <v>14</v>
      </c>
      <c r="AE233" s="55">
        <f t="shared" si="10"/>
        <v>555.82952879999993</v>
      </c>
      <c r="AF233" s="57">
        <v>0</v>
      </c>
      <c r="AG233" s="55">
        <v>0</v>
      </c>
      <c r="AH233" s="55">
        <v>0</v>
      </c>
      <c r="AI233" s="52">
        <f t="shared" si="12"/>
        <v>0.10075031479687735</v>
      </c>
      <c r="AJ233" s="51"/>
      <c r="AK233" s="52"/>
      <c r="AL233" s="52"/>
      <c r="AM233" s="28">
        <v>2</v>
      </c>
      <c r="AN233" s="28">
        <v>2.545454545454545</v>
      </c>
      <c r="AO233" s="28">
        <v>0.45454545454545447</v>
      </c>
      <c r="AP233" s="28">
        <v>0.36363636363636359</v>
      </c>
      <c r="AQ233" s="28">
        <v>0.3728813559322034</v>
      </c>
      <c r="AR233" s="28">
        <v>0.47457627118644069</v>
      </c>
      <c r="AS233" s="28">
        <v>8.4745762711864403E-2</v>
      </c>
      <c r="AT233" s="28">
        <v>6.7796610169491525E-2</v>
      </c>
      <c r="AU233" s="25">
        <v>1.1000000000000001</v>
      </c>
      <c r="AV233" s="25">
        <v>3.44</v>
      </c>
      <c r="AW233" s="25">
        <v>2.34</v>
      </c>
      <c r="AX233" s="25">
        <v>2.672727272727272</v>
      </c>
      <c r="AY233">
        <v>2.6727272727272728</v>
      </c>
      <c r="AZ233">
        <v>5.9599268909090908</v>
      </c>
      <c r="BD233">
        <v>5.0375157398438668E-2</v>
      </c>
      <c r="BH233">
        <v>0.10075031479687729</v>
      </c>
      <c r="BI233">
        <v>5.0375157398438668E-2</v>
      </c>
      <c r="BJ233">
        <v>0</v>
      </c>
    </row>
    <row r="234" spans="1:62" x14ac:dyDescent="0.3">
      <c r="A234" s="2" t="s">
        <v>194</v>
      </c>
      <c r="B234" s="13" t="s">
        <v>800</v>
      </c>
      <c r="C234" s="13"/>
      <c r="F234" s="2">
        <v>3.65</v>
      </c>
      <c r="G234" s="2" t="s">
        <v>197</v>
      </c>
      <c r="H234" s="9" t="s">
        <v>582</v>
      </c>
      <c r="I234" t="s">
        <v>657</v>
      </c>
      <c r="J234"/>
      <c r="K234" s="2">
        <v>4</v>
      </c>
      <c r="L234" s="25">
        <v>2</v>
      </c>
      <c r="M234">
        <v>8</v>
      </c>
      <c r="N234">
        <v>0</v>
      </c>
      <c r="O234" s="2">
        <v>13.02</v>
      </c>
      <c r="P234" s="2">
        <v>5.48</v>
      </c>
      <c r="Q234" s="2">
        <v>7.68</v>
      </c>
      <c r="R234" s="2" t="s">
        <v>1095</v>
      </c>
      <c r="T234" s="25">
        <v>7.2854997800000012</v>
      </c>
      <c r="U234" s="25">
        <v>7.2855000099999998</v>
      </c>
      <c r="V234" s="25">
        <v>7.28550129</v>
      </c>
      <c r="W234">
        <v>7.6769999999999996</v>
      </c>
      <c r="X234">
        <v>5.4560000000000004</v>
      </c>
      <c r="Y234">
        <v>26.012989999999999</v>
      </c>
      <c r="Z234">
        <v>0</v>
      </c>
      <c r="AA234"/>
      <c r="AB234"/>
      <c r="AD234">
        <v>14</v>
      </c>
      <c r="AE234" s="55">
        <f t="shared" si="10"/>
        <v>547.9649280000001</v>
      </c>
      <c r="AF234" s="57">
        <v>273.44070809730869</v>
      </c>
      <c r="AG234" s="55">
        <v>1077.884035254056</v>
      </c>
      <c r="AH234" s="55">
        <v>0</v>
      </c>
      <c r="AI234" s="52">
        <f t="shared" si="12"/>
        <v>0.10219632158647933</v>
      </c>
      <c r="AJ234" s="51">
        <v>0.1023987986091511</v>
      </c>
      <c r="AK234" s="52">
        <v>0.1039072816155049</v>
      </c>
      <c r="AL234" s="52"/>
      <c r="AM234" s="28">
        <v>2</v>
      </c>
      <c r="AN234" s="28">
        <v>2.545454545454545</v>
      </c>
      <c r="AO234" s="28">
        <v>0.36363636363636359</v>
      </c>
      <c r="AP234" s="28">
        <v>0.72727272727272729</v>
      </c>
      <c r="AQ234" s="28">
        <v>0.35483870967741932</v>
      </c>
      <c r="AR234" s="28">
        <v>0.45161290322580638</v>
      </c>
      <c r="AS234" s="28">
        <v>6.4516129032258063E-2</v>
      </c>
      <c r="AT234" s="28">
        <v>0.1290322580645161</v>
      </c>
      <c r="AU234" s="25">
        <v>1.1399999999999999</v>
      </c>
      <c r="AV234" s="25">
        <v>3.44</v>
      </c>
      <c r="AW234" s="25">
        <v>2.2999999999999998</v>
      </c>
      <c r="AX234" s="25">
        <v>2.6763636363636358</v>
      </c>
      <c r="AY234">
        <v>2.6763636363636358</v>
      </c>
      <c r="AZ234">
        <v>5.9366563045454548</v>
      </c>
      <c r="BA234" s="75">
        <v>0.5411256777060568</v>
      </c>
      <c r="BB234" s="75">
        <v>0.54909724475770694</v>
      </c>
      <c r="BD234">
        <v>5.1098160793239672E-2</v>
      </c>
      <c r="BE234">
        <v>5.119939930457558E-2</v>
      </c>
      <c r="BF234">
        <v>5.1953640807752437E-2</v>
      </c>
      <c r="BH234">
        <v>0.1028341339370451</v>
      </c>
      <c r="BI234">
        <v>5.1417066968522558E-2</v>
      </c>
      <c r="BJ234">
        <v>0.54511146123188192</v>
      </c>
    </row>
    <row r="235" spans="1:62" x14ac:dyDescent="0.3">
      <c r="A235" s="2" t="s">
        <v>195</v>
      </c>
      <c r="B235" s="13" t="s">
        <v>801</v>
      </c>
      <c r="C235" s="13"/>
      <c r="F235" s="2">
        <v>2.99</v>
      </c>
      <c r="G235" s="2" t="s">
        <v>197</v>
      </c>
      <c r="H235" s="9" t="s">
        <v>583</v>
      </c>
      <c r="I235">
        <v>-1</v>
      </c>
      <c r="J235"/>
      <c r="K235" s="2">
        <v>4</v>
      </c>
      <c r="L235" s="25">
        <v>4</v>
      </c>
      <c r="M235">
        <v>0</v>
      </c>
      <c r="N235">
        <v>0</v>
      </c>
      <c r="O235" s="2">
        <v>12.996</v>
      </c>
      <c r="P235" s="2">
        <v>5.4850000000000003</v>
      </c>
      <c r="Q235" s="2">
        <v>7.7039999999999997</v>
      </c>
      <c r="R235" s="2" t="s">
        <v>1095</v>
      </c>
      <c r="T235" s="25">
        <v>5.5191434299999997</v>
      </c>
      <c r="U235" s="25">
        <v>7.7203982699999987</v>
      </c>
      <c r="V235" s="25">
        <v>13.117043880000001</v>
      </c>
      <c r="W235">
        <v>0</v>
      </c>
      <c r="X235"/>
      <c r="Y235"/>
      <c r="Z235">
        <v>0</v>
      </c>
      <c r="AA235"/>
      <c r="AB235"/>
      <c r="AD235">
        <v>14</v>
      </c>
      <c r="AE235" s="55">
        <f t="shared" si="10"/>
        <v>549.16469424000002</v>
      </c>
      <c r="AF235" s="57">
        <v>552.74712386171507</v>
      </c>
      <c r="AG235" s="55">
        <v>0</v>
      </c>
      <c r="AH235" s="55">
        <v>0</v>
      </c>
      <c r="AI235" s="52">
        <f t="shared" si="12"/>
        <v>0.1019730521414883</v>
      </c>
      <c r="AJ235" s="51">
        <v>0.1013121508598025</v>
      </c>
      <c r="AK235" s="52"/>
      <c r="AL235" s="52"/>
      <c r="AM235" s="28">
        <v>2</v>
      </c>
      <c r="AN235" s="28">
        <v>2.545454545454545</v>
      </c>
      <c r="AO235" s="28">
        <v>0.36363636363636359</v>
      </c>
      <c r="AP235" s="28">
        <v>0.54545454545454541</v>
      </c>
      <c r="AQ235" s="28">
        <v>0.3666666666666667</v>
      </c>
      <c r="AR235" s="28">
        <v>0.46666666666666667</v>
      </c>
      <c r="AS235" s="28">
        <v>6.666666666666668E-2</v>
      </c>
      <c r="AT235" s="28">
        <v>0.1</v>
      </c>
      <c r="AU235" s="25">
        <v>1.1299999999999999</v>
      </c>
      <c r="AV235" s="25">
        <v>3.44</v>
      </c>
      <c r="AW235" s="25">
        <v>2.31</v>
      </c>
      <c r="AX235" s="25">
        <v>2.6745454545454539</v>
      </c>
      <c r="AY235">
        <v>2.6745454545454548</v>
      </c>
      <c r="AZ235">
        <v>5.9327418772727274</v>
      </c>
      <c r="BA235" s="75">
        <v>0.53699890088551772</v>
      </c>
      <c r="BD235">
        <v>5.0986526070744151E-2</v>
      </c>
      <c r="BE235">
        <v>5.0656075429901228E-2</v>
      </c>
      <c r="BH235">
        <v>0.1016426015006454</v>
      </c>
      <c r="BI235">
        <v>5.0821300750322693E-2</v>
      </c>
      <c r="BJ235">
        <v>0.53699890088551772</v>
      </c>
    </row>
    <row r="236" spans="1:62" x14ac:dyDescent="0.3">
      <c r="A236" s="2" t="s">
        <v>196</v>
      </c>
      <c r="B236" s="13" t="s">
        <v>802</v>
      </c>
      <c r="C236" s="13"/>
      <c r="F236" s="2">
        <v>2.98</v>
      </c>
      <c r="G236" s="2" t="s">
        <v>197</v>
      </c>
      <c r="H236" s="9">
        <v>-1</v>
      </c>
      <c r="I236">
        <v>-1</v>
      </c>
      <c r="J236"/>
      <c r="K236" s="2">
        <v>4</v>
      </c>
      <c r="L236" s="25">
        <v>0</v>
      </c>
      <c r="M236">
        <v>0</v>
      </c>
      <c r="N236">
        <v>0</v>
      </c>
      <c r="O236" s="2">
        <v>13.003</v>
      </c>
      <c r="P236" s="2">
        <v>5.5149999999999997</v>
      </c>
      <c r="Q236" s="2">
        <v>7.7569999999999997</v>
      </c>
      <c r="R236" s="2" t="s">
        <v>1095</v>
      </c>
      <c r="T236" s="25">
        <v>0</v>
      </c>
      <c r="U236" s="25"/>
      <c r="V236" s="25"/>
      <c r="W236">
        <v>0</v>
      </c>
      <c r="X236"/>
      <c r="Y236"/>
      <c r="Z236">
        <v>0</v>
      </c>
      <c r="AA236"/>
      <c r="AB236"/>
      <c r="AD236">
        <v>14</v>
      </c>
      <c r="AE236" s="55">
        <f t="shared" si="10"/>
        <v>556.266454565</v>
      </c>
      <c r="AF236" s="57">
        <v>0</v>
      </c>
      <c r="AG236" s="55">
        <v>0</v>
      </c>
      <c r="AH236" s="55">
        <v>0</v>
      </c>
      <c r="AI236" s="52">
        <f t="shared" si="12"/>
        <v>0.10067117932500884</v>
      </c>
      <c r="AJ236" s="51"/>
      <c r="AK236" s="52"/>
      <c r="AL236" s="52"/>
      <c r="AM236" s="28">
        <v>2</v>
      </c>
      <c r="AN236" s="28">
        <v>2.545454545454545</v>
      </c>
      <c r="AO236" s="28">
        <v>0.45454545454545447</v>
      </c>
      <c r="AP236" s="28">
        <v>0.27272727272727271</v>
      </c>
      <c r="AQ236" s="28">
        <v>0.37931034482758619</v>
      </c>
      <c r="AR236" s="28">
        <v>0.48275862068965519</v>
      </c>
      <c r="AS236" s="28">
        <v>8.6206896551724144E-2</v>
      </c>
      <c r="AT236" s="28">
        <v>5.1724137931034482E-2</v>
      </c>
      <c r="AU236" s="25">
        <v>1.1000000000000001</v>
      </c>
      <c r="AV236" s="25">
        <v>3.44</v>
      </c>
      <c r="AW236" s="25">
        <v>2.34</v>
      </c>
      <c r="AX236" s="25">
        <v>2.6718181818181819</v>
      </c>
      <c r="AY236">
        <v>2.6718181818181819</v>
      </c>
      <c r="AZ236">
        <v>5.9579696772727271</v>
      </c>
      <c r="BD236">
        <v>5.0335589662504419E-2</v>
      </c>
      <c r="BH236">
        <v>0.1006711793250088</v>
      </c>
      <c r="BI236">
        <v>5.0335589662504419E-2</v>
      </c>
      <c r="BJ236">
        <v>0</v>
      </c>
    </row>
    <row r="237" spans="1:62" x14ac:dyDescent="0.3">
      <c r="A237" s="2" t="s">
        <v>44</v>
      </c>
      <c r="B237" s="13" t="s">
        <v>720</v>
      </c>
      <c r="C237" s="13"/>
      <c r="F237" s="2">
        <v>2.1</v>
      </c>
      <c r="G237" s="2" t="s">
        <v>198</v>
      </c>
      <c r="H237" s="9" t="s">
        <v>549</v>
      </c>
      <c r="I237">
        <v>-1</v>
      </c>
      <c r="J237"/>
      <c r="L237" s="25">
        <v>1</v>
      </c>
      <c r="M237">
        <v>0</v>
      </c>
      <c r="N237">
        <v>0</v>
      </c>
      <c r="O237" s="2">
        <v>3.871</v>
      </c>
      <c r="P237" s="2">
        <v>3.871</v>
      </c>
      <c r="Q237" s="2">
        <v>29.783999999999999</v>
      </c>
      <c r="R237" s="2" t="s">
        <v>440</v>
      </c>
      <c r="T237" s="25">
        <v>15.28115725</v>
      </c>
      <c r="U237" s="25">
        <v>15.28115725</v>
      </c>
      <c r="V237" s="25">
        <v>15.28115725</v>
      </c>
      <c r="W237">
        <v>0</v>
      </c>
      <c r="X237"/>
      <c r="Y237"/>
      <c r="Z237">
        <v>0</v>
      </c>
      <c r="AA237"/>
      <c r="AB237"/>
      <c r="AD237">
        <v>20</v>
      </c>
      <c r="AE237" s="55">
        <f t="shared" si="10"/>
        <v>446.30254754399999</v>
      </c>
      <c r="AF237" s="57">
        <v>229.90248606119221</v>
      </c>
      <c r="AG237" s="55">
        <v>0</v>
      </c>
      <c r="AH237" s="55">
        <v>0</v>
      </c>
      <c r="AI237" s="52"/>
      <c r="AJ237" s="51">
        <v>8.6993404650164072E-2</v>
      </c>
      <c r="AK237" s="52"/>
      <c r="AL237" s="52"/>
      <c r="AM237" s="28">
        <v>1.882352941176471</v>
      </c>
      <c r="AN237" s="28">
        <v>2.3529411764705879</v>
      </c>
      <c r="AO237" s="28">
        <v>0.47058823529411759</v>
      </c>
      <c r="AP237" s="28">
        <v>0</v>
      </c>
      <c r="AQ237" s="28">
        <v>0.4</v>
      </c>
      <c r="AR237" s="28">
        <v>0.5</v>
      </c>
      <c r="AS237" s="28">
        <v>9.9999999999999992E-2</v>
      </c>
      <c r="AT237" s="28">
        <v>0</v>
      </c>
      <c r="AU237" s="25">
        <v>0.82</v>
      </c>
      <c r="AV237" s="25">
        <v>3.44</v>
      </c>
      <c r="AW237" s="25">
        <v>2.62</v>
      </c>
      <c r="AX237" s="25">
        <v>2.5211764705882351</v>
      </c>
      <c r="AY237">
        <v>2.521176470588236</v>
      </c>
      <c r="AZ237">
        <v>5.6898745917647062</v>
      </c>
      <c r="BA237" s="75">
        <v>0.57369840599679445</v>
      </c>
      <c r="BE237">
        <v>4.3496702325082043E-2</v>
      </c>
      <c r="BH237">
        <v>8.6993404650164072E-2</v>
      </c>
      <c r="BI237">
        <v>4.3496702325082043E-2</v>
      </c>
      <c r="BJ237">
        <v>0.57369840599679445</v>
      </c>
    </row>
    <row r="238" spans="1:62" x14ac:dyDescent="0.3">
      <c r="A238" s="2" t="s">
        <v>199</v>
      </c>
      <c r="B238" s="13" t="s">
        <v>867</v>
      </c>
      <c r="C238" s="13"/>
      <c r="F238" s="2">
        <v>2</v>
      </c>
      <c r="G238" s="2" t="s">
        <v>207</v>
      </c>
      <c r="H238" s="9">
        <v>-1</v>
      </c>
      <c r="I238">
        <v>-1</v>
      </c>
      <c r="J238"/>
      <c r="L238" s="25">
        <v>0</v>
      </c>
      <c r="M238">
        <v>0</v>
      </c>
      <c r="N238">
        <v>0</v>
      </c>
      <c r="O238" s="1">
        <v>3.871</v>
      </c>
      <c r="P238" s="1">
        <v>3.871</v>
      </c>
      <c r="Q238" s="2">
        <v>29.297000000000001</v>
      </c>
      <c r="T238" s="25">
        <v>0</v>
      </c>
      <c r="U238" s="25"/>
      <c r="V238" s="25"/>
      <c r="W238">
        <v>0</v>
      </c>
      <c r="X238"/>
      <c r="Y238"/>
      <c r="Z238">
        <v>0</v>
      </c>
      <c r="AA238"/>
      <c r="AB238"/>
      <c r="AD238">
        <v>20</v>
      </c>
      <c r="AE238" s="55">
        <f t="shared" si="10"/>
        <v>439.00502737700003</v>
      </c>
      <c r="AF238" s="57">
        <v>0</v>
      </c>
      <c r="AG238" s="55">
        <v>0</v>
      </c>
      <c r="AH238" s="55">
        <v>0</v>
      </c>
      <c r="AI238" s="52"/>
      <c r="AJ238" s="51"/>
      <c r="AK238" s="52"/>
      <c r="AL238" s="52"/>
      <c r="AM238" s="28">
        <v>1.882352941176471</v>
      </c>
      <c r="AN238" s="28">
        <v>2.3529411764705879</v>
      </c>
      <c r="AO238" s="28">
        <v>1.6470588235294119</v>
      </c>
      <c r="AP238" s="28">
        <v>0</v>
      </c>
      <c r="AQ238" s="28">
        <v>0.32</v>
      </c>
      <c r="AR238" s="28">
        <v>0.4</v>
      </c>
      <c r="AS238" s="28">
        <v>0.28000000000000003</v>
      </c>
      <c r="AT238" s="28">
        <v>0</v>
      </c>
      <c r="AU238" s="25">
        <v>1.1000000000000001</v>
      </c>
      <c r="AV238" s="25">
        <v>3.44</v>
      </c>
      <c r="AW238" s="25">
        <v>2.34</v>
      </c>
      <c r="AX238" s="25">
        <v>2.6482352941176468</v>
      </c>
      <c r="AY238">
        <v>2.6482352941176468</v>
      </c>
      <c r="AZ238">
        <v>5.9322299529411762</v>
      </c>
      <c r="BH238">
        <v>0</v>
      </c>
      <c r="BI238">
        <v>0</v>
      </c>
      <c r="BJ238">
        <v>0</v>
      </c>
    </row>
    <row r="239" spans="1:62" x14ac:dyDescent="0.3">
      <c r="A239" s="2" t="s">
        <v>200</v>
      </c>
      <c r="B239" s="13" t="s">
        <v>868</v>
      </c>
      <c r="C239" s="13"/>
      <c r="F239" s="2">
        <v>2.2000000000000002</v>
      </c>
      <c r="G239" s="2" t="s">
        <v>207</v>
      </c>
      <c r="H239" s="9">
        <v>-1</v>
      </c>
      <c r="I239">
        <v>-1</v>
      </c>
      <c r="J239"/>
      <c r="L239" s="25">
        <v>0</v>
      </c>
      <c r="M239">
        <v>0</v>
      </c>
      <c r="N239">
        <v>0</v>
      </c>
      <c r="O239" s="1">
        <v>6.6040679999999998</v>
      </c>
      <c r="P239" s="1">
        <v>7.93</v>
      </c>
      <c r="Q239" s="2">
        <v>31.28</v>
      </c>
      <c r="T239" s="25">
        <v>0</v>
      </c>
      <c r="U239" s="25"/>
      <c r="V239" s="25"/>
      <c r="W239">
        <v>0</v>
      </c>
      <c r="X239"/>
      <c r="Y239"/>
      <c r="Z239">
        <v>0</v>
      </c>
      <c r="AA239"/>
      <c r="AB239"/>
      <c r="AD239">
        <v>34</v>
      </c>
      <c r="AE239" s="55">
        <f t="shared" si="10"/>
        <v>1638.1417090272</v>
      </c>
      <c r="AF239" s="57">
        <v>0</v>
      </c>
      <c r="AG239" s="55">
        <v>0</v>
      </c>
      <c r="AH239" s="55">
        <v>0</v>
      </c>
      <c r="AI239" s="52"/>
      <c r="AJ239" s="51"/>
      <c r="AK239" s="52"/>
      <c r="AL239" s="52"/>
      <c r="AM239" s="28">
        <v>1.62962962962963</v>
      </c>
      <c r="AN239" s="28">
        <v>2.518518518518519</v>
      </c>
      <c r="AO239" s="28">
        <v>1.911111111111111</v>
      </c>
      <c r="AP239" s="28">
        <v>0</v>
      </c>
      <c r="AQ239" s="28">
        <v>0.26894865525672368</v>
      </c>
      <c r="AR239" s="28">
        <v>0.41564792176039123</v>
      </c>
      <c r="AS239" s="28">
        <v>0.31540342298288498</v>
      </c>
      <c r="AT239" s="28">
        <v>0</v>
      </c>
      <c r="AU239" s="25">
        <v>0.82</v>
      </c>
      <c r="AV239" s="25">
        <v>3.44</v>
      </c>
      <c r="AW239" s="25">
        <v>2.62</v>
      </c>
      <c r="AX239" s="25">
        <v>2.7533629629629628</v>
      </c>
      <c r="AY239">
        <v>2.7533629629629628</v>
      </c>
      <c r="AZ239">
        <v>6.1693161497481483</v>
      </c>
      <c r="BH239">
        <v>0</v>
      </c>
      <c r="BI239">
        <v>0</v>
      </c>
      <c r="BJ239">
        <v>0</v>
      </c>
    </row>
    <row r="240" spans="1:62" x14ac:dyDescent="0.3">
      <c r="A240" s="2" t="s">
        <v>0</v>
      </c>
      <c r="B240" s="13" t="s">
        <v>685</v>
      </c>
      <c r="C240" s="13"/>
      <c r="F240" s="2">
        <v>3.3</v>
      </c>
      <c r="G240" s="2" t="s">
        <v>207</v>
      </c>
      <c r="H240" s="9" t="s">
        <v>523</v>
      </c>
      <c r="I240" t="s">
        <v>606</v>
      </c>
      <c r="J240"/>
      <c r="L240" s="25">
        <v>4</v>
      </c>
      <c r="M240">
        <v>4</v>
      </c>
      <c r="N240">
        <v>0</v>
      </c>
      <c r="O240" s="1">
        <v>6.6040679999999998</v>
      </c>
      <c r="P240" s="1">
        <v>7.93</v>
      </c>
      <c r="Q240" s="2">
        <v>32.700000000000003</v>
      </c>
      <c r="T240" s="25">
        <v>6.6040679999999998</v>
      </c>
      <c r="U240" s="25">
        <v>7.9389519999999996</v>
      </c>
      <c r="V240" s="25">
        <v>33.703336</v>
      </c>
      <c r="W240">
        <v>7.83</v>
      </c>
      <c r="X240">
        <v>33.209989999999998</v>
      </c>
      <c r="Y240">
        <v>6.46</v>
      </c>
      <c r="Z240">
        <v>0</v>
      </c>
      <c r="AA240"/>
      <c r="AB240"/>
      <c r="AD240">
        <v>34</v>
      </c>
      <c r="AE240" s="55">
        <f t="shared" si="10"/>
        <v>1712.5074771479999</v>
      </c>
      <c r="AF240" s="57">
        <v>1767.0449718798691</v>
      </c>
      <c r="AG240" s="55">
        <v>1679.8210721820001</v>
      </c>
      <c r="AH240" s="55">
        <v>0</v>
      </c>
      <c r="AI240" s="52"/>
      <c r="AJ240" s="51">
        <v>7.6964651247849417E-2</v>
      </c>
      <c r="AK240" s="52">
        <v>8.0961003676030277E-2</v>
      </c>
      <c r="AL240" s="52"/>
      <c r="AM240" s="28">
        <v>1.62962962962963</v>
      </c>
      <c r="AN240" s="28">
        <v>2.518518518518519</v>
      </c>
      <c r="AO240" s="28">
        <v>0.88888888888888884</v>
      </c>
      <c r="AP240" s="28">
        <v>0</v>
      </c>
      <c r="AQ240" s="28">
        <v>0.32352941176470579</v>
      </c>
      <c r="AR240" s="28">
        <v>0.5</v>
      </c>
      <c r="AS240" s="28">
        <v>0.1764705882352941</v>
      </c>
      <c r="AT240" s="28">
        <v>0</v>
      </c>
      <c r="AU240" s="25">
        <v>0.82</v>
      </c>
      <c r="AV240" s="25">
        <v>3.44</v>
      </c>
      <c r="AW240" s="25">
        <v>2.62</v>
      </c>
      <c r="AX240" s="25">
        <v>2.642962962962963</v>
      </c>
      <c r="AY240">
        <v>2.642962962962963</v>
      </c>
      <c r="AZ240">
        <v>5.9587362692592576</v>
      </c>
      <c r="BA240" s="75">
        <v>0.48264383878002159</v>
      </c>
      <c r="BB240" s="75">
        <v>0.50770488753139842</v>
      </c>
      <c r="BE240">
        <v>3.8482325623924708E-2</v>
      </c>
      <c r="BF240">
        <v>4.0480501838015132E-2</v>
      </c>
      <c r="BH240">
        <v>7.8962827461939847E-2</v>
      </c>
      <c r="BI240">
        <v>3.9481413730969923E-2</v>
      </c>
      <c r="BJ240">
        <v>0.49517436315571001</v>
      </c>
    </row>
    <row r="241" spans="1:62" x14ac:dyDescent="0.3">
      <c r="A241" s="2" t="s">
        <v>201</v>
      </c>
      <c r="B241" s="13" t="s">
        <v>869</v>
      </c>
      <c r="C241" s="13"/>
      <c r="F241" s="2">
        <v>2.2999999999999998</v>
      </c>
      <c r="G241" s="2" t="s">
        <v>207</v>
      </c>
      <c r="H241" s="32" t="s">
        <v>524</v>
      </c>
      <c r="I241" s="1" t="s">
        <v>607</v>
      </c>
      <c r="J241"/>
      <c r="L241" s="25">
        <v>0</v>
      </c>
      <c r="M241">
        <v>1</v>
      </c>
      <c r="N241">
        <v>0</v>
      </c>
      <c r="O241" s="2">
        <v>-1</v>
      </c>
      <c r="T241" s="25">
        <v>0</v>
      </c>
      <c r="U241" s="25"/>
      <c r="V241" s="25"/>
      <c r="W241">
        <v>3.9060000000000001</v>
      </c>
      <c r="X241">
        <v>21.603000000000002</v>
      </c>
      <c r="Y241">
        <v>3.8879000000000001</v>
      </c>
      <c r="Z241">
        <v>0</v>
      </c>
      <c r="AA241"/>
      <c r="AB241"/>
      <c r="AD241">
        <v>14</v>
      </c>
      <c r="AE241" s="55">
        <f t="shared" si="10"/>
        <v>0</v>
      </c>
      <c r="AF241" s="57">
        <v>0</v>
      </c>
      <c r="AG241" s="55">
        <v>328.06612625219998</v>
      </c>
      <c r="AH241" s="55">
        <v>0</v>
      </c>
      <c r="AI241" s="52"/>
      <c r="AJ241" s="51"/>
      <c r="AK241" s="52">
        <v>4.2674323496713393E-2</v>
      </c>
      <c r="AL241" s="52"/>
      <c r="AM241" s="28">
        <v>1.7272727272727271</v>
      </c>
      <c r="AN241" s="28">
        <v>2.545454545454545</v>
      </c>
      <c r="AO241" s="28">
        <v>1.4090909090909089</v>
      </c>
      <c r="AP241" s="28">
        <v>0</v>
      </c>
      <c r="AQ241" s="28">
        <v>0.30399999999999999</v>
      </c>
      <c r="AR241" s="28">
        <v>0.44800000000000001</v>
      </c>
      <c r="AS241" s="28">
        <v>0.248</v>
      </c>
      <c r="AT241" s="28">
        <v>0</v>
      </c>
      <c r="AU241" s="25">
        <v>0.82</v>
      </c>
      <c r="AV241" s="25">
        <v>3.44</v>
      </c>
      <c r="AW241" s="25">
        <v>2.62</v>
      </c>
      <c r="AX241" s="25">
        <v>2.7183636363636361</v>
      </c>
      <c r="AY241">
        <v>2.718363636363637</v>
      </c>
      <c r="AZ241">
        <v>6.1164196318636357</v>
      </c>
      <c r="BA241" s="75">
        <v>0.48450364842179561</v>
      </c>
      <c r="BF241">
        <v>2.13371617483567E-2</v>
      </c>
      <c r="BH241">
        <v>4.2674323496713393E-2</v>
      </c>
      <c r="BI241">
        <v>2.13371617483567E-2</v>
      </c>
      <c r="BJ241">
        <v>0.48450364842179561</v>
      </c>
    </row>
    <row r="242" spans="1:62" x14ac:dyDescent="0.3">
      <c r="A242" s="2" t="s">
        <v>1</v>
      </c>
      <c r="B242" s="13" t="s">
        <v>686</v>
      </c>
      <c r="C242" s="13"/>
      <c r="F242" s="2">
        <v>3.2</v>
      </c>
      <c r="G242" s="2" t="s">
        <v>207</v>
      </c>
      <c r="H242" s="9" t="s">
        <v>524</v>
      </c>
      <c r="I242" t="s">
        <v>607</v>
      </c>
      <c r="J242"/>
      <c r="L242" s="25">
        <v>1</v>
      </c>
      <c r="M242">
        <v>1</v>
      </c>
      <c r="N242">
        <v>0</v>
      </c>
      <c r="O242" s="2">
        <v>-1</v>
      </c>
      <c r="T242" s="25">
        <v>3.9327019999999999</v>
      </c>
      <c r="U242" s="25">
        <v>3.9458000000000002</v>
      </c>
      <c r="V242" s="25">
        <v>11.356398779999999</v>
      </c>
      <c r="W242">
        <v>3.9060000000000001</v>
      </c>
      <c r="X242">
        <v>21.603000000000002</v>
      </c>
      <c r="Y242">
        <v>3.8879000000000001</v>
      </c>
      <c r="Z242">
        <v>0</v>
      </c>
      <c r="AA242"/>
      <c r="AB242"/>
      <c r="AD242">
        <v>14</v>
      </c>
      <c r="AE242" s="55">
        <f t="shared" si="10"/>
        <v>0</v>
      </c>
      <c r="AF242" s="57">
        <v>173.54502164551991</v>
      </c>
      <c r="AG242" s="55">
        <v>328.06612625219998</v>
      </c>
      <c r="AH242" s="55">
        <v>0</v>
      </c>
      <c r="AI242" s="52"/>
      <c r="AJ242" s="51">
        <v>8.0670709348241429E-2</v>
      </c>
      <c r="AK242" s="52">
        <v>4.2674323496713393E-2</v>
      </c>
      <c r="AL242" s="52"/>
      <c r="AM242" s="28">
        <v>1.7272727272727271</v>
      </c>
      <c r="AN242" s="28">
        <v>2.545454545454545</v>
      </c>
      <c r="AO242" s="28">
        <v>0.81818181818181823</v>
      </c>
      <c r="AP242" s="28">
        <v>0</v>
      </c>
      <c r="AQ242" s="28">
        <v>0.3392857142857143</v>
      </c>
      <c r="AR242" s="28">
        <v>0.5</v>
      </c>
      <c r="AS242" s="28">
        <v>0.1607142857142857</v>
      </c>
      <c r="AT242" s="28">
        <v>0</v>
      </c>
      <c r="AU242" s="25">
        <v>0.82</v>
      </c>
      <c r="AV242" s="25">
        <v>3.44</v>
      </c>
      <c r="AW242" s="25">
        <v>2.62</v>
      </c>
      <c r="AX242" s="25">
        <v>2.6545454545454539</v>
      </c>
      <c r="AY242">
        <v>2.6545454545454539</v>
      </c>
      <c r="AZ242">
        <v>5.9946911436363637</v>
      </c>
      <c r="BA242" s="75">
        <v>0.48450364842179561</v>
      </c>
      <c r="BE242">
        <v>4.0335354674120701E-2</v>
      </c>
      <c r="BF242">
        <v>2.13371617483567E-2</v>
      </c>
      <c r="BH242">
        <v>6.1672516422477411E-2</v>
      </c>
      <c r="BI242">
        <v>3.0836258211238698E-2</v>
      </c>
      <c r="BJ242">
        <v>0.48450364842179561</v>
      </c>
    </row>
    <row r="243" spans="1:62" x14ac:dyDescent="0.3">
      <c r="A243" s="2" t="s">
        <v>202</v>
      </c>
      <c r="B243" s="13" t="s">
        <v>870</v>
      </c>
      <c r="C243" s="13"/>
      <c r="F243" s="2">
        <v>2.8</v>
      </c>
      <c r="G243" s="2" t="s">
        <v>207</v>
      </c>
      <c r="H243" s="32" t="s">
        <v>584</v>
      </c>
      <c r="I243" s="1" t="s">
        <v>658</v>
      </c>
      <c r="J243"/>
      <c r="L243" s="25">
        <v>0</v>
      </c>
      <c r="M243">
        <v>1</v>
      </c>
      <c r="N243">
        <v>0</v>
      </c>
      <c r="O243" s="2">
        <v>-1</v>
      </c>
      <c r="T243" s="25">
        <v>0</v>
      </c>
      <c r="U243" s="25"/>
      <c r="V243" s="25"/>
      <c r="W243">
        <v>3.8573</v>
      </c>
      <c r="X243">
        <v>3.8573</v>
      </c>
      <c r="Y243">
        <v>15.044</v>
      </c>
      <c r="Z243">
        <v>0</v>
      </c>
      <c r="AA243"/>
      <c r="AB243"/>
      <c r="AD243">
        <v>20</v>
      </c>
      <c r="AE243" s="55">
        <f t="shared" si="10"/>
        <v>0</v>
      </c>
      <c r="AF243" s="57">
        <v>0</v>
      </c>
      <c r="AG243" s="55">
        <v>223.83611493475999</v>
      </c>
      <c r="AH243" s="55">
        <v>0</v>
      </c>
      <c r="AI243" s="52"/>
      <c r="AJ243" s="51"/>
      <c r="AK243" s="52">
        <v>8.9351086199066954E-2</v>
      </c>
      <c r="AL243" s="52"/>
      <c r="AM243" s="28">
        <v>1.9375</v>
      </c>
      <c r="AN243" s="28">
        <v>2.5</v>
      </c>
      <c r="AO243" s="28">
        <v>0.625</v>
      </c>
      <c r="AP243" s="28">
        <v>2.625</v>
      </c>
      <c r="AQ243" s="28">
        <v>0.25203252032520318</v>
      </c>
      <c r="AR243" s="28">
        <v>0.32520325203252032</v>
      </c>
      <c r="AS243" s="28">
        <v>8.1300813008130079E-2</v>
      </c>
      <c r="AT243" s="28">
        <v>0.34146341463414642</v>
      </c>
      <c r="AU243" s="25">
        <v>0.82</v>
      </c>
      <c r="AV243" s="25">
        <v>3.44</v>
      </c>
      <c r="AW243" s="25">
        <v>2.62</v>
      </c>
      <c r="AX243" s="25">
        <v>2.6142500000000002</v>
      </c>
      <c r="AY243">
        <v>2.6142500000000002</v>
      </c>
      <c r="AZ243">
        <v>5.9930639130937511</v>
      </c>
      <c r="BA243" s="75">
        <v>0.5100369583648936</v>
      </c>
      <c r="BB243" s="75">
        <v>0.54203706385343264</v>
      </c>
      <c r="BF243">
        <v>4.4675543099533477E-2</v>
      </c>
      <c r="BH243">
        <v>8.9351086199066954E-2</v>
      </c>
      <c r="BI243">
        <v>4.4675543099533477E-2</v>
      </c>
      <c r="BJ243">
        <v>0.52603701110916312</v>
      </c>
    </row>
    <row r="244" spans="1:62" x14ac:dyDescent="0.3">
      <c r="A244" s="2" t="s">
        <v>203</v>
      </c>
      <c r="B244" s="13" t="s">
        <v>803</v>
      </c>
      <c r="C244" s="13"/>
      <c r="F244" s="2">
        <v>4.5</v>
      </c>
      <c r="G244" s="2" t="s">
        <v>207</v>
      </c>
      <c r="H244" s="9" t="s">
        <v>584</v>
      </c>
      <c r="I244" t="s">
        <v>658</v>
      </c>
      <c r="J244"/>
      <c r="L244" s="25">
        <v>1</v>
      </c>
      <c r="M244">
        <v>1</v>
      </c>
      <c r="N244">
        <v>0</v>
      </c>
      <c r="O244" s="2">
        <v>-1</v>
      </c>
      <c r="Q244" s="2">
        <v>15.05</v>
      </c>
      <c r="T244" s="25">
        <v>3.9414189999999998</v>
      </c>
      <c r="U244" s="25">
        <v>3.9414189999999998</v>
      </c>
      <c r="V244" s="25">
        <v>15.312718</v>
      </c>
      <c r="W244">
        <v>3.8573</v>
      </c>
      <c r="X244">
        <v>3.8573</v>
      </c>
      <c r="Y244">
        <v>15.044</v>
      </c>
      <c r="Z244">
        <v>0</v>
      </c>
      <c r="AA244"/>
      <c r="AB244"/>
      <c r="AD244">
        <v>20</v>
      </c>
      <c r="AE244" s="55">
        <f t="shared" si="10"/>
        <v>0</v>
      </c>
      <c r="AF244" s="57">
        <v>237.8797625030067</v>
      </c>
      <c r="AG244" s="55">
        <v>223.83611493475999</v>
      </c>
      <c r="AH244" s="55">
        <v>0</v>
      </c>
      <c r="AI244" s="52"/>
      <c r="AJ244" s="51">
        <v>8.4076088648975381E-2</v>
      </c>
      <c r="AK244" s="52">
        <v>8.9351086199066954E-2</v>
      </c>
      <c r="AL244" s="52"/>
      <c r="AM244" s="28">
        <v>1.9375</v>
      </c>
      <c r="AN244" s="28">
        <v>2.5</v>
      </c>
      <c r="AO244" s="28">
        <v>0.5625</v>
      </c>
      <c r="AP244" s="28">
        <v>2.625</v>
      </c>
      <c r="AQ244" s="28">
        <v>0.25409836065573771</v>
      </c>
      <c r="AR244" s="28">
        <v>0.32786885245901642</v>
      </c>
      <c r="AS244" s="28">
        <v>7.3770491803278687E-2</v>
      </c>
      <c r="AT244" s="28">
        <v>0.34426229508196721</v>
      </c>
      <c r="AU244" s="25">
        <v>0.82</v>
      </c>
      <c r="AV244" s="25">
        <v>3.44</v>
      </c>
      <c r="AW244" s="25">
        <v>2.62</v>
      </c>
      <c r="AX244" s="25">
        <v>2.6074999999999999</v>
      </c>
      <c r="AY244">
        <v>2.6074999999999999</v>
      </c>
      <c r="AZ244">
        <v>5.9796291640625006</v>
      </c>
      <c r="BA244" s="75">
        <v>0.5100369583648936</v>
      </c>
      <c r="BB244" s="75">
        <v>0.54203706385343264</v>
      </c>
      <c r="BE244">
        <v>4.203804432448769E-2</v>
      </c>
      <c r="BF244">
        <v>4.4675543099533477E-2</v>
      </c>
      <c r="BH244">
        <v>8.671358742402116E-2</v>
      </c>
      <c r="BI244">
        <v>4.335679371201058E-2</v>
      </c>
      <c r="BJ244">
        <v>0.52603701110916312</v>
      </c>
    </row>
    <row r="245" spans="1:62" x14ac:dyDescent="0.3">
      <c r="A245" s="2" t="s">
        <v>204</v>
      </c>
      <c r="B245" s="13" t="s">
        <v>804</v>
      </c>
      <c r="C245" s="13"/>
      <c r="F245" s="2">
        <v>4.8</v>
      </c>
      <c r="G245" s="2" t="s">
        <v>207</v>
      </c>
      <c r="H245" s="9" t="s">
        <v>585</v>
      </c>
      <c r="I245" t="s">
        <v>659</v>
      </c>
      <c r="J245"/>
      <c r="L245" s="25">
        <v>2</v>
      </c>
      <c r="M245">
        <v>6</v>
      </c>
      <c r="N245">
        <v>0</v>
      </c>
      <c r="O245" s="2">
        <v>-1</v>
      </c>
      <c r="T245" s="25">
        <v>5.4445069999999998</v>
      </c>
      <c r="U245" s="25">
        <v>5.4445069999999998</v>
      </c>
      <c r="V245" s="25">
        <v>3.9426230000000002</v>
      </c>
      <c r="W245">
        <v>5.15428</v>
      </c>
      <c r="X245">
        <v>5.1542800000000009</v>
      </c>
      <c r="Y245">
        <v>13.7835</v>
      </c>
      <c r="Z245">
        <v>0</v>
      </c>
      <c r="AA245"/>
      <c r="AB245"/>
      <c r="AD245">
        <v>6</v>
      </c>
      <c r="AE245" s="55">
        <f t="shared" si="10"/>
        <v>0</v>
      </c>
      <c r="AF245" s="57">
        <v>116.8698191917419</v>
      </c>
      <c r="AG245" s="55">
        <v>317.12184318337751</v>
      </c>
      <c r="AH245" s="55">
        <v>0</v>
      </c>
      <c r="AI245" s="52"/>
      <c r="AJ245" s="51">
        <v>0.10267834829377349</v>
      </c>
      <c r="AK245" s="52">
        <v>0.1135210354437263</v>
      </c>
      <c r="AL245" s="52"/>
      <c r="AM245" s="28">
        <v>1.8</v>
      </c>
      <c r="AN245" s="28">
        <v>2.4</v>
      </c>
      <c r="AO245" s="28">
        <v>0.6</v>
      </c>
      <c r="AP245" s="28">
        <v>2.8</v>
      </c>
      <c r="AQ245" s="28">
        <v>0.23684210526315791</v>
      </c>
      <c r="AR245" s="28">
        <v>0.31578947368421051</v>
      </c>
      <c r="AS245" s="28">
        <v>7.8947368421052627E-2</v>
      </c>
      <c r="AT245" s="28">
        <v>0.36842105263157893</v>
      </c>
      <c r="AU245" s="25">
        <v>0.98</v>
      </c>
      <c r="AV245" s="25">
        <v>3.44</v>
      </c>
      <c r="AW245" s="25">
        <v>2.46</v>
      </c>
      <c r="AX245" s="25">
        <v>2.56</v>
      </c>
      <c r="AY245">
        <v>2.56</v>
      </c>
      <c r="AZ245">
        <v>5.9119936115999998</v>
      </c>
      <c r="BA245" s="75">
        <v>0.51645314797839414</v>
      </c>
      <c r="BB245" s="75">
        <v>0</v>
      </c>
      <c r="BE245">
        <v>5.1339174146886712E-2</v>
      </c>
      <c r="BF245">
        <v>5.6760517721863142E-2</v>
      </c>
      <c r="BH245">
        <v>0.1080996918687499</v>
      </c>
      <c r="BI245">
        <v>5.4049845934374917E-2</v>
      </c>
      <c r="BJ245">
        <v>0.25822657398919707</v>
      </c>
    </row>
    <row r="246" spans="1:62" x14ac:dyDescent="0.3">
      <c r="A246" s="2" t="s">
        <v>28</v>
      </c>
      <c r="B246" s="13" t="s">
        <v>805</v>
      </c>
      <c r="C246" s="13"/>
      <c r="F246" s="2">
        <v>4</v>
      </c>
      <c r="G246" s="2" t="s">
        <v>207</v>
      </c>
      <c r="H246" s="9" t="s">
        <v>586</v>
      </c>
      <c r="I246" t="s">
        <v>660</v>
      </c>
      <c r="J246"/>
      <c r="L246" s="25">
        <v>8</v>
      </c>
      <c r="M246">
        <v>4</v>
      </c>
      <c r="N246">
        <v>0</v>
      </c>
      <c r="O246" s="2">
        <v>-1</v>
      </c>
      <c r="T246" s="25">
        <v>7.5714817599999993</v>
      </c>
      <c r="U246" s="25">
        <v>7.4441355800000002</v>
      </c>
      <c r="V246" s="25">
        <v>14.785262019999999</v>
      </c>
      <c r="W246">
        <v>5.4767999999999999</v>
      </c>
      <c r="X246">
        <v>5.5212000000000003</v>
      </c>
      <c r="Y246">
        <v>7.7889999999999997</v>
      </c>
      <c r="Z246">
        <v>0</v>
      </c>
      <c r="AA246"/>
      <c r="AB246"/>
      <c r="AD246">
        <v>6</v>
      </c>
      <c r="AE246" s="55">
        <f t="shared" si="10"/>
        <v>0</v>
      </c>
      <c r="AF246" s="57">
        <v>583.54908217201648</v>
      </c>
      <c r="AG246" s="55">
        <v>235.52774005824</v>
      </c>
      <c r="AH246" s="55">
        <v>0</v>
      </c>
      <c r="AI246" s="52"/>
      <c r="AJ246" s="51">
        <v>8.2255291742281814E-2</v>
      </c>
      <c r="AK246" s="52">
        <v>0.10189882514078979</v>
      </c>
      <c r="AL246" s="52"/>
      <c r="AM246" s="28">
        <v>1.8</v>
      </c>
      <c r="AN246" s="28">
        <v>2.4</v>
      </c>
      <c r="AO246" s="28">
        <v>0.6</v>
      </c>
      <c r="AP246" s="28">
        <v>2.8</v>
      </c>
      <c r="AQ246" s="28">
        <v>0.23684210526315791</v>
      </c>
      <c r="AR246" s="28">
        <v>0.31578947368421051</v>
      </c>
      <c r="AS246" s="28">
        <v>7.8947368421052627E-2</v>
      </c>
      <c r="AT246" s="28">
        <v>0.36842105263157893</v>
      </c>
      <c r="AU246" s="25">
        <v>0.93</v>
      </c>
      <c r="AV246" s="25">
        <v>3.44</v>
      </c>
      <c r="AW246" s="25">
        <v>2.5099999999999998</v>
      </c>
      <c r="AX246" s="25">
        <v>2.5499999999999998</v>
      </c>
      <c r="AY246">
        <v>2.5499999999999998</v>
      </c>
      <c r="AZ246">
        <v>5.8797175109999991</v>
      </c>
      <c r="BA246" s="75">
        <v>0.46150059156666667</v>
      </c>
      <c r="BB246" s="75">
        <v>0.57171237359127625</v>
      </c>
      <c r="BE246">
        <v>4.1127645871140907E-2</v>
      </c>
      <c r="BF246">
        <v>5.0949412570394918E-2</v>
      </c>
      <c r="BH246">
        <v>9.2077058441535797E-2</v>
      </c>
      <c r="BI246">
        <v>4.6038529220767913E-2</v>
      </c>
      <c r="BJ246">
        <v>0.51660648257897146</v>
      </c>
    </row>
    <row r="247" spans="1:62" x14ac:dyDescent="0.3">
      <c r="A247" s="2" t="s">
        <v>205</v>
      </c>
      <c r="B247" s="13" t="s">
        <v>871</v>
      </c>
      <c r="C247" s="13"/>
      <c r="F247" s="2">
        <v>2.8</v>
      </c>
      <c r="G247" s="2" t="s">
        <v>207</v>
      </c>
      <c r="H247" s="32" t="s">
        <v>585</v>
      </c>
      <c r="I247" s="1" t="s">
        <v>659</v>
      </c>
      <c r="J247"/>
      <c r="L247" s="25">
        <v>0</v>
      </c>
      <c r="M247">
        <v>6</v>
      </c>
      <c r="N247">
        <v>0</v>
      </c>
      <c r="O247" s="2">
        <v>-1</v>
      </c>
      <c r="T247" s="25">
        <v>0</v>
      </c>
      <c r="U247" s="25"/>
      <c r="V247" s="25"/>
      <c r="W247">
        <v>5.15428</v>
      </c>
      <c r="X247">
        <v>5.1542800000000009</v>
      </c>
      <c r="Y247">
        <v>13.7835</v>
      </c>
      <c r="Z247">
        <v>0</v>
      </c>
      <c r="AA247"/>
      <c r="AB247"/>
      <c r="AD247">
        <v>6</v>
      </c>
      <c r="AE247" s="55">
        <f t="shared" si="10"/>
        <v>0</v>
      </c>
      <c r="AF247" s="57">
        <v>0</v>
      </c>
      <c r="AG247" s="55">
        <v>317.12184318337751</v>
      </c>
      <c r="AH247" s="55">
        <v>0</v>
      </c>
      <c r="AI247" s="52"/>
      <c r="AJ247" s="51"/>
      <c r="AK247" s="52">
        <v>0.1135210354437263</v>
      </c>
      <c r="AL247" s="52"/>
      <c r="AM247" s="28">
        <v>1.8</v>
      </c>
      <c r="AN247" s="28">
        <v>2.4</v>
      </c>
      <c r="AO247" s="28">
        <v>0.64</v>
      </c>
      <c r="AP247" s="28">
        <v>2.8</v>
      </c>
      <c r="AQ247" s="28">
        <v>0.2356020942408377</v>
      </c>
      <c r="AR247" s="28">
        <v>0.3141361256544502</v>
      </c>
      <c r="AS247" s="28">
        <v>8.3769633507853394E-2</v>
      </c>
      <c r="AT247" s="28">
        <v>0.36649214659685858</v>
      </c>
      <c r="AU247" s="25">
        <v>0.98</v>
      </c>
      <c r="AV247" s="25">
        <v>3.44</v>
      </c>
      <c r="AW247" s="25">
        <v>2.46</v>
      </c>
      <c r="AX247" s="25">
        <v>2.5636800000000002</v>
      </c>
      <c r="AY247">
        <v>2.5636800000000002</v>
      </c>
      <c r="AZ247">
        <v>5.9178984111680002</v>
      </c>
      <c r="BA247" s="75">
        <v>0.51645314797839414</v>
      </c>
      <c r="BB247" s="75">
        <v>0</v>
      </c>
      <c r="BF247">
        <v>5.6760517721863142E-2</v>
      </c>
      <c r="BH247">
        <v>0.1135210354437263</v>
      </c>
      <c r="BI247">
        <v>5.6760517721863142E-2</v>
      </c>
      <c r="BJ247">
        <v>0.25822657398919707</v>
      </c>
    </row>
    <row r="248" spans="1:62" x14ac:dyDescent="0.3">
      <c r="A248" s="2" t="s">
        <v>206</v>
      </c>
      <c r="B248" s="13" t="s">
        <v>872</v>
      </c>
      <c r="C248" s="13"/>
      <c r="F248" s="2">
        <v>2</v>
      </c>
      <c r="G248" s="2" t="s">
        <v>207</v>
      </c>
      <c r="H248" s="32" t="s">
        <v>586</v>
      </c>
      <c r="I248" s="1" t="s">
        <v>660</v>
      </c>
      <c r="J248"/>
      <c r="L248" s="25">
        <v>0</v>
      </c>
      <c r="M248">
        <v>4</v>
      </c>
      <c r="N248">
        <v>0</v>
      </c>
      <c r="O248" s="2">
        <v>-1</v>
      </c>
      <c r="T248" s="25">
        <v>0</v>
      </c>
      <c r="U248" s="25"/>
      <c r="V248" s="25"/>
      <c r="W248">
        <v>5.4767999999999999</v>
      </c>
      <c r="X248">
        <v>5.5212000000000003</v>
      </c>
      <c r="Y248">
        <v>7.7889999999999997</v>
      </c>
      <c r="Z248">
        <v>0</v>
      </c>
      <c r="AA248"/>
      <c r="AB248"/>
      <c r="AD248">
        <v>6</v>
      </c>
      <c r="AE248" s="55">
        <f t="shared" si="10"/>
        <v>0</v>
      </c>
      <c r="AF248" s="57">
        <v>0</v>
      </c>
      <c r="AG248" s="55">
        <v>235.52774005824</v>
      </c>
      <c r="AH248" s="55">
        <v>0</v>
      </c>
      <c r="AI248" s="52"/>
      <c r="AJ248" s="51"/>
      <c r="AK248" s="52">
        <v>0.10189882514078979</v>
      </c>
      <c r="AL248" s="52"/>
      <c r="AM248" s="28">
        <v>1.8</v>
      </c>
      <c r="AN248" s="28">
        <v>2.4</v>
      </c>
      <c r="AO248" s="28">
        <v>0.78</v>
      </c>
      <c r="AP248" s="28">
        <v>2.8</v>
      </c>
      <c r="AQ248" s="28">
        <v>0.23136246786632389</v>
      </c>
      <c r="AR248" s="28">
        <v>0.30848329048843193</v>
      </c>
      <c r="AS248" s="28">
        <v>0.10025706940874041</v>
      </c>
      <c r="AT248" s="28">
        <v>0.35989717223650391</v>
      </c>
      <c r="AU248" s="25">
        <v>0.93</v>
      </c>
      <c r="AV248" s="25">
        <v>3.44</v>
      </c>
      <c r="AW248" s="25">
        <v>2.5099999999999998</v>
      </c>
      <c r="AX248" s="25">
        <v>2.5674600000000001</v>
      </c>
      <c r="AY248">
        <v>2.5674600000000001</v>
      </c>
      <c r="AZ248">
        <v>5.9091939581100004</v>
      </c>
      <c r="BA248" s="75">
        <v>0.46150059156666667</v>
      </c>
      <c r="BB248" s="75">
        <v>0.57171237359127625</v>
      </c>
      <c r="BF248">
        <v>5.0949412570394918E-2</v>
      </c>
      <c r="BH248">
        <v>0.10189882514078979</v>
      </c>
      <c r="BI248">
        <v>5.0949412570394918E-2</v>
      </c>
      <c r="BJ248">
        <v>0.51660648257897146</v>
      </c>
    </row>
    <row r="249" spans="1:62" x14ac:dyDescent="0.3">
      <c r="A249" s="2" t="s">
        <v>153</v>
      </c>
      <c r="B249" s="13" t="s">
        <v>775</v>
      </c>
      <c r="C249" s="13"/>
      <c r="F249" s="2">
        <v>3.36</v>
      </c>
      <c r="G249" s="2" t="s">
        <v>208</v>
      </c>
      <c r="H249" s="9" t="s">
        <v>578</v>
      </c>
      <c r="I249">
        <v>-1</v>
      </c>
      <c r="J249"/>
      <c r="K249" s="2">
        <v>1</v>
      </c>
      <c r="L249" s="25">
        <v>1</v>
      </c>
      <c r="M249">
        <v>0</v>
      </c>
      <c r="N249">
        <v>0</v>
      </c>
      <c r="O249" s="2">
        <v>3.8860000000000001</v>
      </c>
      <c r="P249" s="2">
        <v>3.8860000000000001</v>
      </c>
      <c r="Q249" s="2">
        <v>10.548299999999999</v>
      </c>
      <c r="R249" s="2" t="s">
        <v>1097</v>
      </c>
      <c r="T249" s="25">
        <v>3.9263319999999999</v>
      </c>
      <c r="U249" s="25">
        <v>3.9263319999999999</v>
      </c>
      <c r="V249" s="25">
        <v>10.74639</v>
      </c>
      <c r="W249">
        <v>0</v>
      </c>
      <c r="X249"/>
      <c r="Y249"/>
      <c r="Z249">
        <v>0</v>
      </c>
      <c r="AA249"/>
      <c r="AB249"/>
      <c r="AD249">
        <v>14</v>
      </c>
      <c r="AE249" s="55">
        <f t="shared" si="10"/>
        <v>159.28983610679998</v>
      </c>
      <c r="AF249" s="57">
        <v>165.66723991337099</v>
      </c>
      <c r="AG249" s="55">
        <v>0</v>
      </c>
      <c r="AH249" s="55">
        <v>0</v>
      </c>
      <c r="AI249" s="52"/>
      <c r="AJ249" s="51">
        <v>8.4506749839743392E-2</v>
      </c>
      <c r="AK249" s="52"/>
      <c r="AL249" s="52"/>
      <c r="AM249" s="28">
        <v>1.7272727272727271</v>
      </c>
      <c r="AN249" s="28">
        <v>2.545454545454545</v>
      </c>
      <c r="AO249" s="28">
        <v>0.81818181818181823</v>
      </c>
      <c r="AP249" s="28">
        <v>0</v>
      </c>
      <c r="AQ249" s="28">
        <v>0.3392857142857143</v>
      </c>
      <c r="AR249" s="28">
        <v>0.5</v>
      </c>
      <c r="AS249" s="28">
        <v>0.1607142857142857</v>
      </c>
      <c r="AT249" s="28">
        <v>0</v>
      </c>
      <c r="AU249" s="25">
        <v>1.1000000000000001</v>
      </c>
      <c r="AV249" s="25">
        <v>3.44</v>
      </c>
      <c r="AW249" s="25">
        <v>2.34</v>
      </c>
      <c r="AX249" s="25">
        <v>2.78</v>
      </c>
      <c r="AY249">
        <v>2.78</v>
      </c>
      <c r="AZ249">
        <v>6.4270052227137269</v>
      </c>
      <c r="BA249" s="75">
        <v>0.41874886813759421</v>
      </c>
      <c r="BD249">
        <v>4.3945051178950742E-2</v>
      </c>
      <c r="BE249">
        <v>4.2253374919871717E-2</v>
      </c>
      <c r="BH249">
        <v>8.4506749839743392E-2</v>
      </c>
      <c r="BI249">
        <v>4.3099213049411229E-2</v>
      </c>
      <c r="BJ249">
        <v>0.41874886813759421</v>
      </c>
    </row>
    <row r="250" spans="1:62" x14ac:dyDescent="0.3">
      <c r="A250" s="2" t="s">
        <v>153</v>
      </c>
      <c r="B250" s="13" t="s">
        <v>775</v>
      </c>
      <c r="C250" s="13"/>
      <c r="D250" s="2" t="s">
        <v>964</v>
      </c>
      <c r="E250" s="2">
        <v>0.66</v>
      </c>
      <c r="F250" s="2">
        <v>3.48</v>
      </c>
      <c r="G250" s="2" t="s">
        <v>208</v>
      </c>
      <c r="H250" s="9" t="s">
        <v>578</v>
      </c>
      <c r="I250">
        <v>-1</v>
      </c>
      <c r="J250"/>
      <c r="K250" s="2">
        <v>1</v>
      </c>
      <c r="L250" s="25">
        <v>1</v>
      </c>
      <c r="M250">
        <v>0</v>
      </c>
      <c r="N250">
        <v>0</v>
      </c>
      <c r="O250" s="2">
        <v>3.8860000000000001</v>
      </c>
      <c r="P250" s="2">
        <v>3.8860000000000001</v>
      </c>
      <c r="Q250" s="2">
        <v>10.548299999999999</v>
      </c>
      <c r="R250" s="2" t="s">
        <v>1097</v>
      </c>
      <c r="T250" s="25">
        <v>3.9263319999999999</v>
      </c>
      <c r="U250" s="25">
        <v>3.9263319999999999</v>
      </c>
      <c r="V250" s="25">
        <v>10.74639</v>
      </c>
      <c r="W250">
        <v>0</v>
      </c>
      <c r="X250"/>
      <c r="Y250"/>
      <c r="Z250">
        <v>0</v>
      </c>
      <c r="AA250"/>
      <c r="AB250"/>
      <c r="AD250">
        <v>14</v>
      </c>
      <c r="AE250" s="55">
        <f t="shared" si="10"/>
        <v>159.28983610679998</v>
      </c>
      <c r="AF250" s="57">
        <v>165.66723991337099</v>
      </c>
      <c r="AG250" s="55">
        <v>0</v>
      </c>
      <c r="AH250" s="55">
        <v>0</v>
      </c>
      <c r="AI250" s="52"/>
      <c r="AJ250" s="51">
        <v>8.4506749839743392E-2</v>
      </c>
      <c r="AK250" s="52"/>
      <c r="AL250" s="52"/>
      <c r="AM250" s="28">
        <v>1.7272727272727271</v>
      </c>
      <c r="AN250" s="28">
        <v>2.545454545454545</v>
      </c>
      <c r="AO250" s="28">
        <v>0.81818181818181823</v>
      </c>
      <c r="AP250" s="28">
        <v>0</v>
      </c>
      <c r="AQ250" s="28">
        <v>0.3392857142857143</v>
      </c>
      <c r="AR250" s="28">
        <v>0.5</v>
      </c>
      <c r="AS250" s="28">
        <v>0.1607142857142857</v>
      </c>
      <c r="AT250" s="28">
        <v>0</v>
      </c>
      <c r="AU250" s="25">
        <v>1.1000000000000001</v>
      </c>
      <c r="AV250" s="25">
        <v>3.44</v>
      </c>
      <c r="AW250" s="25">
        <v>2.34</v>
      </c>
      <c r="AX250" s="25">
        <v>2.78</v>
      </c>
      <c r="AY250">
        <v>2.78</v>
      </c>
      <c r="AZ250">
        <v>6.4270052227137269</v>
      </c>
      <c r="BA250" s="75">
        <v>0.41874886813759421</v>
      </c>
      <c r="BD250">
        <v>4.3945051178950742E-2</v>
      </c>
      <c r="BE250">
        <v>4.2253374919871717E-2</v>
      </c>
      <c r="BH250">
        <v>8.4506749839743392E-2</v>
      </c>
      <c r="BI250">
        <v>4.3099213049411229E-2</v>
      </c>
      <c r="BJ250">
        <v>0.41874886813759421</v>
      </c>
    </row>
    <row r="251" spans="1:62" x14ac:dyDescent="0.3">
      <c r="A251" s="2" t="s">
        <v>153</v>
      </c>
      <c r="B251" s="13" t="s">
        <v>775</v>
      </c>
      <c r="C251" s="13"/>
      <c r="D251" s="2" t="s">
        <v>964</v>
      </c>
      <c r="E251" s="2">
        <f>E250*2</f>
        <v>1.32</v>
      </c>
      <c r="F251" s="2">
        <v>3.47</v>
      </c>
      <c r="G251" s="2" t="s">
        <v>208</v>
      </c>
      <c r="H251" s="9" t="s">
        <v>578</v>
      </c>
      <c r="I251">
        <v>-1</v>
      </c>
      <c r="J251"/>
      <c r="K251" s="2">
        <v>1</v>
      </c>
      <c r="L251" s="25">
        <v>1</v>
      </c>
      <c r="M251">
        <v>0</v>
      </c>
      <c r="N251">
        <v>0</v>
      </c>
      <c r="O251" s="2">
        <v>3.8860000000000001</v>
      </c>
      <c r="P251" s="2">
        <v>3.8860000000000001</v>
      </c>
      <c r="Q251" s="2">
        <v>10.548299999999999</v>
      </c>
      <c r="R251" s="2" t="s">
        <v>1097</v>
      </c>
      <c r="T251" s="25">
        <v>3.9263319999999999</v>
      </c>
      <c r="U251" s="25">
        <v>3.9263319999999999</v>
      </c>
      <c r="V251" s="25">
        <v>10.74639</v>
      </c>
      <c r="W251">
        <v>0</v>
      </c>
      <c r="X251"/>
      <c r="Y251"/>
      <c r="Z251">
        <v>0</v>
      </c>
      <c r="AA251"/>
      <c r="AB251"/>
      <c r="AD251">
        <v>14</v>
      </c>
      <c r="AE251" s="55">
        <f t="shared" si="10"/>
        <v>159.28983610679998</v>
      </c>
      <c r="AF251" s="57">
        <v>165.66723991337099</v>
      </c>
      <c r="AG251" s="55">
        <v>0</v>
      </c>
      <c r="AH251" s="55">
        <v>0</v>
      </c>
      <c r="AI251" s="52"/>
      <c r="AJ251" s="51">
        <v>8.4506749839743392E-2</v>
      </c>
      <c r="AK251" s="52"/>
      <c r="AL251" s="52"/>
      <c r="AM251" s="28">
        <v>1.7272727272727271</v>
      </c>
      <c r="AN251" s="28">
        <v>2.545454545454545</v>
      </c>
      <c r="AO251" s="28">
        <v>0.81818181818181823</v>
      </c>
      <c r="AP251" s="28">
        <v>0</v>
      </c>
      <c r="AQ251" s="28">
        <v>0.3392857142857143</v>
      </c>
      <c r="AR251" s="28">
        <v>0.5</v>
      </c>
      <c r="AS251" s="28">
        <v>0.1607142857142857</v>
      </c>
      <c r="AT251" s="28">
        <v>0</v>
      </c>
      <c r="AU251" s="25">
        <v>1.1000000000000001</v>
      </c>
      <c r="AV251" s="25">
        <v>3.44</v>
      </c>
      <c r="AW251" s="25">
        <v>2.34</v>
      </c>
      <c r="AX251" s="25">
        <v>2.78</v>
      </c>
      <c r="AY251">
        <v>2.78</v>
      </c>
      <c r="AZ251">
        <v>6.4270052227137269</v>
      </c>
      <c r="BA251" s="75">
        <v>0.41874886813759421</v>
      </c>
      <c r="BD251">
        <v>4.3945051178950742E-2</v>
      </c>
      <c r="BE251">
        <v>4.2253374919871717E-2</v>
      </c>
      <c r="BH251">
        <v>8.4506749839743392E-2</v>
      </c>
      <c r="BI251">
        <v>4.3099213049411229E-2</v>
      </c>
      <c r="BJ251">
        <v>0.41874886813759421</v>
      </c>
    </row>
    <row r="252" spans="1:62" x14ac:dyDescent="0.3">
      <c r="A252" s="2" t="s">
        <v>153</v>
      </c>
      <c r="B252" s="13" t="s">
        <v>775</v>
      </c>
      <c r="C252" s="13"/>
      <c r="D252" s="2" t="s">
        <v>964</v>
      </c>
      <c r="E252" s="2">
        <f>E250*3</f>
        <v>1.98</v>
      </c>
      <c r="F252" s="2">
        <v>3.41</v>
      </c>
      <c r="G252" s="2" t="s">
        <v>208</v>
      </c>
      <c r="H252" s="9" t="s">
        <v>578</v>
      </c>
      <c r="I252">
        <v>-1</v>
      </c>
      <c r="J252"/>
      <c r="K252" s="2">
        <v>1</v>
      </c>
      <c r="L252" s="25">
        <v>1</v>
      </c>
      <c r="M252">
        <v>0</v>
      </c>
      <c r="N252">
        <v>0</v>
      </c>
      <c r="O252" s="2">
        <v>3.8860000000000001</v>
      </c>
      <c r="P252" s="2">
        <v>3.8860000000000001</v>
      </c>
      <c r="Q252" s="2">
        <v>10.548299999999999</v>
      </c>
      <c r="R252" s="2" t="s">
        <v>1097</v>
      </c>
      <c r="T252" s="25">
        <v>3.9263319999999999</v>
      </c>
      <c r="U252" s="25">
        <v>3.9263319999999999</v>
      </c>
      <c r="V252" s="25">
        <v>10.74639</v>
      </c>
      <c r="W252">
        <v>0</v>
      </c>
      <c r="X252"/>
      <c r="Y252"/>
      <c r="Z252">
        <v>0</v>
      </c>
      <c r="AA252"/>
      <c r="AB252"/>
      <c r="AD252">
        <v>14</v>
      </c>
      <c r="AE252" s="55">
        <f t="shared" si="10"/>
        <v>159.28983610679998</v>
      </c>
      <c r="AF252" s="57">
        <v>165.66723991337099</v>
      </c>
      <c r="AG252" s="55">
        <v>0</v>
      </c>
      <c r="AH252" s="55">
        <v>0</v>
      </c>
      <c r="AI252" s="52"/>
      <c r="AJ252" s="51">
        <v>8.4506749839743392E-2</v>
      </c>
      <c r="AK252" s="52"/>
      <c r="AL252" s="52"/>
      <c r="AM252" s="28">
        <v>1.7272727272727271</v>
      </c>
      <c r="AN252" s="28">
        <v>2.545454545454545</v>
      </c>
      <c r="AO252" s="28">
        <v>0.81818181818181823</v>
      </c>
      <c r="AP252" s="28">
        <v>0</v>
      </c>
      <c r="AQ252" s="28">
        <v>0.3392857142857143</v>
      </c>
      <c r="AR252" s="28">
        <v>0.5</v>
      </c>
      <c r="AS252" s="28">
        <v>0.1607142857142857</v>
      </c>
      <c r="AT252" s="28">
        <v>0</v>
      </c>
      <c r="AU252" s="25">
        <v>1.1000000000000001</v>
      </c>
      <c r="AV252" s="25">
        <v>3.44</v>
      </c>
      <c r="AW252" s="25">
        <v>2.34</v>
      </c>
      <c r="AX252" s="25">
        <v>2.78</v>
      </c>
      <c r="AY252">
        <v>2.78</v>
      </c>
      <c r="AZ252">
        <v>6.4270052227137269</v>
      </c>
      <c r="BA252" s="75">
        <v>0.41874886813759421</v>
      </c>
      <c r="BD252">
        <v>4.3945051178950742E-2</v>
      </c>
      <c r="BE252">
        <v>4.2253374919871717E-2</v>
      </c>
      <c r="BH252">
        <v>8.4506749839743392E-2</v>
      </c>
      <c r="BI252">
        <v>4.3099213049411229E-2</v>
      </c>
      <c r="BJ252">
        <v>0.41874886813759421</v>
      </c>
    </row>
    <row r="253" spans="1:62" x14ac:dyDescent="0.3">
      <c r="A253" s="2" t="s">
        <v>153</v>
      </c>
      <c r="B253" s="13" t="s">
        <v>775</v>
      </c>
      <c r="C253" s="13"/>
      <c r="D253" s="2" t="s">
        <v>964</v>
      </c>
      <c r="E253" s="2">
        <f>E250*4</f>
        <v>2.64</v>
      </c>
      <c r="F253" s="2">
        <v>3.42</v>
      </c>
      <c r="G253" s="2" t="s">
        <v>208</v>
      </c>
      <c r="H253" s="9" t="s">
        <v>578</v>
      </c>
      <c r="I253">
        <v>-1</v>
      </c>
      <c r="J253"/>
      <c r="K253" s="2">
        <v>1</v>
      </c>
      <c r="L253" s="25">
        <v>1</v>
      </c>
      <c r="M253">
        <v>0</v>
      </c>
      <c r="N253">
        <v>0</v>
      </c>
      <c r="O253" s="2">
        <v>3.8860000000000001</v>
      </c>
      <c r="P253" s="2">
        <v>3.8860000000000001</v>
      </c>
      <c r="Q253" s="2">
        <v>10.548299999999999</v>
      </c>
      <c r="R253" s="2" t="s">
        <v>1097</v>
      </c>
      <c r="T253" s="25">
        <v>3.9263319999999999</v>
      </c>
      <c r="U253" s="25">
        <v>3.9263319999999999</v>
      </c>
      <c r="V253" s="25">
        <v>10.74639</v>
      </c>
      <c r="W253">
        <v>0</v>
      </c>
      <c r="X253"/>
      <c r="Y253"/>
      <c r="Z253">
        <v>0</v>
      </c>
      <c r="AA253"/>
      <c r="AB253"/>
      <c r="AD253">
        <v>14</v>
      </c>
      <c r="AE253" s="55">
        <f t="shared" si="10"/>
        <v>159.28983610679998</v>
      </c>
      <c r="AF253" s="57">
        <v>165.66723991337099</v>
      </c>
      <c r="AG253" s="55">
        <v>0</v>
      </c>
      <c r="AH253" s="55">
        <v>0</v>
      </c>
      <c r="AI253" s="52"/>
      <c r="AJ253" s="51">
        <v>8.4506749839743392E-2</v>
      </c>
      <c r="AK253" s="52"/>
      <c r="AL253" s="52"/>
      <c r="AM253" s="28">
        <v>1.7272727272727271</v>
      </c>
      <c r="AN253" s="28">
        <v>2.545454545454545</v>
      </c>
      <c r="AO253" s="28">
        <v>0.81818181818181823</v>
      </c>
      <c r="AP253" s="28">
        <v>0</v>
      </c>
      <c r="AQ253" s="28">
        <v>0.3392857142857143</v>
      </c>
      <c r="AR253" s="28">
        <v>0.5</v>
      </c>
      <c r="AS253" s="28">
        <v>0.1607142857142857</v>
      </c>
      <c r="AT253" s="28">
        <v>0</v>
      </c>
      <c r="AU253" s="25">
        <v>1.1000000000000001</v>
      </c>
      <c r="AV253" s="25">
        <v>3.44</v>
      </c>
      <c r="AW253" s="25">
        <v>2.34</v>
      </c>
      <c r="AX253" s="25">
        <v>2.78</v>
      </c>
      <c r="AY253">
        <v>2.78</v>
      </c>
      <c r="AZ253">
        <v>6.4270052227137269</v>
      </c>
      <c r="BA253" s="75">
        <v>0.41874886813759421</v>
      </c>
      <c r="BD253">
        <v>4.3945051178950742E-2</v>
      </c>
      <c r="BE253">
        <v>4.2253374919871717E-2</v>
      </c>
      <c r="BH253">
        <v>8.4506749839743392E-2</v>
      </c>
      <c r="BI253">
        <v>4.3099213049411229E-2</v>
      </c>
      <c r="BJ253">
        <v>0.41874886813759421</v>
      </c>
    </row>
    <row r="254" spans="1:62" x14ac:dyDescent="0.3">
      <c r="A254" s="2" t="s">
        <v>153</v>
      </c>
      <c r="B254" s="13" t="s">
        <v>775</v>
      </c>
      <c r="C254" s="13"/>
      <c r="D254" s="2" t="s">
        <v>964</v>
      </c>
      <c r="E254" s="2">
        <f>E250*6</f>
        <v>3.96</v>
      </c>
      <c r="F254" s="2">
        <v>3.44</v>
      </c>
      <c r="G254" s="2" t="s">
        <v>208</v>
      </c>
      <c r="H254" s="9" t="s">
        <v>578</v>
      </c>
      <c r="I254">
        <v>-1</v>
      </c>
      <c r="J254"/>
      <c r="K254" s="2">
        <v>1</v>
      </c>
      <c r="L254" s="25">
        <v>1</v>
      </c>
      <c r="M254">
        <v>0</v>
      </c>
      <c r="N254">
        <v>0</v>
      </c>
      <c r="O254" s="2">
        <v>3.8860000000000001</v>
      </c>
      <c r="P254" s="2">
        <v>3.8860000000000001</v>
      </c>
      <c r="Q254" s="2">
        <v>10.548299999999999</v>
      </c>
      <c r="R254" s="2" t="s">
        <v>1097</v>
      </c>
      <c r="T254" s="25">
        <v>3.9263319999999999</v>
      </c>
      <c r="U254" s="25">
        <v>3.9263319999999999</v>
      </c>
      <c r="V254" s="25">
        <v>10.74639</v>
      </c>
      <c r="W254">
        <v>0</v>
      </c>
      <c r="X254"/>
      <c r="Y254"/>
      <c r="Z254">
        <v>0</v>
      </c>
      <c r="AA254"/>
      <c r="AB254"/>
      <c r="AD254">
        <v>14</v>
      </c>
      <c r="AE254" s="55">
        <f t="shared" si="10"/>
        <v>159.28983610679998</v>
      </c>
      <c r="AF254" s="57">
        <v>165.66723991337099</v>
      </c>
      <c r="AG254" s="55">
        <v>0</v>
      </c>
      <c r="AH254" s="55">
        <v>0</v>
      </c>
      <c r="AI254" s="52"/>
      <c r="AJ254" s="51">
        <v>8.4506749839743392E-2</v>
      </c>
      <c r="AK254" s="52"/>
      <c r="AL254" s="52"/>
      <c r="AM254" s="28">
        <v>1.7272727272727271</v>
      </c>
      <c r="AN254" s="28">
        <v>2.545454545454545</v>
      </c>
      <c r="AO254" s="28">
        <v>0.81818181818181823</v>
      </c>
      <c r="AP254" s="28">
        <v>0</v>
      </c>
      <c r="AQ254" s="28">
        <v>0.3392857142857143</v>
      </c>
      <c r="AR254" s="28">
        <v>0.5</v>
      </c>
      <c r="AS254" s="28">
        <v>0.1607142857142857</v>
      </c>
      <c r="AT254" s="28">
        <v>0</v>
      </c>
      <c r="AU254" s="25">
        <v>1.1000000000000001</v>
      </c>
      <c r="AV254" s="25">
        <v>3.44</v>
      </c>
      <c r="AW254" s="25">
        <v>2.34</v>
      </c>
      <c r="AX254" s="25">
        <v>2.78</v>
      </c>
      <c r="AY254">
        <v>2.78</v>
      </c>
      <c r="AZ254">
        <v>6.4270052227137269</v>
      </c>
      <c r="BA254" s="75">
        <v>0.41874886813759421</v>
      </c>
      <c r="BD254">
        <v>4.3945051178950742E-2</v>
      </c>
      <c r="BE254">
        <v>4.2253374919871717E-2</v>
      </c>
      <c r="BH254">
        <v>8.4506749839743392E-2</v>
      </c>
      <c r="BI254">
        <v>4.3099213049411229E-2</v>
      </c>
      <c r="BJ254">
        <v>0.41874886813759421</v>
      </c>
    </row>
    <row r="255" spans="1:62" x14ac:dyDescent="0.3">
      <c r="A255" s="2" t="s">
        <v>8</v>
      </c>
      <c r="B255" s="13" t="s">
        <v>694</v>
      </c>
      <c r="C255" s="13"/>
      <c r="F255" s="2">
        <v>3.2</v>
      </c>
      <c r="G255" s="2" t="s">
        <v>208</v>
      </c>
      <c r="H255" s="9" t="s">
        <v>530</v>
      </c>
      <c r="I255" t="s">
        <v>612</v>
      </c>
      <c r="J255"/>
      <c r="L255" s="25">
        <v>30</v>
      </c>
      <c r="M255">
        <v>4</v>
      </c>
      <c r="N255">
        <v>0</v>
      </c>
      <c r="O255" s="2">
        <v>-2</v>
      </c>
      <c r="T255" s="25">
        <v>10.59112378</v>
      </c>
      <c r="U255" s="25">
        <v>10.784736629999999</v>
      </c>
      <c r="V255" s="25">
        <v>10.486176179999999</v>
      </c>
      <c r="W255">
        <v>3.73</v>
      </c>
      <c r="X255">
        <v>3.73</v>
      </c>
      <c r="Y255">
        <v>9.3699999999999992</v>
      </c>
      <c r="Z255">
        <v>0</v>
      </c>
      <c r="AA255"/>
      <c r="AB255"/>
      <c r="AD255">
        <v>4</v>
      </c>
      <c r="AE255" s="55">
        <f t="shared" si="10"/>
        <v>0</v>
      </c>
      <c r="AF255" s="57">
        <v>1182.741260108548</v>
      </c>
      <c r="AG255" s="55">
        <v>130.36387300000001</v>
      </c>
      <c r="AH255" s="55">
        <v>0</v>
      </c>
      <c r="AI255" s="52"/>
      <c r="AJ255" s="51">
        <v>0.1014592151701775</v>
      </c>
      <c r="AK255" s="52">
        <v>0.1227333894874388</v>
      </c>
      <c r="AL255" s="52"/>
      <c r="AM255" s="28">
        <v>2</v>
      </c>
      <c r="AN255" s="28">
        <v>2.666666666666667</v>
      </c>
      <c r="AO255" s="28">
        <v>0.66666666666666663</v>
      </c>
      <c r="AP255" s="28">
        <v>0</v>
      </c>
      <c r="AQ255" s="28">
        <v>0.375</v>
      </c>
      <c r="AR255" s="28">
        <v>0.5</v>
      </c>
      <c r="AS255" s="28">
        <v>0.125</v>
      </c>
      <c r="AT255" s="28">
        <v>0</v>
      </c>
      <c r="AU255" s="25">
        <v>1.54</v>
      </c>
      <c r="AV255" s="25">
        <v>3.44</v>
      </c>
      <c r="AW255" s="25">
        <v>1.9</v>
      </c>
      <c r="AX255" s="25">
        <v>2.8066666666666671</v>
      </c>
      <c r="AY255">
        <v>2.8066666666666662</v>
      </c>
      <c r="AZ255">
        <v>6.1769976</v>
      </c>
      <c r="BA255" s="75">
        <v>0.46900407026869628</v>
      </c>
      <c r="BB255" s="75">
        <v>0.56734579634715776</v>
      </c>
      <c r="BE255">
        <v>5.072960758508873E-2</v>
      </c>
      <c r="BF255">
        <v>6.136669474371937E-2</v>
      </c>
      <c r="BH255">
        <v>0.1120963023288082</v>
      </c>
      <c r="BI255">
        <v>5.604815116440405E-2</v>
      </c>
      <c r="BJ255">
        <v>0.51817493330792708</v>
      </c>
    </row>
    <row r="256" spans="1:62" x14ac:dyDescent="0.3">
      <c r="A256" s="2" t="s">
        <v>153</v>
      </c>
      <c r="B256" s="13" t="s">
        <v>775</v>
      </c>
      <c r="C256" s="13"/>
      <c r="F256" s="2">
        <v>3.1</v>
      </c>
      <c r="G256" s="2" t="s">
        <v>209</v>
      </c>
      <c r="H256" s="9" t="s">
        <v>578</v>
      </c>
      <c r="I256">
        <v>-1</v>
      </c>
      <c r="J256"/>
      <c r="K256" s="2">
        <v>1</v>
      </c>
      <c r="L256" s="25">
        <v>1</v>
      </c>
      <c r="M256">
        <v>0</v>
      </c>
      <c r="N256">
        <v>0</v>
      </c>
      <c r="O256" s="2">
        <v>3.8860000000000001</v>
      </c>
      <c r="P256" s="2">
        <v>3.8860000000000001</v>
      </c>
      <c r="Q256" s="2">
        <v>10.548299999999999</v>
      </c>
      <c r="R256" s="2" t="s">
        <v>1097</v>
      </c>
      <c r="T256" s="25">
        <v>3.9263319999999999</v>
      </c>
      <c r="U256" s="25">
        <v>3.9263319999999999</v>
      </c>
      <c r="V256" s="25">
        <v>10.74639</v>
      </c>
      <c r="W256">
        <v>0</v>
      </c>
      <c r="X256"/>
      <c r="Y256"/>
      <c r="Z256">
        <v>0</v>
      </c>
      <c r="AA256"/>
      <c r="AB256"/>
      <c r="AD256">
        <v>14</v>
      </c>
      <c r="AE256" s="55">
        <f t="shared" si="10"/>
        <v>159.28983610679998</v>
      </c>
      <c r="AF256" s="57">
        <v>165.66723991337099</v>
      </c>
      <c r="AG256" s="55">
        <v>0</v>
      </c>
      <c r="AH256" s="55">
        <v>0</v>
      </c>
      <c r="AI256" s="52">
        <f t="shared" ref="AI256:AI263" si="13">K256*AD256/AE256</f>
        <v>8.789010235790147E-2</v>
      </c>
      <c r="AJ256" s="51">
        <v>8.4506749839743392E-2</v>
      </c>
      <c r="AK256" s="52"/>
      <c r="AL256" s="52"/>
      <c r="AM256" s="28">
        <v>1.7272727272727271</v>
      </c>
      <c r="AN256" s="28">
        <v>2.545454545454545</v>
      </c>
      <c r="AO256" s="28">
        <v>0.81818181818181823</v>
      </c>
      <c r="AP256" s="28">
        <v>0</v>
      </c>
      <c r="AQ256" s="28">
        <v>0.3392857142857143</v>
      </c>
      <c r="AR256" s="28">
        <v>0.5</v>
      </c>
      <c r="AS256" s="28">
        <v>0.1607142857142857</v>
      </c>
      <c r="AT256" s="28">
        <v>0</v>
      </c>
      <c r="AU256" s="25">
        <v>1.1000000000000001</v>
      </c>
      <c r="AV256" s="25">
        <v>3.44</v>
      </c>
      <c r="AW256" s="25">
        <v>2.34</v>
      </c>
      <c r="AX256" s="25">
        <v>2.78</v>
      </c>
      <c r="AY256">
        <v>2.78</v>
      </c>
      <c r="AZ256">
        <v>6.4270052227137269</v>
      </c>
      <c r="BA256" s="75">
        <v>0.41874886813759421</v>
      </c>
      <c r="BD256">
        <v>4.3945051178950742E-2</v>
      </c>
      <c r="BE256">
        <v>4.2253374919871717E-2</v>
      </c>
      <c r="BH256">
        <v>8.6198426098822431E-2</v>
      </c>
      <c r="BI256">
        <v>4.3099213049411229E-2</v>
      </c>
      <c r="BJ256">
        <v>0.41874886813759421</v>
      </c>
    </row>
    <row r="257" spans="1:62" x14ac:dyDescent="0.3">
      <c r="A257" s="2" t="s">
        <v>210</v>
      </c>
      <c r="B257" s="17" t="s">
        <v>935</v>
      </c>
      <c r="C257" s="13"/>
      <c r="F257" s="2">
        <v>3.1</v>
      </c>
      <c r="G257" s="2" t="s">
        <v>209</v>
      </c>
      <c r="H257" s="32" t="s">
        <v>578</v>
      </c>
      <c r="I257">
        <v>-1</v>
      </c>
      <c r="J257"/>
      <c r="K257" s="2">
        <v>1</v>
      </c>
      <c r="L257" s="25">
        <v>0</v>
      </c>
      <c r="M257">
        <v>0</v>
      </c>
      <c r="N257">
        <v>0</v>
      </c>
      <c r="O257" s="1">
        <v>3.8860000000000001</v>
      </c>
      <c r="P257" s="1">
        <v>3.8860000000000001</v>
      </c>
      <c r="Q257" s="1">
        <v>10.548299999999999</v>
      </c>
      <c r="R257" s="1" t="s">
        <v>1097</v>
      </c>
      <c r="T257" s="25">
        <v>0</v>
      </c>
      <c r="U257" s="25"/>
      <c r="V257" s="25"/>
      <c r="W257">
        <v>0</v>
      </c>
      <c r="X257"/>
      <c r="Y257"/>
      <c r="Z257">
        <v>0</v>
      </c>
      <c r="AA257"/>
      <c r="AB257"/>
      <c r="AD257">
        <v>14</v>
      </c>
      <c r="AE257" s="55">
        <f t="shared" si="10"/>
        <v>159.28983610679998</v>
      </c>
      <c r="AF257" s="57">
        <v>0</v>
      </c>
      <c r="AG257" s="55">
        <v>0</v>
      </c>
      <c r="AH257" s="55">
        <v>0</v>
      </c>
      <c r="AI257" s="52">
        <f t="shared" si="13"/>
        <v>8.789010235790147E-2</v>
      </c>
      <c r="AJ257" s="51"/>
      <c r="AK257" s="52"/>
      <c r="AL257" s="52"/>
      <c r="AM257" s="28">
        <v>1.7285974499089249</v>
      </c>
      <c r="AN257" s="28">
        <v>2.5500910746812391</v>
      </c>
      <c r="AO257" s="28">
        <v>0.82149362477231325</v>
      </c>
      <c r="AP257" s="28">
        <v>0</v>
      </c>
      <c r="AQ257" s="28">
        <v>0.33892857142857141</v>
      </c>
      <c r="AR257" s="28">
        <v>0.5</v>
      </c>
      <c r="AS257" s="28">
        <v>0.16107142857142859</v>
      </c>
      <c r="AT257" s="28">
        <v>0</v>
      </c>
      <c r="AU257" s="25">
        <v>1.1000000000000001</v>
      </c>
      <c r="AV257" s="25">
        <v>3.44</v>
      </c>
      <c r="AW257" s="25">
        <v>2.34</v>
      </c>
      <c r="AX257" s="25">
        <v>2.7820765027322398</v>
      </c>
      <c r="AY257">
        <v>2.7820765027322398</v>
      </c>
      <c r="AZ257">
        <v>6.4257889029010924</v>
      </c>
      <c r="BA257" s="75">
        <v>0.41874886813759421</v>
      </c>
      <c r="BD257">
        <v>4.3945051178950742E-2</v>
      </c>
      <c r="BH257">
        <v>8.789010235790147E-2</v>
      </c>
      <c r="BI257">
        <v>4.3945051178950742E-2</v>
      </c>
      <c r="BJ257">
        <v>0.41874886813759421</v>
      </c>
    </row>
    <row r="258" spans="1:62" x14ac:dyDescent="0.3">
      <c r="A258" s="2" t="s">
        <v>211</v>
      </c>
      <c r="B258" s="17" t="s">
        <v>936</v>
      </c>
      <c r="C258" s="13"/>
      <c r="F258" s="2">
        <v>3.1</v>
      </c>
      <c r="G258" s="2" t="s">
        <v>209</v>
      </c>
      <c r="H258" s="32" t="s">
        <v>578</v>
      </c>
      <c r="I258">
        <v>-1</v>
      </c>
      <c r="J258"/>
      <c r="K258" s="2">
        <v>1</v>
      </c>
      <c r="L258" s="25">
        <v>0</v>
      </c>
      <c r="M258">
        <v>0</v>
      </c>
      <c r="N258">
        <v>0</v>
      </c>
      <c r="O258" s="1">
        <v>3.8860000000000001</v>
      </c>
      <c r="P258" s="1">
        <v>3.8860000000000001</v>
      </c>
      <c r="Q258" s="1">
        <v>10.548299999999999</v>
      </c>
      <c r="R258" s="1" t="s">
        <v>1097</v>
      </c>
      <c r="T258" s="25">
        <v>0</v>
      </c>
      <c r="U258" s="25"/>
      <c r="V258" s="25"/>
      <c r="W258">
        <v>0</v>
      </c>
      <c r="X258"/>
      <c r="Y258"/>
      <c r="Z258">
        <v>0</v>
      </c>
      <c r="AA258"/>
      <c r="AB258"/>
      <c r="AD258">
        <v>14</v>
      </c>
      <c r="AE258" s="55">
        <f t="shared" si="10"/>
        <v>159.28983610679998</v>
      </c>
      <c r="AF258" s="57">
        <v>0</v>
      </c>
      <c r="AG258" s="55">
        <v>0</v>
      </c>
      <c r="AH258" s="55">
        <v>0</v>
      </c>
      <c r="AI258" s="52">
        <f t="shared" si="13"/>
        <v>8.789010235790147E-2</v>
      </c>
      <c r="AJ258" s="51"/>
      <c r="AK258" s="52"/>
      <c r="AL258" s="52"/>
      <c r="AM258" s="28">
        <v>1.730593607305936</v>
      </c>
      <c r="AN258" s="28">
        <v>2.557077625570777</v>
      </c>
      <c r="AO258" s="28">
        <v>0.8264840182648403</v>
      </c>
      <c r="AP258" s="28">
        <v>0</v>
      </c>
      <c r="AQ258" s="28">
        <v>0.33839285714285711</v>
      </c>
      <c r="AR258" s="28">
        <v>0.5</v>
      </c>
      <c r="AS258" s="28">
        <v>0.16160714285714289</v>
      </c>
      <c r="AT258" s="28">
        <v>0</v>
      </c>
      <c r="AU258" s="25">
        <v>1.1000000000000001</v>
      </c>
      <c r="AV258" s="25">
        <v>3.44</v>
      </c>
      <c r="AW258" s="25">
        <v>2.34</v>
      </c>
      <c r="AX258" s="25">
        <v>2.7852054794520549</v>
      </c>
      <c r="AY258">
        <v>2.7852054794520549</v>
      </c>
      <c r="AZ258">
        <v>6.4239560922245156</v>
      </c>
      <c r="BA258" s="75">
        <v>0.41874886813759421</v>
      </c>
      <c r="BD258">
        <v>4.3945051178950742E-2</v>
      </c>
      <c r="BH258">
        <v>8.789010235790147E-2</v>
      </c>
      <c r="BI258">
        <v>4.3945051178950742E-2</v>
      </c>
      <c r="BJ258">
        <v>0.41874886813759421</v>
      </c>
    </row>
    <row r="259" spans="1:62" x14ac:dyDescent="0.3">
      <c r="A259" s="2" t="s">
        <v>212</v>
      </c>
      <c r="B259" s="17" t="s">
        <v>937</v>
      </c>
      <c r="C259" s="13"/>
      <c r="F259" s="2">
        <v>3.1</v>
      </c>
      <c r="G259" s="2" t="s">
        <v>209</v>
      </c>
      <c r="H259" s="32" t="s">
        <v>578</v>
      </c>
      <c r="I259">
        <v>-1</v>
      </c>
      <c r="J259"/>
      <c r="K259" s="2">
        <v>1</v>
      </c>
      <c r="L259" s="25">
        <v>0</v>
      </c>
      <c r="M259">
        <v>0</v>
      </c>
      <c r="N259">
        <v>0</v>
      </c>
      <c r="O259" s="1">
        <v>3.8860000000000001</v>
      </c>
      <c r="P259" s="1">
        <v>3.8860000000000001</v>
      </c>
      <c r="Q259" s="1">
        <v>10.548299999999999</v>
      </c>
      <c r="R259" s="1" t="s">
        <v>1097</v>
      </c>
      <c r="T259" s="25">
        <v>0</v>
      </c>
      <c r="U259" s="25"/>
      <c r="V259" s="25"/>
      <c r="W259">
        <v>0</v>
      </c>
      <c r="X259"/>
      <c r="Y259"/>
      <c r="Z259">
        <v>0</v>
      </c>
      <c r="AA259"/>
      <c r="AB259"/>
      <c r="AD259">
        <v>14</v>
      </c>
      <c r="AE259" s="55">
        <f t="shared" ref="AE259:AE322" si="14">O259*P259*Q259</f>
        <v>159.28983610679998</v>
      </c>
      <c r="AF259" s="57">
        <v>0</v>
      </c>
      <c r="AG259" s="55">
        <v>0</v>
      </c>
      <c r="AH259" s="55">
        <v>0</v>
      </c>
      <c r="AI259" s="52">
        <f t="shared" si="13"/>
        <v>8.789010235790147E-2</v>
      </c>
      <c r="AJ259" s="51"/>
      <c r="AK259" s="52"/>
      <c r="AL259" s="52"/>
      <c r="AM259" s="28">
        <v>1.7373271889400921</v>
      </c>
      <c r="AN259" s="28">
        <v>2.580645161290323</v>
      </c>
      <c r="AO259" s="28">
        <v>0.84331797235023043</v>
      </c>
      <c r="AP259" s="28">
        <v>0</v>
      </c>
      <c r="AQ259" s="28">
        <v>0.33660714285714288</v>
      </c>
      <c r="AR259" s="28">
        <v>0.5</v>
      </c>
      <c r="AS259" s="28">
        <v>0.16339285714285709</v>
      </c>
      <c r="AT259" s="28">
        <v>0</v>
      </c>
      <c r="AU259" s="25">
        <v>1.1000000000000001</v>
      </c>
      <c r="AV259" s="25">
        <v>3.44</v>
      </c>
      <c r="AW259" s="25">
        <v>2.34</v>
      </c>
      <c r="AX259" s="25">
        <v>2.7957603686635939</v>
      </c>
      <c r="AY259">
        <v>2.7957603686635939</v>
      </c>
      <c r="AZ259">
        <v>6.4177735234906308</v>
      </c>
      <c r="BA259" s="75">
        <v>0.41874886813759421</v>
      </c>
      <c r="BD259">
        <v>4.3945051178950742E-2</v>
      </c>
      <c r="BH259">
        <v>8.789010235790147E-2</v>
      </c>
      <c r="BI259">
        <v>4.3945051178950742E-2</v>
      </c>
      <c r="BJ259">
        <v>0.41874886813759421</v>
      </c>
    </row>
    <row r="260" spans="1:62" x14ac:dyDescent="0.3">
      <c r="A260" s="2" t="s">
        <v>153</v>
      </c>
      <c r="B260" s="17" t="s">
        <v>775</v>
      </c>
      <c r="C260" s="13"/>
      <c r="D260" s="2" t="s">
        <v>863</v>
      </c>
      <c r="E260" s="2">
        <v>1.34</v>
      </c>
      <c r="F260" s="2">
        <v>3.1</v>
      </c>
      <c r="G260" s="2" t="s">
        <v>209</v>
      </c>
      <c r="H260" s="9" t="s">
        <v>578</v>
      </c>
      <c r="I260">
        <v>-1</v>
      </c>
      <c r="J260"/>
      <c r="K260" s="2">
        <v>1</v>
      </c>
      <c r="L260" s="25">
        <v>1</v>
      </c>
      <c r="M260">
        <v>0</v>
      </c>
      <c r="N260">
        <v>0</v>
      </c>
      <c r="O260" s="2">
        <v>3.8860000000000001</v>
      </c>
      <c r="P260" s="2">
        <v>3.8860000000000001</v>
      </c>
      <c r="Q260" s="2">
        <v>10.548299999999999</v>
      </c>
      <c r="R260" s="2" t="s">
        <v>1097</v>
      </c>
      <c r="T260" s="25">
        <v>3.9263319999999999</v>
      </c>
      <c r="U260" s="25">
        <v>3.9263319999999999</v>
      </c>
      <c r="V260" s="25">
        <v>10.74639</v>
      </c>
      <c r="W260">
        <v>0</v>
      </c>
      <c r="X260"/>
      <c r="Y260"/>
      <c r="Z260">
        <v>0</v>
      </c>
      <c r="AA260"/>
      <c r="AB260"/>
      <c r="AD260">
        <v>14</v>
      </c>
      <c r="AE260" s="55">
        <f t="shared" si="14"/>
        <v>159.28983610679998</v>
      </c>
      <c r="AF260" s="57">
        <v>165.66723991337099</v>
      </c>
      <c r="AG260" s="55">
        <v>0</v>
      </c>
      <c r="AH260" s="55">
        <v>0</v>
      </c>
      <c r="AI260" s="52">
        <f t="shared" si="13"/>
        <v>8.789010235790147E-2</v>
      </c>
      <c r="AJ260" s="51">
        <v>8.4506749839743392E-2</v>
      </c>
      <c r="AK260" s="52"/>
      <c r="AL260" s="52"/>
      <c r="AM260" s="28">
        <v>1.7272727272727271</v>
      </c>
      <c r="AN260" s="28">
        <v>2.545454545454545</v>
      </c>
      <c r="AO260" s="28">
        <v>0.81818181818181823</v>
      </c>
      <c r="AP260" s="28">
        <v>0</v>
      </c>
      <c r="AQ260" s="28">
        <v>0.3392857142857143</v>
      </c>
      <c r="AR260" s="28">
        <v>0.5</v>
      </c>
      <c r="AS260" s="28">
        <v>0.1607142857142857</v>
      </c>
      <c r="AT260" s="28">
        <v>0</v>
      </c>
      <c r="AU260" s="25">
        <v>1.1000000000000001</v>
      </c>
      <c r="AV260" s="25">
        <v>3.44</v>
      </c>
      <c r="AW260" s="25">
        <v>2.34</v>
      </c>
      <c r="AX260" s="25">
        <v>2.78</v>
      </c>
      <c r="AY260">
        <v>2.78</v>
      </c>
      <c r="AZ260">
        <v>6.4270052227137269</v>
      </c>
      <c r="BA260" s="75">
        <v>0.41874886813759421</v>
      </c>
      <c r="BD260">
        <v>4.3945051178950742E-2</v>
      </c>
      <c r="BE260">
        <v>4.2253374919871717E-2</v>
      </c>
      <c r="BH260">
        <v>8.6198426098822431E-2</v>
      </c>
      <c r="BI260">
        <v>4.3099213049411229E-2</v>
      </c>
      <c r="BJ260">
        <v>0.41874886813759421</v>
      </c>
    </row>
    <row r="261" spans="1:62" x14ac:dyDescent="0.3">
      <c r="A261" s="2" t="s">
        <v>210</v>
      </c>
      <c r="B261" s="17" t="s">
        <v>935</v>
      </c>
      <c r="C261" s="13"/>
      <c r="D261" s="2" t="s">
        <v>863</v>
      </c>
      <c r="E261" s="2">
        <v>1.04</v>
      </c>
      <c r="F261" s="2">
        <v>3.1</v>
      </c>
      <c r="G261" s="2" t="s">
        <v>209</v>
      </c>
      <c r="H261" s="32" t="s">
        <v>578</v>
      </c>
      <c r="I261">
        <v>-1</v>
      </c>
      <c r="J261"/>
      <c r="K261" s="2">
        <v>1</v>
      </c>
      <c r="L261" s="25">
        <v>0</v>
      </c>
      <c r="M261">
        <v>0</v>
      </c>
      <c r="N261">
        <v>0</v>
      </c>
      <c r="O261" s="1">
        <v>3.8860000000000001</v>
      </c>
      <c r="P261" s="1">
        <v>3.8860000000000001</v>
      </c>
      <c r="Q261" s="1">
        <v>10.548299999999999</v>
      </c>
      <c r="R261" s="1" t="s">
        <v>1097</v>
      </c>
      <c r="T261" s="25">
        <v>0</v>
      </c>
      <c r="U261" s="25"/>
      <c r="V261" s="25"/>
      <c r="W261">
        <v>0</v>
      </c>
      <c r="X261"/>
      <c r="Y261"/>
      <c r="Z261">
        <v>0</v>
      </c>
      <c r="AA261"/>
      <c r="AB261"/>
      <c r="AD261">
        <v>14</v>
      </c>
      <c r="AE261" s="55">
        <f t="shared" si="14"/>
        <v>159.28983610679998</v>
      </c>
      <c r="AF261" s="57">
        <v>0</v>
      </c>
      <c r="AG261" s="55">
        <v>0</v>
      </c>
      <c r="AH261" s="55">
        <v>0</v>
      </c>
      <c r="AI261" s="52">
        <f t="shared" si="13"/>
        <v>8.789010235790147E-2</v>
      </c>
      <c r="AJ261" s="51"/>
      <c r="AK261" s="52"/>
      <c r="AL261" s="52"/>
      <c r="AM261" s="28">
        <v>1.7285974499089249</v>
      </c>
      <c r="AN261" s="28">
        <v>2.5500910746812391</v>
      </c>
      <c r="AO261" s="28">
        <v>0.82149362477231325</v>
      </c>
      <c r="AP261" s="28">
        <v>0</v>
      </c>
      <c r="AQ261" s="28">
        <v>0.33892857142857141</v>
      </c>
      <c r="AR261" s="28">
        <v>0.5</v>
      </c>
      <c r="AS261" s="28">
        <v>0.16107142857142859</v>
      </c>
      <c r="AT261" s="28">
        <v>0</v>
      </c>
      <c r="AU261" s="25">
        <v>1.1000000000000001</v>
      </c>
      <c r="AV261" s="25">
        <v>3.44</v>
      </c>
      <c r="AW261" s="25">
        <v>2.34</v>
      </c>
      <c r="AX261" s="25">
        <v>2.7820765027322398</v>
      </c>
      <c r="AY261">
        <v>2.7820765027322398</v>
      </c>
      <c r="AZ261">
        <v>6.4257889029010924</v>
      </c>
      <c r="BA261" s="75">
        <v>0.41874886813759421</v>
      </c>
      <c r="BD261">
        <v>4.3945051178950742E-2</v>
      </c>
      <c r="BH261">
        <v>8.789010235790147E-2</v>
      </c>
      <c r="BI261">
        <v>4.3945051178950742E-2</v>
      </c>
      <c r="BJ261">
        <v>0.41874886813759421</v>
      </c>
    </row>
    <row r="262" spans="1:62" x14ac:dyDescent="0.3">
      <c r="A262" s="2" t="s">
        <v>211</v>
      </c>
      <c r="B262" s="17" t="s">
        <v>936</v>
      </c>
      <c r="C262" s="13"/>
      <c r="D262" s="2" t="s">
        <v>863</v>
      </c>
      <c r="E262" s="2">
        <v>1.19</v>
      </c>
      <c r="F262" s="2">
        <v>3.1</v>
      </c>
      <c r="G262" s="2" t="s">
        <v>209</v>
      </c>
      <c r="H262" s="32" t="s">
        <v>578</v>
      </c>
      <c r="I262">
        <v>-1</v>
      </c>
      <c r="J262"/>
      <c r="K262" s="2">
        <v>1</v>
      </c>
      <c r="L262" s="25">
        <v>0</v>
      </c>
      <c r="M262">
        <v>0</v>
      </c>
      <c r="N262">
        <v>0</v>
      </c>
      <c r="O262" s="1">
        <v>3.8860000000000001</v>
      </c>
      <c r="P262" s="1">
        <v>3.8860000000000001</v>
      </c>
      <c r="Q262" s="1">
        <v>10.548299999999999</v>
      </c>
      <c r="R262" s="1" t="s">
        <v>1097</v>
      </c>
      <c r="T262" s="25">
        <v>0</v>
      </c>
      <c r="U262" s="25"/>
      <c r="V262" s="25"/>
      <c r="W262">
        <v>0</v>
      </c>
      <c r="X262"/>
      <c r="Y262"/>
      <c r="Z262">
        <v>0</v>
      </c>
      <c r="AA262"/>
      <c r="AB262"/>
      <c r="AD262">
        <v>14</v>
      </c>
      <c r="AE262" s="55">
        <f t="shared" si="14"/>
        <v>159.28983610679998</v>
      </c>
      <c r="AF262" s="57">
        <v>0</v>
      </c>
      <c r="AG262" s="55">
        <v>0</v>
      </c>
      <c r="AH262" s="55">
        <v>0</v>
      </c>
      <c r="AI262" s="52">
        <f t="shared" si="13"/>
        <v>8.789010235790147E-2</v>
      </c>
      <c r="AJ262" s="51"/>
      <c r="AK262" s="52"/>
      <c r="AL262" s="52"/>
      <c r="AM262" s="28">
        <v>1.730593607305936</v>
      </c>
      <c r="AN262" s="28">
        <v>2.557077625570777</v>
      </c>
      <c r="AO262" s="28">
        <v>0.8264840182648403</v>
      </c>
      <c r="AP262" s="28">
        <v>0</v>
      </c>
      <c r="AQ262" s="28">
        <v>0.33839285714285711</v>
      </c>
      <c r="AR262" s="28">
        <v>0.5</v>
      </c>
      <c r="AS262" s="28">
        <v>0.16160714285714289</v>
      </c>
      <c r="AT262" s="28">
        <v>0</v>
      </c>
      <c r="AU262" s="25">
        <v>1.1000000000000001</v>
      </c>
      <c r="AV262" s="25">
        <v>3.44</v>
      </c>
      <c r="AW262" s="25">
        <v>2.34</v>
      </c>
      <c r="AX262" s="25">
        <v>2.7852054794520549</v>
      </c>
      <c r="AY262">
        <v>2.7852054794520549</v>
      </c>
      <c r="AZ262">
        <v>6.4239560922245156</v>
      </c>
      <c r="BA262" s="75">
        <v>0.41874886813759421</v>
      </c>
      <c r="BD262">
        <v>4.3945051178950742E-2</v>
      </c>
      <c r="BH262">
        <v>8.789010235790147E-2</v>
      </c>
      <c r="BI262">
        <v>4.3945051178950742E-2</v>
      </c>
      <c r="BJ262">
        <v>0.41874886813759421</v>
      </c>
    </row>
    <row r="263" spans="1:62" x14ac:dyDescent="0.3">
      <c r="A263" s="2" t="s">
        <v>212</v>
      </c>
      <c r="B263" s="17" t="s">
        <v>937</v>
      </c>
      <c r="C263" s="13"/>
      <c r="D263" s="2" t="s">
        <v>863</v>
      </c>
      <c r="E263" s="2">
        <v>1.61</v>
      </c>
      <c r="F263" s="2">
        <v>3.1</v>
      </c>
      <c r="G263" s="2" t="s">
        <v>209</v>
      </c>
      <c r="H263" s="32" t="s">
        <v>578</v>
      </c>
      <c r="I263">
        <v>-1</v>
      </c>
      <c r="J263"/>
      <c r="K263" s="2">
        <v>1</v>
      </c>
      <c r="L263" s="25">
        <v>0</v>
      </c>
      <c r="M263">
        <v>0</v>
      </c>
      <c r="N263">
        <v>0</v>
      </c>
      <c r="O263" s="1">
        <v>3.8860000000000001</v>
      </c>
      <c r="P263" s="1">
        <v>3.8860000000000001</v>
      </c>
      <c r="Q263" s="1">
        <v>10.548299999999999</v>
      </c>
      <c r="R263" s="1" t="s">
        <v>1097</v>
      </c>
      <c r="T263" s="25">
        <v>0</v>
      </c>
      <c r="U263" s="25"/>
      <c r="V263" s="25"/>
      <c r="W263">
        <v>0</v>
      </c>
      <c r="X263"/>
      <c r="Y263"/>
      <c r="Z263">
        <v>0</v>
      </c>
      <c r="AA263"/>
      <c r="AB263"/>
      <c r="AD263">
        <v>14</v>
      </c>
      <c r="AE263" s="55">
        <f t="shared" si="14"/>
        <v>159.28983610679998</v>
      </c>
      <c r="AF263" s="57">
        <v>0</v>
      </c>
      <c r="AG263" s="55">
        <v>0</v>
      </c>
      <c r="AH263" s="55">
        <v>0</v>
      </c>
      <c r="AI263" s="52">
        <f t="shared" si="13"/>
        <v>8.789010235790147E-2</v>
      </c>
      <c r="AJ263" s="51"/>
      <c r="AK263" s="52"/>
      <c r="AL263" s="52"/>
      <c r="AM263" s="28">
        <v>1.7373271889400921</v>
      </c>
      <c r="AN263" s="28">
        <v>2.580645161290323</v>
      </c>
      <c r="AO263" s="28">
        <v>0.84331797235023043</v>
      </c>
      <c r="AP263" s="28">
        <v>0</v>
      </c>
      <c r="AQ263" s="28">
        <v>0.33660714285714288</v>
      </c>
      <c r="AR263" s="28">
        <v>0.5</v>
      </c>
      <c r="AS263" s="28">
        <v>0.16339285714285709</v>
      </c>
      <c r="AT263" s="28">
        <v>0</v>
      </c>
      <c r="AU263" s="25">
        <v>1.1000000000000001</v>
      </c>
      <c r="AV263" s="25">
        <v>3.44</v>
      </c>
      <c r="AW263" s="25">
        <v>2.34</v>
      </c>
      <c r="AX263" s="25">
        <v>2.7957603686635939</v>
      </c>
      <c r="AY263">
        <v>2.7957603686635939</v>
      </c>
      <c r="AZ263">
        <v>6.4177735234906308</v>
      </c>
      <c r="BA263" s="75">
        <v>0.41874886813759421</v>
      </c>
      <c r="BD263">
        <v>4.3945051178950742E-2</v>
      </c>
      <c r="BH263">
        <v>8.789010235790147E-2</v>
      </c>
      <c r="BI263">
        <v>4.3945051178950742E-2</v>
      </c>
      <c r="BJ263">
        <v>0.41874886813759421</v>
      </c>
    </row>
    <row r="264" spans="1:62" x14ac:dyDescent="0.3">
      <c r="A264" s="2" t="s">
        <v>22</v>
      </c>
      <c r="B264" s="17" t="s">
        <v>876</v>
      </c>
      <c r="C264" s="13"/>
      <c r="F264" s="2">
        <v>2.74</v>
      </c>
      <c r="G264" s="2" t="s">
        <v>213</v>
      </c>
      <c r="H264" s="32" t="s">
        <v>541</v>
      </c>
      <c r="I264" s="1" t="s">
        <v>621</v>
      </c>
      <c r="J264"/>
      <c r="L264" s="25">
        <v>0</v>
      </c>
      <c r="M264">
        <v>4</v>
      </c>
      <c r="N264">
        <v>0</v>
      </c>
      <c r="O264" s="1">
        <v>5.4960000000000004</v>
      </c>
      <c r="P264" s="1">
        <v>5.4960000000000004</v>
      </c>
      <c r="Q264" s="1">
        <v>25.55</v>
      </c>
      <c r="R264" s="1" t="s">
        <v>450</v>
      </c>
      <c r="T264" s="25">
        <v>0</v>
      </c>
      <c r="U264" s="25"/>
      <c r="V264" s="25"/>
      <c r="W264">
        <v>5.5453000000000001</v>
      </c>
      <c r="X264">
        <v>5.5453000000000001</v>
      </c>
      <c r="Y264">
        <v>25.686699999999998</v>
      </c>
      <c r="Z264">
        <v>0</v>
      </c>
      <c r="AA264"/>
      <c r="AB264"/>
      <c r="AD264">
        <v>18</v>
      </c>
      <c r="AE264" s="55">
        <f t="shared" si="14"/>
        <v>771.76370880000013</v>
      </c>
      <c r="AF264" s="57">
        <v>0</v>
      </c>
      <c r="AG264" s="55">
        <v>789.87506903020289</v>
      </c>
      <c r="AH264" s="55">
        <v>0</v>
      </c>
      <c r="AI264" s="52"/>
      <c r="AJ264" s="51"/>
      <c r="AK264" s="52">
        <v>9.1153655588092616E-2</v>
      </c>
      <c r="AL264" s="52"/>
      <c r="AM264" s="28">
        <v>1.871428571428571</v>
      </c>
      <c r="AN264" s="28">
        <v>3.1428571428571428</v>
      </c>
      <c r="AO264" s="28">
        <v>2.714285714285714</v>
      </c>
      <c r="AP264" s="28">
        <v>3.2</v>
      </c>
      <c r="AQ264" s="28">
        <v>0.17124183006535951</v>
      </c>
      <c r="AR264" s="28">
        <v>0.28758169934640521</v>
      </c>
      <c r="AS264" s="28">
        <v>0.2483660130718954</v>
      </c>
      <c r="AT264" s="28">
        <v>0.29281045751633977</v>
      </c>
      <c r="AU264" s="25">
        <v>1.6</v>
      </c>
      <c r="AV264" s="25">
        <v>3.44</v>
      </c>
      <c r="AW264" s="25">
        <v>1.84</v>
      </c>
      <c r="AX264" s="25">
        <v>2.9058571428571431</v>
      </c>
      <c r="AY264">
        <v>2.9058571428571431</v>
      </c>
      <c r="AZ264">
        <v>6.2676757950000006</v>
      </c>
      <c r="BA264" s="75">
        <v>0.51995616258071919</v>
      </c>
      <c r="BB264" s="75">
        <v>0.51988140722208986</v>
      </c>
      <c r="BF264">
        <v>4.5576827794046308E-2</v>
      </c>
      <c r="BH264">
        <v>9.1153655588092616E-2</v>
      </c>
      <c r="BI264">
        <v>4.5576827794046308E-2</v>
      </c>
      <c r="BJ264">
        <v>0.51991878490140453</v>
      </c>
    </row>
    <row r="265" spans="1:62" x14ac:dyDescent="0.3">
      <c r="A265" s="2" t="s">
        <v>23</v>
      </c>
      <c r="B265" s="17" t="s">
        <v>877</v>
      </c>
      <c r="C265" s="13"/>
      <c r="F265" s="2">
        <v>2.74</v>
      </c>
      <c r="G265" s="2" t="s">
        <v>213</v>
      </c>
      <c r="H265" s="32" t="s">
        <v>541</v>
      </c>
      <c r="I265" s="1" t="s">
        <v>621</v>
      </c>
      <c r="J265"/>
      <c r="L265" s="25">
        <v>0</v>
      </c>
      <c r="M265">
        <v>4</v>
      </c>
      <c r="N265">
        <v>0</v>
      </c>
      <c r="O265" s="1">
        <v>5.4960000000000004</v>
      </c>
      <c r="P265" s="1">
        <v>5.4960000000000004</v>
      </c>
      <c r="Q265" s="1">
        <v>25.55</v>
      </c>
      <c r="R265" s="1" t="s">
        <v>450</v>
      </c>
      <c r="T265" s="25">
        <v>0</v>
      </c>
      <c r="U265" s="25"/>
      <c r="V265" s="25"/>
      <c r="W265">
        <v>5.5453000000000001</v>
      </c>
      <c r="X265">
        <v>5.5453000000000001</v>
      </c>
      <c r="Y265">
        <v>25.686699999999998</v>
      </c>
      <c r="Z265">
        <v>0</v>
      </c>
      <c r="AA265"/>
      <c r="AB265"/>
      <c r="AD265">
        <v>18</v>
      </c>
      <c r="AE265" s="55">
        <f t="shared" si="14"/>
        <v>771.76370880000013</v>
      </c>
      <c r="AF265" s="57">
        <v>0</v>
      </c>
      <c r="AG265" s="55">
        <v>789.87506903020289</v>
      </c>
      <c r="AH265" s="55">
        <v>0</v>
      </c>
      <c r="AI265" s="52"/>
      <c r="AJ265" s="51"/>
      <c r="AK265" s="52">
        <v>9.1153655588092616E-2</v>
      </c>
      <c r="AL265" s="52"/>
      <c r="AM265" s="28">
        <v>1.8678571428571431</v>
      </c>
      <c r="AN265" s="28">
        <v>3.1428571428571428</v>
      </c>
      <c r="AO265" s="28">
        <v>2.714285714285714</v>
      </c>
      <c r="AP265" s="28">
        <v>3.15</v>
      </c>
      <c r="AQ265" s="28">
        <v>0.1717569786535304</v>
      </c>
      <c r="AR265" s="28">
        <v>0.28899835796387519</v>
      </c>
      <c r="AS265" s="28">
        <v>0.24958949096880129</v>
      </c>
      <c r="AT265" s="28">
        <v>0.28965517241379313</v>
      </c>
      <c r="AU265" s="25">
        <v>1.6</v>
      </c>
      <c r="AV265" s="25">
        <v>3.44</v>
      </c>
      <c r="AW265" s="25">
        <v>1.84</v>
      </c>
      <c r="AX265" s="25">
        <v>2.903142857142857</v>
      </c>
      <c r="AY265">
        <v>2.903142857142857</v>
      </c>
      <c r="AZ265">
        <v>6.2658828646428582</v>
      </c>
      <c r="BA265" s="75">
        <v>0.51995616258071919</v>
      </c>
      <c r="BB265" s="75">
        <v>0.51988140722208986</v>
      </c>
      <c r="BF265">
        <v>4.5576827794046308E-2</v>
      </c>
      <c r="BH265">
        <v>9.1153655588092616E-2</v>
      </c>
      <c r="BI265">
        <v>4.5576827794046308E-2</v>
      </c>
      <c r="BJ265">
        <v>0.51991878490140453</v>
      </c>
    </row>
    <row r="266" spans="1:62" x14ac:dyDescent="0.3">
      <c r="A266" s="2" t="s">
        <v>24</v>
      </c>
      <c r="B266" s="17" t="s">
        <v>878</v>
      </c>
      <c r="C266" s="13"/>
      <c r="F266" s="2">
        <v>2.75</v>
      </c>
      <c r="G266" s="2" t="s">
        <v>213</v>
      </c>
      <c r="H266" s="32" t="s">
        <v>541</v>
      </c>
      <c r="I266" s="1" t="s">
        <v>621</v>
      </c>
      <c r="J266"/>
      <c r="L266" s="25">
        <v>0</v>
      </c>
      <c r="M266">
        <v>4</v>
      </c>
      <c r="N266">
        <v>0</v>
      </c>
      <c r="O266" s="1">
        <v>5.4960000000000004</v>
      </c>
      <c r="P266" s="1">
        <v>5.4960000000000004</v>
      </c>
      <c r="Q266" s="1">
        <v>25.55</v>
      </c>
      <c r="R266" s="1" t="s">
        <v>450</v>
      </c>
      <c r="T266" s="25">
        <v>0</v>
      </c>
      <c r="U266" s="25"/>
      <c r="V266" s="25"/>
      <c r="W266">
        <v>5.5453000000000001</v>
      </c>
      <c r="X266">
        <v>5.5453000000000001</v>
      </c>
      <c r="Y266">
        <v>25.686699999999998</v>
      </c>
      <c r="Z266">
        <v>0</v>
      </c>
      <c r="AA266"/>
      <c r="AB266"/>
      <c r="AD266">
        <v>18</v>
      </c>
      <c r="AE266" s="55">
        <f t="shared" si="14"/>
        <v>771.76370880000013</v>
      </c>
      <c r="AF266" s="57">
        <v>0</v>
      </c>
      <c r="AG266" s="55">
        <v>789.87506903020289</v>
      </c>
      <c r="AH266" s="55">
        <v>0</v>
      </c>
      <c r="AI266" s="52"/>
      <c r="AJ266" s="51"/>
      <c r="AK266" s="52">
        <v>9.1153655588092616E-2</v>
      </c>
      <c r="AL266" s="52"/>
      <c r="AM266" s="28">
        <v>1.8642857142857141</v>
      </c>
      <c r="AN266" s="28">
        <v>3.1428571428571428</v>
      </c>
      <c r="AO266" s="28">
        <v>2.714285714285714</v>
      </c>
      <c r="AP266" s="28">
        <v>3.1</v>
      </c>
      <c r="AQ266" s="28">
        <v>0.17227722772277229</v>
      </c>
      <c r="AR266" s="28">
        <v>0.29042904290429039</v>
      </c>
      <c r="AS266" s="28">
        <v>0.25082508250825092</v>
      </c>
      <c r="AT266" s="28">
        <v>0.28646864686468648</v>
      </c>
      <c r="AU266" s="25">
        <v>1.6</v>
      </c>
      <c r="AV266" s="25">
        <v>3.44</v>
      </c>
      <c r="AW266" s="25">
        <v>1.84</v>
      </c>
      <c r="AX266" s="25">
        <v>2.9004285714285709</v>
      </c>
      <c r="AY266">
        <v>2.9004285714285718</v>
      </c>
      <c r="AZ266">
        <v>6.2640899342857157</v>
      </c>
      <c r="BA266" s="75">
        <v>0.51995616258071919</v>
      </c>
      <c r="BB266" s="75">
        <v>0.51988140722208986</v>
      </c>
      <c r="BF266">
        <v>4.5576827794046308E-2</v>
      </c>
      <c r="BH266">
        <v>9.1153655588092616E-2</v>
      </c>
      <c r="BI266">
        <v>4.5576827794046308E-2</v>
      </c>
      <c r="BJ266">
        <v>0.51991878490140453</v>
      </c>
    </row>
    <row r="267" spans="1:62" x14ac:dyDescent="0.3">
      <c r="A267" s="2" t="s">
        <v>25</v>
      </c>
      <c r="B267" s="13" t="s">
        <v>708</v>
      </c>
      <c r="C267" s="13"/>
      <c r="F267" s="2">
        <v>2.88</v>
      </c>
      <c r="G267" s="2" t="s">
        <v>213</v>
      </c>
      <c r="H267" s="9" t="s">
        <v>541</v>
      </c>
      <c r="I267" t="s">
        <v>621</v>
      </c>
      <c r="J267"/>
      <c r="L267" s="25">
        <v>1</v>
      </c>
      <c r="M267">
        <v>4</v>
      </c>
      <c r="N267">
        <v>0</v>
      </c>
      <c r="O267" s="2">
        <v>5.4960000000000004</v>
      </c>
      <c r="P267" s="2">
        <v>5.4960000000000004</v>
      </c>
      <c r="Q267" s="2">
        <v>25.55</v>
      </c>
      <c r="R267" s="2" t="s">
        <v>450</v>
      </c>
      <c r="T267" s="25">
        <v>12.868820120000001</v>
      </c>
      <c r="U267" s="25">
        <v>12.868820120000001</v>
      </c>
      <c r="V267" s="25">
        <v>12.868820120000001</v>
      </c>
      <c r="W267">
        <v>5.5453000000000001</v>
      </c>
      <c r="X267">
        <v>5.5453000000000001</v>
      </c>
      <c r="Y267">
        <v>25.686699999999998</v>
      </c>
      <c r="Z267">
        <v>0</v>
      </c>
      <c r="AA267"/>
      <c r="AB267"/>
      <c r="AD267">
        <v>18</v>
      </c>
      <c r="AE267" s="55">
        <f t="shared" si="14"/>
        <v>771.76370880000013</v>
      </c>
      <c r="AF267" s="57">
        <v>197.4403766939285</v>
      </c>
      <c r="AG267" s="55">
        <v>789.87506903020289</v>
      </c>
      <c r="AH267" s="55">
        <v>0</v>
      </c>
      <c r="AI267" s="52"/>
      <c r="AJ267" s="51">
        <v>9.1166762854710051E-2</v>
      </c>
      <c r="AK267" s="52">
        <v>9.1153655588092616E-2</v>
      </c>
      <c r="AL267" s="52"/>
      <c r="AM267" s="28">
        <v>1.857142857142857</v>
      </c>
      <c r="AN267" s="28">
        <v>3.1428571428571428</v>
      </c>
      <c r="AO267" s="28">
        <v>2.714285714285714</v>
      </c>
      <c r="AP267" s="28">
        <v>3</v>
      </c>
      <c r="AQ267" s="28">
        <v>0.17333333333333331</v>
      </c>
      <c r="AR267" s="28">
        <v>0.29333333333333328</v>
      </c>
      <c r="AS267" s="28">
        <v>0.25333333333333341</v>
      </c>
      <c r="AT267" s="28">
        <v>0.28000000000000003</v>
      </c>
      <c r="AU267" s="25">
        <v>1.6</v>
      </c>
      <c r="AV267" s="25">
        <v>3.44</v>
      </c>
      <c r="AW267" s="25">
        <v>1.84</v>
      </c>
      <c r="AX267" s="25">
        <v>2.895</v>
      </c>
      <c r="AY267">
        <v>2.895</v>
      </c>
      <c r="AZ267">
        <v>6.260504073571429</v>
      </c>
      <c r="BA267" s="75">
        <v>0.51995616258071919</v>
      </c>
      <c r="BB267" s="75">
        <v>0.51988140722208986</v>
      </c>
      <c r="BE267">
        <v>4.5583381427355033E-2</v>
      </c>
      <c r="BF267">
        <v>4.5576827794046308E-2</v>
      </c>
      <c r="BH267">
        <v>9.1160209221401334E-2</v>
      </c>
      <c r="BI267">
        <v>4.5580104610700667E-2</v>
      </c>
      <c r="BJ267">
        <v>0.51991878490140453</v>
      </c>
    </row>
    <row r="268" spans="1:62" x14ac:dyDescent="0.3">
      <c r="A268" s="2" t="s">
        <v>26</v>
      </c>
      <c r="B268" s="17" t="s">
        <v>879</v>
      </c>
      <c r="C268" s="13"/>
      <c r="F268" s="2">
        <v>2.91</v>
      </c>
      <c r="G268" s="2" t="s">
        <v>213</v>
      </c>
      <c r="H268" s="32" t="s">
        <v>541</v>
      </c>
      <c r="I268" s="1" t="s">
        <v>621</v>
      </c>
      <c r="J268" s="1"/>
      <c r="K268" s="1"/>
      <c r="L268" s="36">
        <v>0</v>
      </c>
      <c r="M268">
        <v>4</v>
      </c>
      <c r="N268">
        <v>0</v>
      </c>
      <c r="O268" s="1">
        <v>5.4960000000000004</v>
      </c>
      <c r="P268" s="1">
        <v>5.4960000000000004</v>
      </c>
      <c r="Q268" s="1">
        <v>25.55</v>
      </c>
      <c r="R268" s="1" t="s">
        <v>450</v>
      </c>
      <c r="T268" s="25">
        <v>0</v>
      </c>
      <c r="U268" s="25"/>
      <c r="V268" s="25"/>
      <c r="W268">
        <v>5.5453000000000001</v>
      </c>
      <c r="X268">
        <v>5.5453000000000001</v>
      </c>
      <c r="Y268">
        <v>25.686699999999998</v>
      </c>
      <c r="Z268">
        <v>0</v>
      </c>
      <c r="AA268"/>
      <c r="AB268"/>
      <c r="AD268">
        <v>18</v>
      </c>
      <c r="AE268" s="55">
        <f t="shared" si="14"/>
        <v>771.76370880000013</v>
      </c>
      <c r="AF268" s="57">
        <v>0</v>
      </c>
      <c r="AG268" s="55">
        <v>789.87506903020289</v>
      </c>
      <c r="AH268" s="55">
        <v>0</v>
      </c>
      <c r="AI268" s="52"/>
      <c r="AJ268" s="51"/>
      <c r="AK268" s="52">
        <v>9.1153655588092616E-2</v>
      </c>
      <c r="AL268" s="52"/>
      <c r="AM268" s="28">
        <v>1.8642857142857141</v>
      </c>
      <c r="AN268" s="28">
        <v>3.1428571428571428</v>
      </c>
      <c r="AO268" s="28">
        <v>2.7</v>
      </c>
      <c r="AP268" s="28">
        <v>3</v>
      </c>
      <c r="AQ268" s="28">
        <v>0.1741160773849233</v>
      </c>
      <c r="AR268" s="28">
        <v>0.29352901934623082</v>
      </c>
      <c r="AS268" s="28">
        <v>0.25216811207471651</v>
      </c>
      <c r="AT268" s="28">
        <v>0.28018679119412943</v>
      </c>
      <c r="AU268" s="25">
        <v>1.54</v>
      </c>
      <c r="AV268" s="25">
        <v>3.44</v>
      </c>
      <c r="AW268" s="25">
        <v>1.9</v>
      </c>
      <c r="AX268" s="25">
        <v>2.894571428571429</v>
      </c>
      <c r="AY268">
        <v>2.894571428571429</v>
      </c>
      <c r="AZ268">
        <v>6.2577448164285716</v>
      </c>
      <c r="BA268" s="75">
        <v>0.51995616258071919</v>
      </c>
      <c r="BB268" s="75">
        <v>0.51988140722208986</v>
      </c>
      <c r="BF268">
        <v>4.5576827794046308E-2</v>
      </c>
      <c r="BH268">
        <v>9.1153655588092616E-2</v>
      </c>
      <c r="BI268">
        <v>4.5576827794046308E-2</v>
      </c>
      <c r="BJ268">
        <v>0.51991878490140453</v>
      </c>
    </row>
    <row r="269" spans="1:62" x14ac:dyDescent="0.3">
      <c r="A269" s="2" t="s">
        <v>107</v>
      </c>
      <c r="B269" s="13" t="s">
        <v>727</v>
      </c>
      <c r="C269" s="13"/>
      <c r="F269" s="2">
        <v>3.08</v>
      </c>
      <c r="G269" s="2" t="s">
        <v>214</v>
      </c>
      <c r="H269" s="9" t="s">
        <v>555</v>
      </c>
      <c r="I269" t="s">
        <v>632</v>
      </c>
      <c r="J269"/>
      <c r="L269" s="25">
        <v>1</v>
      </c>
      <c r="M269">
        <v>4</v>
      </c>
      <c r="N269">
        <v>0</v>
      </c>
      <c r="T269" s="25">
        <v>3.86469438</v>
      </c>
      <c r="U269" s="25">
        <v>3.86469438</v>
      </c>
      <c r="V269" s="25">
        <v>16.978874730000001</v>
      </c>
      <c r="W269">
        <v>32.83</v>
      </c>
      <c r="X269">
        <v>5.4109999999999996</v>
      </c>
      <c r="Y269">
        <v>5.4480000000000004</v>
      </c>
      <c r="Z269">
        <v>0</v>
      </c>
      <c r="AA269"/>
      <c r="AB269"/>
      <c r="AD269">
        <v>24</v>
      </c>
      <c r="AE269" s="55">
        <f t="shared" si="14"/>
        <v>0</v>
      </c>
      <c r="AF269" s="57">
        <v>251.01098912285789</v>
      </c>
      <c r="AG269" s="55">
        <v>967.79977224000004</v>
      </c>
      <c r="AH269" s="55">
        <v>0</v>
      </c>
      <c r="AI269" s="52"/>
      <c r="AJ269" s="51">
        <v>9.5613343797681868E-2</v>
      </c>
      <c r="AK269" s="52">
        <v>9.919407170122109E-2</v>
      </c>
      <c r="AL269" s="52"/>
      <c r="AM269" s="28">
        <v>2</v>
      </c>
      <c r="AN269" s="28">
        <v>3.1578947368421049</v>
      </c>
      <c r="AO269" s="28">
        <v>2.4210526315789469</v>
      </c>
      <c r="AP269" s="28">
        <v>2.947368421052631</v>
      </c>
      <c r="AQ269" s="28">
        <v>0.19</v>
      </c>
      <c r="AR269" s="28">
        <v>0.3</v>
      </c>
      <c r="AS269" s="28">
        <v>0.23</v>
      </c>
      <c r="AT269" s="28">
        <v>0.28000000000000003</v>
      </c>
      <c r="AU269" s="25">
        <v>1.54</v>
      </c>
      <c r="AV269" s="25">
        <v>3.44</v>
      </c>
      <c r="AW269" s="25">
        <v>1.9</v>
      </c>
      <c r="AX269" s="25">
        <v>2.8410526315789468</v>
      </c>
      <c r="AY269">
        <v>2.8410526315789468</v>
      </c>
      <c r="AZ269">
        <v>6.1729587136842099</v>
      </c>
      <c r="BA269" s="75">
        <v>0.52818907539878324</v>
      </c>
      <c r="BB269" s="75">
        <v>0.54796980145127927</v>
      </c>
      <c r="BE269">
        <v>4.7806671898840941E-2</v>
      </c>
      <c r="BF269">
        <v>4.9597035850610538E-2</v>
      </c>
      <c r="BH269">
        <v>9.7403707749451479E-2</v>
      </c>
      <c r="BI269">
        <v>4.870185387472574E-2</v>
      </c>
      <c r="BJ269">
        <v>0.53807943842503125</v>
      </c>
    </row>
    <row r="270" spans="1:62" x14ac:dyDescent="0.3">
      <c r="A270" s="2" t="s">
        <v>215</v>
      </c>
      <c r="B270" s="13" t="s">
        <v>734</v>
      </c>
      <c r="C270" s="13"/>
      <c r="F270" s="2">
        <v>3.8</v>
      </c>
      <c r="G270" s="2" t="s">
        <v>216</v>
      </c>
      <c r="H270" s="9" t="s">
        <v>587</v>
      </c>
      <c r="I270" t="s">
        <v>636</v>
      </c>
      <c r="J270"/>
      <c r="L270" s="25">
        <v>1</v>
      </c>
      <c r="M270">
        <v>1</v>
      </c>
      <c r="N270">
        <v>0</v>
      </c>
      <c r="T270" s="25">
        <v>3.950634</v>
      </c>
      <c r="U270" s="25">
        <v>3.950634</v>
      </c>
      <c r="V270" s="25">
        <v>15.513552000000001</v>
      </c>
      <c r="W270">
        <v>3.8658999999999999</v>
      </c>
      <c r="X270">
        <v>3.8658999999999999</v>
      </c>
      <c r="Y270">
        <v>15.2538</v>
      </c>
      <c r="Z270">
        <v>0</v>
      </c>
      <c r="AA270"/>
      <c r="AB270"/>
      <c r="AD270">
        <v>20</v>
      </c>
      <c r="AE270" s="55">
        <f t="shared" si="14"/>
        <v>0</v>
      </c>
      <c r="AF270" s="57">
        <v>242.1279024923125</v>
      </c>
      <c r="AG270" s="55">
        <v>227.970829547178</v>
      </c>
      <c r="AH270" s="55">
        <v>0</v>
      </c>
      <c r="AI270" s="52"/>
      <c r="AJ270" s="51">
        <v>8.2600971611006269E-2</v>
      </c>
      <c r="AK270" s="52">
        <v>8.7730522539775438E-2</v>
      </c>
      <c r="AL270" s="52"/>
      <c r="AM270" s="28">
        <v>1.9375</v>
      </c>
      <c r="AN270" s="28">
        <v>2.5</v>
      </c>
      <c r="AO270" s="28">
        <v>0.5625</v>
      </c>
      <c r="AP270" s="28">
        <v>2.625</v>
      </c>
      <c r="AQ270" s="28">
        <v>0.25409836065573771</v>
      </c>
      <c r="AR270" s="28">
        <v>0.32786885245901642</v>
      </c>
      <c r="AS270" s="28">
        <v>7.3770491803278687E-2</v>
      </c>
      <c r="AT270" s="28">
        <v>0.34426229508196721</v>
      </c>
      <c r="AU270" s="25">
        <v>0.79</v>
      </c>
      <c r="AV270" s="25">
        <v>3.44</v>
      </c>
      <c r="AW270" s="25">
        <v>2.65</v>
      </c>
      <c r="AX270" s="25">
        <v>2.6056249999999999</v>
      </c>
      <c r="AY270">
        <v>2.6056249999999999</v>
      </c>
      <c r="AZ270">
        <v>5.9703320286696879</v>
      </c>
      <c r="BA270" s="75">
        <v>0.52453741991489755</v>
      </c>
      <c r="BB270" s="75">
        <v>0.55711138795694093</v>
      </c>
      <c r="BE270">
        <v>4.1300485805503127E-2</v>
      </c>
      <c r="BF270">
        <v>4.3865261269887712E-2</v>
      </c>
      <c r="BH270">
        <v>8.5165747075390846E-2</v>
      </c>
      <c r="BI270">
        <v>4.2582873537695423E-2</v>
      </c>
      <c r="BJ270">
        <v>0.54082440393591924</v>
      </c>
    </row>
    <row r="271" spans="1:62" x14ac:dyDescent="0.3">
      <c r="A271" s="2" t="s">
        <v>215</v>
      </c>
      <c r="B271" s="13" t="s">
        <v>734</v>
      </c>
      <c r="C271" s="13"/>
      <c r="D271" s="2" t="s">
        <v>676</v>
      </c>
      <c r="E271" s="2">
        <v>0.44</v>
      </c>
      <c r="F271" s="2">
        <v>2</v>
      </c>
      <c r="G271" s="2" t="s">
        <v>216</v>
      </c>
      <c r="H271" s="9" t="s">
        <v>587</v>
      </c>
      <c r="I271" t="s">
        <v>636</v>
      </c>
      <c r="J271"/>
      <c r="L271" s="25">
        <v>1</v>
      </c>
      <c r="M271">
        <v>1</v>
      </c>
      <c r="N271">
        <v>0</v>
      </c>
      <c r="T271" s="25">
        <v>3.950634</v>
      </c>
      <c r="U271" s="25">
        <v>3.950634</v>
      </c>
      <c r="V271" s="25">
        <v>15.513552000000001</v>
      </c>
      <c r="W271">
        <v>3.8658999999999999</v>
      </c>
      <c r="X271">
        <v>3.8658999999999999</v>
      </c>
      <c r="Y271">
        <v>15.2538</v>
      </c>
      <c r="Z271">
        <v>0</v>
      </c>
      <c r="AA271"/>
      <c r="AB271"/>
      <c r="AD271">
        <v>20</v>
      </c>
      <c r="AE271" s="55">
        <f t="shared" si="14"/>
        <v>0</v>
      </c>
      <c r="AF271" s="57">
        <v>242.1279024923125</v>
      </c>
      <c r="AG271" s="55">
        <v>227.970829547178</v>
      </c>
      <c r="AH271" s="55">
        <v>0</v>
      </c>
      <c r="AI271" s="52"/>
      <c r="AJ271" s="51">
        <v>8.2600971611006269E-2</v>
      </c>
      <c r="AK271" s="52">
        <v>8.7730522539775438E-2</v>
      </c>
      <c r="AL271" s="52"/>
      <c r="AM271" s="28">
        <v>1.9375</v>
      </c>
      <c r="AN271" s="28">
        <v>2.5</v>
      </c>
      <c r="AO271" s="28">
        <v>0.5625</v>
      </c>
      <c r="AP271" s="28">
        <v>2.625</v>
      </c>
      <c r="AQ271" s="28">
        <v>0.25409836065573771</v>
      </c>
      <c r="AR271" s="28">
        <v>0.32786885245901642</v>
      </c>
      <c r="AS271" s="28">
        <v>7.3770491803278687E-2</v>
      </c>
      <c r="AT271" s="28">
        <v>0.34426229508196721</v>
      </c>
      <c r="AU271" s="25">
        <v>0.79</v>
      </c>
      <c r="AV271" s="25">
        <v>3.44</v>
      </c>
      <c r="AW271" s="25">
        <v>2.65</v>
      </c>
      <c r="AX271" s="25">
        <v>2.6056249999999999</v>
      </c>
      <c r="AY271">
        <v>2.6056249999999999</v>
      </c>
      <c r="AZ271">
        <v>5.9703320286696879</v>
      </c>
      <c r="BA271" s="75">
        <v>0.52453741991489755</v>
      </c>
      <c r="BB271" s="75">
        <v>0.55711138795694093</v>
      </c>
      <c r="BE271">
        <v>4.1300485805503127E-2</v>
      </c>
      <c r="BF271">
        <v>4.3865261269887712E-2</v>
      </c>
      <c r="BH271">
        <v>8.5165747075390846E-2</v>
      </c>
      <c r="BI271">
        <v>4.2582873537695423E-2</v>
      </c>
      <c r="BJ271">
        <v>0.54082440393591924</v>
      </c>
    </row>
    <row r="272" spans="1:62" x14ac:dyDescent="0.3">
      <c r="A272" s="2" t="s">
        <v>217</v>
      </c>
      <c r="B272" s="13" t="s">
        <v>806</v>
      </c>
      <c r="C272" s="13"/>
      <c r="F272" s="2">
        <v>2.58</v>
      </c>
      <c r="G272" s="2" t="s">
        <v>218</v>
      </c>
      <c r="H272" s="9">
        <v>-1</v>
      </c>
      <c r="I272">
        <v>-1</v>
      </c>
      <c r="J272"/>
      <c r="K272" s="2">
        <v>1</v>
      </c>
      <c r="L272" s="25">
        <v>0</v>
      </c>
      <c r="M272">
        <v>0</v>
      </c>
      <c r="N272">
        <v>0</v>
      </c>
      <c r="O272" s="2">
        <v>3.93</v>
      </c>
      <c r="P272" s="2">
        <v>3.93</v>
      </c>
      <c r="Q272" s="2">
        <v>15.3</v>
      </c>
      <c r="T272" s="25">
        <v>0</v>
      </c>
      <c r="U272" s="25"/>
      <c r="V272" s="25"/>
      <c r="W272">
        <v>0</v>
      </c>
      <c r="X272"/>
      <c r="Y272"/>
      <c r="Z272">
        <v>0</v>
      </c>
      <c r="AA272"/>
      <c r="AB272"/>
      <c r="AD272">
        <v>20</v>
      </c>
      <c r="AE272" s="55">
        <f t="shared" si="14"/>
        <v>236.30697000000001</v>
      </c>
      <c r="AF272" s="57">
        <v>0</v>
      </c>
      <c r="AG272" s="55">
        <v>0</v>
      </c>
      <c r="AH272" s="55">
        <v>0</v>
      </c>
      <c r="AI272" s="52">
        <f t="shared" ref="AI272:AI273" si="15">K272*AD272/AE272</f>
        <v>8.4635675367510321E-2</v>
      </c>
      <c r="AJ272" s="51"/>
      <c r="AK272" s="52"/>
      <c r="AL272" s="52"/>
      <c r="AM272" s="28">
        <v>1.75</v>
      </c>
      <c r="AN272" s="28">
        <v>2.75</v>
      </c>
      <c r="AO272" s="28">
        <v>2</v>
      </c>
      <c r="AP272" s="28">
        <v>1.75</v>
      </c>
      <c r="AQ272" s="28">
        <v>0.2121212121212121</v>
      </c>
      <c r="AR272" s="28">
        <v>0.33333333333333331</v>
      </c>
      <c r="AS272" s="28">
        <v>0.2424242424242424</v>
      </c>
      <c r="AT272" s="28">
        <v>0.2121212121212121</v>
      </c>
      <c r="AU272" s="25">
        <v>1.6</v>
      </c>
      <c r="AV272" s="25">
        <v>3.44</v>
      </c>
      <c r="AW272" s="25">
        <v>1.84</v>
      </c>
      <c r="AX272" s="25">
        <v>2.8787500000000001</v>
      </c>
      <c r="AY272">
        <v>2.8787500000000001</v>
      </c>
      <c r="AZ272">
        <v>6.3662565249906873</v>
      </c>
      <c r="BD272">
        <v>4.2317837683755161E-2</v>
      </c>
      <c r="BH272">
        <v>8.4635675367510321E-2</v>
      </c>
      <c r="BI272">
        <v>4.2317837683755161E-2</v>
      </c>
      <c r="BJ272">
        <v>0</v>
      </c>
    </row>
    <row r="273" spans="1:62" x14ac:dyDescent="0.3">
      <c r="A273" s="2" t="s">
        <v>873</v>
      </c>
      <c r="B273" s="13" t="s">
        <v>874</v>
      </c>
      <c r="C273" s="13"/>
      <c r="F273" s="2">
        <v>2.29</v>
      </c>
      <c r="G273" s="2" t="s">
        <v>218</v>
      </c>
      <c r="H273" s="9">
        <v>-1</v>
      </c>
      <c r="I273">
        <v>-1</v>
      </c>
      <c r="J273"/>
      <c r="K273" s="2">
        <v>1</v>
      </c>
      <c r="L273" s="25">
        <v>0</v>
      </c>
      <c r="M273">
        <v>0</v>
      </c>
      <c r="N273">
        <v>0</v>
      </c>
      <c r="O273" s="2">
        <v>3.93</v>
      </c>
      <c r="P273" s="2">
        <v>3.93</v>
      </c>
      <c r="Q273" s="2">
        <v>15.3</v>
      </c>
      <c r="T273" s="25">
        <v>0</v>
      </c>
      <c r="U273" s="25"/>
      <c r="V273" s="25"/>
      <c r="W273">
        <v>0</v>
      </c>
      <c r="X273"/>
      <c r="Y273"/>
      <c r="Z273">
        <v>0</v>
      </c>
      <c r="AA273"/>
      <c r="AB273"/>
      <c r="AD273">
        <v>20</v>
      </c>
      <c r="AE273" s="55">
        <f t="shared" si="14"/>
        <v>236.30697000000001</v>
      </c>
      <c r="AF273" s="57">
        <v>0</v>
      </c>
      <c r="AG273" s="55">
        <v>0</v>
      </c>
      <c r="AH273" s="55">
        <v>0</v>
      </c>
      <c r="AI273" s="52">
        <f t="shared" si="15"/>
        <v>8.4635675367510321E-2</v>
      </c>
      <c r="AJ273" s="51"/>
      <c r="AK273" s="52"/>
      <c r="AL273" s="52"/>
      <c r="AM273" s="28">
        <v>1.714285714285714</v>
      </c>
      <c r="AN273" s="28">
        <v>2.6190476190476191</v>
      </c>
      <c r="AO273" s="28">
        <v>1.9285714285714279</v>
      </c>
      <c r="AP273" s="28">
        <v>1.666666666666667</v>
      </c>
      <c r="AQ273" s="28">
        <v>0.2162162162162162</v>
      </c>
      <c r="AR273" s="28">
        <v>0.33033033033033038</v>
      </c>
      <c r="AS273" s="28">
        <v>0.2432432432432432</v>
      </c>
      <c r="AT273" s="28">
        <v>0.21021021021021019</v>
      </c>
      <c r="AU273" s="25">
        <v>1.6</v>
      </c>
      <c r="AV273" s="25">
        <v>3.44</v>
      </c>
      <c r="AW273" s="25">
        <v>1.84</v>
      </c>
      <c r="AX273" s="25">
        <v>2.847857142857142</v>
      </c>
      <c r="AY273">
        <v>2.8478571428571429</v>
      </c>
      <c r="AZ273">
        <v>6.402055730936417</v>
      </c>
      <c r="BD273">
        <v>4.2317837683755161E-2</v>
      </c>
      <c r="BH273">
        <v>8.4635675367510321E-2</v>
      </c>
      <c r="BI273">
        <v>4.2317837683755161E-2</v>
      </c>
      <c r="BJ273">
        <v>0</v>
      </c>
    </row>
    <row r="274" spans="1:62" x14ac:dyDescent="0.3">
      <c r="A274" s="2" t="s">
        <v>220</v>
      </c>
      <c r="B274" s="13" t="s">
        <v>807</v>
      </c>
      <c r="C274" s="13"/>
      <c r="F274" s="2">
        <v>4.05</v>
      </c>
      <c r="G274" s="2" t="s">
        <v>219</v>
      </c>
      <c r="H274" s="9" t="s">
        <v>588</v>
      </c>
      <c r="I274" t="s">
        <v>661</v>
      </c>
      <c r="J274"/>
      <c r="L274" s="25">
        <v>1</v>
      </c>
      <c r="M274">
        <v>1</v>
      </c>
      <c r="N274">
        <v>0</v>
      </c>
      <c r="T274" s="25">
        <v>5.81978595</v>
      </c>
      <c r="U274" s="25">
        <v>5.81978595</v>
      </c>
      <c r="V274" s="25">
        <v>11.88463337</v>
      </c>
      <c r="W274">
        <v>5.7759999999999998</v>
      </c>
      <c r="X274">
        <v>5.7759999999999998</v>
      </c>
      <c r="Y274">
        <v>11.82</v>
      </c>
      <c r="Z274">
        <v>0</v>
      </c>
      <c r="AA274"/>
      <c r="AB274"/>
      <c r="AD274">
        <v>30</v>
      </c>
      <c r="AE274" s="55">
        <f t="shared" si="14"/>
        <v>0</v>
      </c>
      <c r="AF274" s="57">
        <v>348.60249769877402</v>
      </c>
      <c r="AG274" s="55">
        <v>341.5092547488552</v>
      </c>
      <c r="AH274" s="55">
        <v>0</v>
      </c>
      <c r="AI274" s="52"/>
      <c r="AJ274" s="51">
        <v>8.6057903193576313E-2</v>
      </c>
      <c r="AK274" s="52">
        <v>8.7845349965879851E-2</v>
      </c>
      <c r="AL274" s="52"/>
      <c r="AM274" s="28">
        <v>2</v>
      </c>
      <c r="AN274" s="28">
        <v>2.5</v>
      </c>
      <c r="AO274" s="28">
        <v>0.5</v>
      </c>
      <c r="AP274" s="28">
        <v>2.333333333333333</v>
      </c>
      <c r="AQ274" s="28">
        <v>0.27272727272727282</v>
      </c>
      <c r="AR274" s="28">
        <v>0.34090909090909088</v>
      </c>
      <c r="AS274" s="28">
        <v>6.8181818181818191E-2</v>
      </c>
      <c r="AT274" s="28">
        <v>0.31818181818181818</v>
      </c>
      <c r="AU274" s="25">
        <v>0.89</v>
      </c>
      <c r="AV274" s="25">
        <v>3.44</v>
      </c>
      <c r="AW274" s="25">
        <v>2.5499999999999998</v>
      </c>
      <c r="AX274" s="25">
        <v>2.5854166666666671</v>
      </c>
      <c r="AY274">
        <v>2.5854166666666671</v>
      </c>
      <c r="AZ274">
        <v>5.9262421145833333</v>
      </c>
      <c r="BA274" s="75">
        <v>0.58209579444379334</v>
      </c>
      <c r="BB274" s="75">
        <v>0.59418608726221844</v>
      </c>
      <c r="BE274">
        <v>4.3028951596788149E-2</v>
      </c>
      <c r="BF274">
        <v>4.3922674982939933E-2</v>
      </c>
      <c r="BH274">
        <v>8.6951626579728075E-2</v>
      </c>
      <c r="BI274">
        <v>4.3475813289864038E-2</v>
      </c>
      <c r="BJ274">
        <v>0.58814094085300583</v>
      </c>
    </row>
    <row r="275" spans="1:62" x14ac:dyDescent="0.3">
      <c r="A275" s="2" t="s">
        <v>220</v>
      </c>
      <c r="B275" s="13" t="s">
        <v>807</v>
      </c>
      <c r="C275" s="13"/>
      <c r="D275" s="2" t="s">
        <v>676</v>
      </c>
      <c r="E275" s="2">
        <v>0.3</v>
      </c>
      <c r="F275" s="2">
        <v>1.75</v>
      </c>
      <c r="G275" s="2" t="s">
        <v>219</v>
      </c>
      <c r="H275" s="9" t="s">
        <v>588</v>
      </c>
      <c r="I275" t="s">
        <v>661</v>
      </c>
      <c r="J275"/>
      <c r="L275" s="25">
        <v>1</v>
      </c>
      <c r="M275">
        <v>1</v>
      </c>
      <c r="N275">
        <v>0</v>
      </c>
      <c r="T275" s="25">
        <v>5.81978595</v>
      </c>
      <c r="U275" s="25">
        <v>5.81978595</v>
      </c>
      <c r="V275" s="25">
        <v>11.88463337</v>
      </c>
      <c r="W275">
        <v>5.7759999999999998</v>
      </c>
      <c r="X275">
        <v>5.7759999999999998</v>
      </c>
      <c r="Y275">
        <v>11.82</v>
      </c>
      <c r="Z275">
        <v>0</v>
      </c>
      <c r="AA275"/>
      <c r="AB275"/>
      <c r="AD275">
        <v>30</v>
      </c>
      <c r="AE275" s="55">
        <f t="shared" si="14"/>
        <v>0</v>
      </c>
      <c r="AF275" s="57">
        <v>348.60249769877402</v>
      </c>
      <c r="AG275" s="55">
        <v>341.5092547488552</v>
      </c>
      <c r="AH275" s="55">
        <v>0</v>
      </c>
      <c r="AI275" s="52"/>
      <c r="AJ275" s="51">
        <v>8.6057903193576313E-2</v>
      </c>
      <c r="AK275" s="52">
        <v>8.7845349965879851E-2</v>
      </c>
      <c r="AL275" s="52"/>
      <c r="AM275" s="28">
        <v>2</v>
      </c>
      <c r="AN275" s="28">
        <v>2.5</v>
      </c>
      <c r="AO275" s="28">
        <v>0.5</v>
      </c>
      <c r="AP275" s="28">
        <v>2.333333333333333</v>
      </c>
      <c r="AQ275" s="28">
        <v>0.27272727272727282</v>
      </c>
      <c r="AR275" s="28">
        <v>0.34090909090909088</v>
      </c>
      <c r="AS275" s="28">
        <v>6.8181818181818191E-2</v>
      </c>
      <c r="AT275" s="28">
        <v>0.31818181818181818</v>
      </c>
      <c r="AU275" s="25">
        <v>0.89</v>
      </c>
      <c r="AV275" s="25">
        <v>3.44</v>
      </c>
      <c r="AW275" s="25">
        <v>2.5499999999999998</v>
      </c>
      <c r="AX275" s="25">
        <v>2.5854166666666671</v>
      </c>
      <c r="AY275">
        <v>2.5854166666666671</v>
      </c>
      <c r="AZ275">
        <v>5.9262421145833333</v>
      </c>
      <c r="BA275" s="75">
        <v>0.58209579444379334</v>
      </c>
      <c r="BB275" s="75">
        <v>0.59418608726221844</v>
      </c>
      <c r="BE275">
        <v>4.3028951596788149E-2</v>
      </c>
      <c r="BF275">
        <v>4.3922674982939933E-2</v>
      </c>
      <c r="BH275">
        <v>8.6951626579728075E-2</v>
      </c>
      <c r="BI275">
        <v>4.3475813289864038E-2</v>
      </c>
      <c r="BJ275">
        <v>0.58814094085300583</v>
      </c>
    </row>
    <row r="276" spans="1:62" x14ac:dyDescent="0.3">
      <c r="A276" s="2" t="s">
        <v>221</v>
      </c>
      <c r="B276" s="13" t="s">
        <v>808</v>
      </c>
      <c r="C276" s="13"/>
      <c r="F276" s="2">
        <v>4.51</v>
      </c>
      <c r="G276" s="2" t="s">
        <v>222</v>
      </c>
      <c r="H276" s="9" t="s">
        <v>589</v>
      </c>
      <c r="I276">
        <v>-1</v>
      </c>
      <c r="J276"/>
      <c r="L276" s="25">
        <v>1</v>
      </c>
      <c r="M276">
        <v>0</v>
      </c>
      <c r="N276">
        <v>0</v>
      </c>
      <c r="T276" s="25">
        <v>5.6694849300000003</v>
      </c>
      <c r="U276" s="25">
        <v>5.6694842000000003</v>
      </c>
      <c r="V276" s="25">
        <v>11.54266629</v>
      </c>
      <c r="W276">
        <v>0</v>
      </c>
      <c r="X276"/>
      <c r="Y276"/>
      <c r="Z276">
        <v>0</v>
      </c>
      <c r="AA276"/>
      <c r="AB276"/>
      <c r="AD276">
        <v>30</v>
      </c>
      <c r="AE276" s="55">
        <f t="shared" si="14"/>
        <v>0</v>
      </c>
      <c r="AF276" s="57">
        <v>321.30962315738361</v>
      </c>
      <c r="AG276" s="55">
        <v>0</v>
      </c>
      <c r="AH276" s="55">
        <v>0</v>
      </c>
      <c r="AI276" s="52"/>
      <c r="AJ276" s="51">
        <v>9.3367885173191417E-2</v>
      </c>
      <c r="AK276" s="52"/>
      <c r="AL276" s="52"/>
      <c r="AM276" s="28">
        <v>2</v>
      </c>
      <c r="AN276" s="28">
        <v>2.5</v>
      </c>
      <c r="AO276" s="28">
        <v>0.5</v>
      </c>
      <c r="AP276" s="28">
        <v>2.333333333333333</v>
      </c>
      <c r="AQ276" s="28">
        <v>0.27272727272727282</v>
      </c>
      <c r="AR276" s="28">
        <v>0.34090909090909088</v>
      </c>
      <c r="AS276" s="28">
        <v>6.8181818181818191E-2</v>
      </c>
      <c r="AT276" s="28">
        <v>0.31818181818181818</v>
      </c>
      <c r="AU276" s="25">
        <v>0.95</v>
      </c>
      <c r="AV276" s="25">
        <v>3.44</v>
      </c>
      <c r="AW276" s="25">
        <v>2.4900000000000002</v>
      </c>
      <c r="AX276" s="25">
        <v>2.5979166666666669</v>
      </c>
      <c r="AY276">
        <v>2.597916666666666</v>
      </c>
      <c r="AZ276">
        <v>5.966934078125</v>
      </c>
      <c r="BA276" s="75">
        <v>0.56583721757051464</v>
      </c>
      <c r="BE276">
        <v>4.6683942586595709E-2</v>
      </c>
      <c r="BH276">
        <v>9.3367885173191417E-2</v>
      </c>
      <c r="BI276">
        <v>4.6683942586595709E-2</v>
      </c>
      <c r="BJ276">
        <v>0.56583721757051464</v>
      </c>
    </row>
    <row r="277" spans="1:62" x14ac:dyDescent="0.3">
      <c r="A277" s="2" t="s">
        <v>221</v>
      </c>
      <c r="B277" s="13" t="s">
        <v>808</v>
      </c>
      <c r="C277" s="13"/>
      <c r="D277" s="2" t="s">
        <v>676</v>
      </c>
      <c r="E277" s="2">
        <v>0.63</v>
      </c>
      <c r="F277" s="2">
        <v>2.2000000000000002</v>
      </c>
      <c r="G277" s="2" t="s">
        <v>222</v>
      </c>
      <c r="H277" s="9" t="s">
        <v>589</v>
      </c>
      <c r="I277">
        <v>-1</v>
      </c>
      <c r="J277"/>
      <c r="L277" s="25">
        <v>1</v>
      </c>
      <c r="M277">
        <v>0</v>
      </c>
      <c r="N277">
        <v>0</v>
      </c>
      <c r="T277" s="25">
        <v>5.6694849300000003</v>
      </c>
      <c r="U277" s="25">
        <v>5.6694842000000003</v>
      </c>
      <c r="V277" s="25">
        <v>11.54266629</v>
      </c>
      <c r="W277">
        <v>0</v>
      </c>
      <c r="X277"/>
      <c r="Y277"/>
      <c r="Z277">
        <v>0</v>
      </c>
      <c r="AA277"/>
      <c r="AB277"/>
      <c r="AD277">
        <v>30</v>
      </c>
      <c r="AE277" s="55">
        <f t="shared" si="14"/>
        <v>0</v>
      </c>
      <c r="AF277" s="57">
        <v>321.30962315738361</v>
      </c>
      <c r="AG277" s="55">
        <v>0</v>
      </c>
      <c r="AH277" s="55">
        <v>0</v>
      </c>
      <c r="AI277" s="52"/>
      <c r="AJ277" s="51">
        <v>9.3367885173191417E-2</v>
      </c>
      <c r="AK277" s="52"/>
      <c r="AL277" s="52"/>
      <c r="AM277" s="28">
        <v>2</v>
      </c>
      <c r="AN277" s="28">
        <v>2.5</v>
      </c>
      <c r="AO277" s="28">
        <v>0.5</v>
      </c>
      <c r="AP277" s="28">
        <v>2.333333333333333</v>
      </c>
      <c r="AQ277" s="28">
        <v>0.27272727272727282</v>
      </c>
      <c r="AR277" s="28">
        <v>0.34090909090909088</v>
      </c>
      <c r="AS277" s="28">
        <v>6.8181818181818191E-2</v>
      </c>
      <c r="AT277" s="28">
        <v>0.31818181818181818</v>
      </c>
      <c r="AU277" s="25">
        <v>0.95</v>
      </c>
      <c r="AV277" s="25">
        <v>3.44</v>
      </c>
      <c r="AW277" s="25">
        <v>2.4900000000000002</v>
      </c>
      <c r="AX277" s="25">
        <v>2.5979166666666669</v>
      </c>
      <c r="AY277">
        <v>2.597916666666666</v>
      </c>
      <c r="AZ277">
        <v>5.966934078125</v>
      </c>
      <c r="BA277" s="75">
        <v>0.56583721757051464</v>
      </c>
      <c r="BE277">
        <v>4.6683942586595709E-2</v>
      </c>
      <c r="BH277">
        <v>9.3367885173191417E-2</v>
      </c>
      <c r="BI277">
        <v>4.6683942586595709E-2</v>
      </c>
      <c r="BJ277">
        <v>0.56583721757051464</v>
      </c>
    </row>
    <row r="278" spans="1:62" x14ac:dyDescent="0.3">
      <c r="A278" s="2" t="s">
        <v>185</v>
      </c>
      <c r="B278" s="13" t="s">
        <v>729</v>
      </c>
      <c r="C278" s="13"/>
      <c r="F278" s="2">
        <v>4.2</v>
      </c>
      <c r="G278" s="2" t="s">
        <v>223</v>
      </c>
      <c r="H278" s="9" t="s">
        <v>556</v>
      </c>
      <c r="I278" t="s">
        <v>633</v>
      </c>
      <c r="J278"/>
      <c r="L278" s="25">
        <v>2</v>
      </c>
      <c r="M278">
        <v>4</v>
      </c>
      <c r="N278">
        <v>0</v>
      </c>
      <c r="T278" s="25">
        <v>13.81974189</v>
      </c>
      <c r="U278" s="25">
        <v>13.81974189</v>
      </c>
      <c r="V278" s="25">
        <v>5.7110870199999999</v>
      </c>
      <c r="W278">
        <v>3.94</v>
      </c>
      <c r="X278">
        <v>27.15</v>
      </c>
      <c r="Y278">
        <v>5.6920000000000002</v>
      </c>
      <c r="Z278">
        <v>0</v>
      </c>
      <c r="AA278"/>
      <c r="AB278"/>
      <c r="AD278">
        <v>14</v>
      </c>
      <c r="AE278" s="55">
        <f t="shared" si="14"/>
        <v>0</v>
      </c>
      <c r="AF278" s="57">
        <v>309.44138863753989</v>
      </c>
      <c r="AG278" s="55">
        <v>608.87893199999996</v>
      </c>
      <c r="AH278" s="55">
        <v>0</v>
      </c>
      <c r="AI278" s="52"/>
      <c r="AJ278" s="51">
        <v>9.0485633235046756E-2</v>
      </c>
      <c r="AK278" s="52">
        <v>9.1972306901891634E-2</v>
      </c>
      <c r="AL278" s="52"/>
      <c r="AM278" s="28">
        <v>2</v>
      </c>
      <c r="AN278" s="28">
        <v>2.545454545454545</v>
      </c>
      <c r="AO278" s="28">
        <v>0.54545454545454541</v>
      </c>
      <c r="AP278" s="28">
        <v>2.545454545454545</v>
      </c>
      <c r="AQ278" s="28">
        <v>0.26190476190476192</v>
      </c>
      <c r="AR278" s="28">
        <v>0.33333333333333331</v>
      </c>
      <c r="AS278" s="28">
        <v>7.1428571428571425E-2</v>
      </c>
      <c r="AT278" s="28">
        <v>0.33333333333333331</v>
      </c>
      <c r="AU278" s="25">
        <v>0.95</v>
      </c>
      <c r="AV278" s="25">
        <v>3.44</v>
      </c>
      <c r="AW278" s="25">
        <v>2.4900000000000002</v>
      </c>
      <c r="AX278" s="25">
        <v>2.6345454545454539</v>
      </c>
      <c r="AY278">
        <v>2.6345454545454552</v>
      </c>
      <c r="AZ278">
        <v>6.036062318181818</v>
      </c>
      <c r="BA278" s="75">
        <v>0.52932707238284982</v>
      </c>
      <c r="BB278" s="75">
        <v>0.53802388525275069</v>
      </c>
      <c r="BE278">
        <v>4.5242816617523378E-2</v>
      </c>
      <c r="BF278">
        <v>4.5986153450945817E-2</v>
      </c>
      <c r="BH278">
        <v>9.1228970068469195E-2</v>
      </c>
      <c r="BI278">
        <v>4.5614485034234598E-2</v>
      </c>
      <c r="BJ278">
        <v>0.5336754788178002</v>
      </c>
    </row>
    <row r="279" spans="1:62" x14ac:dyDescent="0.3">
      <c r="A279" s="2" t="s">
        <v>185</v>
      </c>
      <c r="B279" s="13" t="s">
        <v>729</v>
      </c>
      <c r="C279" s="13"/>
      <c r="D279" s="2" t="s">
        <v>676</v>
      </c>
      <c r="E279" s="2">
        <v>0.90500000000000003</v>
      </c>
      <c r="F279" s="2">
        <v>2.2999999999999998</v>
      </c>
      <c r="G279" s="2" t="s">
        <v>223</v>
      </c>
      <c r="H279" s="9" t="s">
        <v>556</v>
      </c>
      <c r="I279" t="s">
        <v>633</v>
      </c>
      <c r="J279"/>
      <c r="L279" s="25">
        <v>2</v>
      </c>
      <c r="M279">
        <v>4</v>
      </c>
      <c r="N279">
        <v>0</v>
      </c>
      <c r="T279" s="25">
        <v>13.81974189</v>
      </c>
      <c r="U279" s="25">
        <v>13.81974189</v>
      </c>
      <c r="V279" s="25">
        <v>5.7110870199999999</v>
      </c>
      <c r="W279">
        <v>3.94</v>
      </c>
      <c r="X279">
        <v>27.15</v>
      </c>
      <c r="Y279">
        <v>5.6920000000000002</v>
      </c>
      <c r="Z279">
        <v>0</v>
      </c>
      <c r="AA279"/>
      <c r="AB279"/>
      <c r="AD279">
        <v>14</v>
      </c>
      <c r="AE279" s="55">
        <f t="shared" si="14"/>
        <v>0</v>
      </c>
      <c r="AF279" s="57">
        <v>309.44138863753989</v>
      </c>
      <c r="AG279" s="55">
        <v>608.87893199999996</v>
      </c>
      <c r="AH279" s="55">
        <v>0</v>
      </c>
      <c r="AI279" s="52"/>
      <c r="AJ279" s="51">
        <v>9.0485633235046756E-2</v>
      </c>
      <c r="AK279" s="52">
        <v>9.1972306901891634E-2</v>
      </c>
      <c r="AL279" s="52"/>
      <c r="AM279" s="28">
        <v>2</v>
      </c>
      <c r="AN279" s="28">
        <v>2.545454545454545</v>
      </c>
      <c r="AO279" s="28">
        <v>0.54545454545454541</v>
      </c>
      <c r="AP279" s="28">
        <v>2.545454545454545</v>
      </c>
      <c r="AQ279" s="28">
        <v>0.26190476190476192</v>
      </c>
      <c r="AR279" s="28">
        <v>0.33333333333333331</v>
      </c>
      <c r="AS279" s="28">
        <v>7.1428571428571425E-2</v>
      </c>
      <c r="AT279" s="28">
        <v>0.33333333333333331</v>
      </c>
      <c r="AU279" s="25">
        <v>0.95</v>
      </c>
      <c r="AV279" s="25">
        <v>3.44</v>
      </c>
      <c r="AW279" s="25">
        <v>2.4900000000000002</v>
      </c>
      <c r="AX279" s="25">
        <v>2.6345454545454539</v>
      </c>
      <c r="AY279">
        <v>2.6345454545454552</v>
      </c>
      <c r="AZ279">
        <v>6.036062318181818</v>
      </c>
      <c r="BA279" s="75">
        <v>0.52932707238284982</v>
      </c>
      <c r="BB279" s="75">
        <v>0.53802388525275069</v>
      </c>
      <c r="BE279">
        <v>4.5242816617523378E-2</v>
      </c>
      <c r="BF279">
        <v>4.5986153450945817E-2</v>
      </c>
      <c r="BH279">
        <v>9.1228970068469195E-2</v>
      </c>
      <c r="BI279">
        <v>4.5614485034234598E-2</v>
      </c>
      <c r="BJ279">
        <v>0.5336754788178002</v>
      </c>
    </row>
    <row r="280" spans="1:62" x14ac:dyDescent="0.3">
      <c r="A280" s="2" t="s">
        <v>46</v>
      </c>
      <c r="B280" s="13" t="s">
        <v>722</v>
      </c>
      <c r="C280" s="13"/>
      <c r="F280" s="2">
        <v>3.82</v>
      </c>
      <c r="G280" s="2" t="s">
        <v>224</v>
      </c>
      <c r="H280" s="9" t="s">
        <v>551</v>
      </c>
      <c r="I280" t="s">
        <v>629</v>
      </c>
      <c r="J280"/>
      <c r="L280" s="25">
        <v>2</v>
      </c>
      <c r="M280">
        <v>4</v>
      </c>
      <c r="N280">
        <v>0</v>
      </c>
      <c r="T280" s="25">
        <v>7.41544296</v>
      </c>
      <c r="U280" s="25">
        <v>7.4154429599999991</v>
      </c>
      <c r="V280" s="25">
        <v>7.41544296</v>
      </c>
      <c r="W280">
        <v>7.8</v>
      </c>
      <c r="X280">
        <v>13.010999999999999</v>
      </c>
      <c r="Y280">
        <v>5.5460000000000003</v>
      </c>
      <c r="Z280">
        <v>0</v>
      </c>
      <c r="AA280"/>
      <c r="AB280"/>
      <c r="AD280">
        <v>14</v>
      </c>
      <c r="AE280" s="55">
        <f t="shared" si="14"/>
        <v>0</v>
      </c>
      <c r="AF280" s="57">
        <v>288.33429290182369</v>
      </c>
      <c r="AG280" s="55">
        <v>556.51188553357167</v>
      </c>
      <c r="AH280" s="55">
        <v>0</v>
      </c>
      <c r="AI280" s="52"/>
      <c r="AJ280" s="51">
        <v>9.7109503410799117E-2</v>
      </c>
      <c r="AK280" s="52">
        <v>0.10062678166578309</v>
      </c>
      <c r="AL280" s="52"/>
      <c r="AM280" s="28">
        <v>2</v>
      </c>
      <c r="AN280" s="28">
        <v>2.545454545454545</v>
      </c>
      <c r="AO280" s="28">
        <v>0.54545454545454541</v>
      </c>
      <c r="AP280" s="28">
        <v>0</v>
      </c>
      <c r="AQ280" s="28">
        <v>0.39285714285714279</v>
      </c>
      <c r="AR280" s="28">
        <v>0.5</v>
      </c>
      <c r="AS280" s="28">
        <v>0.1071428571428571</v>
      </c>
      <c r="AT280" s="28">
        <v>0</v>
      </c>
      <c r="AU280" s="25">
        <v>1.1000000000000001</v>
      </c>
      <c r="AV280" s="25">
        <v>3.44</v>
      </c>
      <c r="AW280" s="25">
        <v>2.34</v>
      </c>
      <c r="AX280" s="25">
        <v>2.669090909090909</v>
      </c>
      <c r="AY280">
        <v>2.669090909090909</v>
      </c>
      <c r="AZ280">
        <v>5.9831974772727277</v>
      </c>
      <c r="BA280" s="75">
        <v>0.52442413903612473</v>
      </c>
      <c r="BB280" s="75">
        <v>0.54341863036636606</v>
      </c>
      <c r="BE280">
        <v>4.8554751705399558E-2</v>
      </c>
      <c r="BF280">
        <v>5.0313390832891547E-2</v>
      </c>
      <c r="BH280">
        <v>9.8868142538291098E-2</v>
      </c>
      <c r="BI280">
        <v>4.9434071269145549E-2</v>
      </c>
      <c r="BJ280">
        <v>0.53392138470124539</v>
      </c>
    </row>
    <row r="281" spans="1:62" x14ac:dyDescent="0.3">
      <c r="A281" s="2" t="s">
        <v>46</v>
      </c>
      <c r="B281" s="13" t="s">
        <v>722</v>
      </c>
      <c r="C281" s="13"/>
      <c r="F281" s="2">
        <v>3.82</v>
      </c>
      <c r="G281" s="2" t="s">
        <v>225</v>
      </c>
      <c r="H281" s="9" t="s">
        <v>551</v>
      </c>
      <c r="I281" t="s">
        <v>629</v>
      </c>
      <c r="J281"/>
      <c r="L281" s="25">
        <v>2</v>
      </c>
      <c r="M281">
        <v>4</v>
      </c>
      <c r="N281">
        <v>0</v>
      </c>
      <c r="T281" s="25">
        <v>7.41544296</v>
      </c>
      <c r="U281" s="25">
        <v>7.4154429599999991</v>
      </c>
      <c r="V281" s="25">
        <v>7.41544296</v>
      </c>
      <c r="W281">
        <v>7.8</v>
      </c>
      <c r="X281">
        <v>13.010999999999999</v>
      </c>
      <c r="Y281">
        <v>5.5460000000000003</v>
      </c>
      <c r="Z281">
        <v>0</v>
      </c>
      <c r="AA281"/>
      <c r="AB281"/>
      <c r="AD281">
        <v>14</v>
      </c>
      <c r="AE281" s="55">
        <f t="shared" si="14"/>
        <v>0</v>
      </c>
      <c r="AF281" s="57">
        <v>288.33429290182369</v>
      </c>
      <c r="AG281" s="55">
        <v>556.51188553357167</v>
      </c>
      <c r="AH281" s="55">
        <v>0</v>
      </c>
      <c r="AI281" s="52"/>
      <c r="AJ281" s="51">
        <v>9.7109503410799117E-2</v>
      </c>
      <c r="AK281" s="52">
        <v>0.10062678166578309</v>
      </c>
      <c r="AL281" s="52"/>
      <c r="AM281" s="28">
        <v>2</v>
      </c>
      <c r="AN281" s="28">
        <v>2.545454545454545</v>
      </c>
      <c r="AO281" s="28">
        <v>0.54545454545454541</v>
      </c>
      <c r="AP281" s="28">
        <v>0</v>
      </c>
      <c r="AQ281" s="28">
        <v>0.39285714285714279</v>
      </c>
      <c r="AR281" s="28">
        <v>0.5</v>
      </c>
      <c r="AS281" s="28">
        <v>0.1071428571428571</v>
      </c>
      <c r="AT281" s="28">
        <v>0</v>
      </c>
      <c r="AU281" s="25">
        <v>1.1000000000000001</v>
      </c>
      <c r="AV281" s="25">
        <v>3.44</v>
      </c>
      <c r="AW281" s="25">
        <v>2.34</v>
      </c>
      <c r="AX281" s="25">
        <v>2.669090909090909</v>
      </c>
      <c r="AY281">
        <v>2.669090909090909</v>
      </c>
      <c r="AZ281">
        <v>5.9831974772727277</v>
      </c>
      <c r="BA281" s="75">
        <v>0.52442413903612473</v>
      </c>
      <c r="BB281" s="75">
        <v>0.54341863036636606</v>
      </c>
      <c r="BE281">
        <v>4.8554751705399558E-2</v>
      </c>
      <c r="BF281">
        <v>5.0313390832891547E-2</v>
      </c>
      <c r="BH281">
        <v>9.8868142538291098E-2</v>
      </c>
      <c r="BI281">
        <v>4.9434071269145549E-2</v>
      </c>
      <c r="BJ281">
        <v>0.53392138470124539</v>
      </c>
    </row>
    <row r="282" spans="1:62" x14ac:dyDescent="0.3">
      <c r="A282" s="2" t="s">
        <v>226</v>
      </c>
      <c r="B282" s="37" t="s">
        <v>938</v>
      </c>
      <c r="C282" s="13"/>
      <c r="F282" s="2">
        <v>2.6</v>
      </c>
      <c r="G282" s="2" t="s">
        <v>225</v>
      </c>
      <c r="H282" s="32" t="s">
        <v>551</v>
      </c>
      <c r="I282" s="1" t="s">
        <v>629</v>
      </c>
      <c r="J282"/>
      <c r="L282" s="25">
        <v>0</v>
      </c>
      <c r="M282">
        <v>4</v>
      </c>
      <c r="N282">
        <v>0</v>
      </c>
      <c r="O282" s="2">
        <v>-1</v>
      </c>
      <c r="T282" s="25">
        <v>0</v>
      </c>
      <c r="U282" s="25"/>
      <c r="V282" s="25"/>
      <c r="W282">
        <v>7.8</v>
      </c>
      <c r="X282">
        <v>13.010999999999999</v>
      </c>
      <c r="Y282">
        <v>5.5460000000000003</v>
      </c>
      <c r="Z282">
        <v>0</v>
      </c>
      <c r="AA282"/>
      <c r="AB282"/>
      <c r="AD282">
        <v>14</v>
      </c>
      <c r="AE282" s="55">
        <f t="shared" si="14"/>
        <v>0</v>
      </c>
      <c r="AF282" s="57">
        <v>0</v>
      </c>
      <c r="AG282" s="55">
        <v>556.51188553357167</v>
      </c>
      <c r="AH282" s="55">
        <v>0</v>
      </c>
      <c r="AI282" s="52"/>
      <c r="AJ282" s="51"/>
      <c r="AK282" s="52">
        <v>0.10062678166578309</v>
      </c>
      <c r="AL282" s="52"/>
      <c r="AM282" s="28">
        <v>2</v>
      </c>
      <c r="AN282" s="28">
        <v>2.545454545454545</v>
      </c>
      <c r="AO282" s="28">
        <v>0.55454545454545456</v>
      </c>
      <c r="AP282" s="28">
        <v>0</v>
      </c>
      <c r="AQ282" s="28">
        <v>0.39215686274509798</v>
      </c>
      <c r="AR282" s="28">
        <v>0.49910873440285197</v>
      </c>
      <c r="AS282" s="28">
        <v>0.1087344028520499</v>
      </c>
      <c r="AT282" s="28">
        <v>0</v>
      </c>
      <c r="AU282" s="25">
        <v>1.1000000000000001</v>
      </c>
      <c r="AV282" s="25">
        <v>3.44</v>
      </c>
      <c r="AW282" s="25">
        <v>2.34</v>
      </c>
      <c r="AX282" s="25">
        <v>2.670418181818182</v>
      </c>
      <c r="AY282">
        <v>2.670418181818182</v>
      </c>
      <c r="AZ282">
        <v>5.9849440756727272</v>
      </c>
      <c r="BA282" s="75">
        <v>0.52442413903612473</v>
      </c>
      <c r="BB282" s="75">
        <v>0.54341863036636606</v>
      </c>
      <c r="BF282">
        <v>5.0313390832891547E-2</v>
      </c>
      <c r="BH282">
        <v>0.10062678166578309</v>
      </c>
      <c r="BI282">
        <v>5.0313390832891547E-2</v>
      </c>
      <c r="BJ282">
        <v>0.53392138470124539</v>
      </c>
    </row>
    <row r="283" spans="1:62" x14ac:dyDescent="0.3">
      <c r="A283" s="2" t="s">
        <v>227</v>
      </c>
      <c r="B283" s="17" t="s">
        <v>939</v>
      </c>
      <c r="C283" s="13"/>
      <c r="F283" s="2">
        <v>2.2000000000000002</v>
      </c>
      <c r="G283" s="2" t="s">
        <v>225</v>
      </c>
      <c r="H283" s="32" t="s">
        <v>551</v>
      </c>
      <c r="I283" s="1" t="s">
        <v>629</v>
      </c>
      <c r="J283"/>
      <c r="L283" s="25">
        <v>0</v>
      </c>
      <c r="M283">
        <v>4</v>
      </c>
      <c r="N283">
        <v>0</v>
      </c>
      <c r="O283" s="2">
        <v>-1</v>
      </c>
      <c r="T283" s="25">
        <v>0</v>
      </c>
      <c r="U283" s="25"/>
      <c r="V283" s="25"/>
      <c r="W283">
        <v>7.8</v>
      </c>
      <c r="X283">
        <v>13.010999999999999</v>
      </c>
      <c r="Y283">
        <v>5.5460000000000003</v>
      </c>
      <c r="Z283">
        <v>0</v>
      </c>
      <c r="AA283"/>
      <c r="AB283"/>
      <c r="AD283">
        <v>14</v>
      </c>
      <c r="AE283" s="55">
        <f t="shared" si="14"/>
        <v>0</v>
      </c>
      <c r="AF283" s="57">
        <v>0</v>
      </c>
      <c r="AG283" s="55">
        <v>556.51188553357167</v>
      </c>
      <c r="AH283" s="55">
        <v>0</v>
      </c>
      <c r="AI283" s="52"/>
      <c r="AJ283" s="51"/>
      <c r="AK283" s="52">
        <v>0.10062678166578309</v>
      </c>
      <c r="AL283" s="52"/>
      <c r="AM283" s="28">
        <v>1.9981818181818181</v>
      </c>
      <c r="AN283" s="28">
        <v>2.545454545454545</v>
      </c>
      <c r="AO283" s="28">
        <v>0.55272727272727273</v>
      </c>
      <c r="AP283" s="28">
        <v>0</v>
      </c>
      <c r="AQ283" s="28">
        <v>0.39207991437745271</v>
      </c>
      <c r="AR283" s="28">
        <v>0.49946485907955762</v>
      </c>
      <c r="AS283" s="28">
        <v>0.1084552265429897</v>
      </c>
      <c r="AT283" s="28">
        <v>0</v>
      </c>
      <c r="AU283" s="25">
        <v>1.1000000000000001</v>
      </c>
      <c r="AV283" s="25">
        <v>3.44</v>
      </c>
      <c r="AW283" s="25">
        <v>2.34</v>
      </c>
      <c r="AX283" s="25">
        <v>2.670109090909091</v>
      </c>
      <c r="AY283">
        <v>2.670109090909091</v>
      </c>
      <c r="AZ283">
        <v>5.9843864818181816</v>
      </c>
      <c r="BA283" s="75">
        <v>0.52442413903612473</v>
      </c>
      <c r="BB283" s="75">
        <v>0.54341863036636606</v>
      </c>
      <c r="BF283">
        <v>5.0313390832891547E-2</v>
      </c>
      <c r="BH283">
        <v>0.10062678166578309</v>
      </c>
      <c r="BI283">
        <v>5.0313390832891547E-2</v>
      </c>
      <c r="BJ283">
        <v>0.53392138470124539</v>
      </c>
    </row>
    <row r="284" spans="1:62" x14ac:dyDescent="0.3">
      <c r="A284" s="2" t="s">
        <v>49</v>
      </c>
      <c r="B284" s="13" t="s">
        <v>725</v>
      </c>
      <c r="C284" s="13"/>
      <c r="F284" s="2">
        <v>4</v>
      </c>
      <c r="G284" s="2" t="s">
        <v>228</v>
      </c>
      <c r="H284" s="9" t="s">
        <v>553</v>
      </c>
      <c r="I284" t="s">
        <v>631</v>
      </c>
      <c r="J284"/>
      <c r="L284" s="25">
        <v>8</v>
      </c>
      <c r="M284">
        <v>8</v>
      </c>
      <c r="N284">
        <v>0</v>
      </c>
      <c r="T284" s="25">
        <v>5.8017180100000001</v>
      </c>
      <c r="U284" s="25">
        <v>7.9756520899999996</v>
      </c>
      <c r="V284" s="25">
        <v>27.352093400000001</v>
      </c>
      <c r="W284">
        <v>26.646989999999999</v>
      </c>
      <c r="X284">
        <v>7.9359999999999999</v>
      </c>
      <c r="Y284">
        <v>5.7050000000000001</v>
      </c>
      <c r="Z284">
        <v>0</v>
      </c>
      <c r="AA284"/>
      <c r="AB284"/>
      <c r="AD284">
        <v>14</v>
      </c>
      <c r="AE284" s="55">
        <f t="shared" si="14"/>
        <v>0</v>
      </c>
      <c r="AF284" s="57">
        <v>1265.6493143942739</v>
      </c>
      <c r="AG284" s="55">
        <v>1206.4392746112001</v>
      </c>
      <c r="AH284" s="55">
        <v>0</v>
      </c>
      <c r="AI284" s="52"/>
      <c r="AJ284" s="51">
        <v>8.8492127105210025E-2</v>
      </c>
      <c r="AK284" s="52">
        <v>9.2835174017436004E-2</v>
      </c>
      <c r="AL284" s="52"/>
      <c r="AM284" s="28">
        <v>1.8181818181818179</v>
      </c>
      <c r="AN284" s="28">
        <v>2.545454545454545</v>
      </c>
      <c r="AO284" s="28">
        <v>0.72727272727272729</v>
      </c>
      <c r="AP284" s="28">
        <v>0</v>
      </c>
      <c r="AQ284" s="28">
        <v>0.35714285714285721</v>
      </c>
      <c r="AR284" s="28">
        <v>0.5</v>
      </c>
      <c r="AS284" s="28">
        <v>0.1428571428571429</v>
      </c>
      <c r="AT284" s="28">
        <v>0</v>
      </c>
      <c r="AU284" s="25">
        <v>0.95</v>
      </c>
      <c r="AV284" s="25">
        <v>3.44</v>
      </c>
      <c r="AW284" s="25">
        <v>2.4900000000000002</v>
      </c>
      <c r="AX284" s="25">
        <v>2.6527272727272719</v>
      </c>
      <c r="AY284">
        <v>2.6527272727272728</v>
      </c>
      <c r="AZ284">
        <v>6.0182046818181814</v>
      </c>
      <c r="BA284" s="75">
        <v>0.5176653673612065</v>
      </c>
      <c r="BB284" s="75">
        <v>0.54307152550012683</v>
      </c>
      <c r="BE284">
        <v>4.4246063552605013E-2</v>
      </c>
      <c r="BF284">
        <v>4.6417587008717988E-2</v>
      </c>
      <c r="BH284">
        <v>9.0663650561323014E-2</v>
      </c>
      <c r="BI284">
        <v>4.53318252806615E-2</v>
      </c>
      <c r="BJ284">
        <v>0.53036844643066661</v>
      </c>
    </row>
    <row r="285" spans="1:62" x14ac:dyDescent="0.3">
      <c r="A285" s="2" t="s">
        <v>46</v>
      </c>
      <c r="B285" s="13" t="s">
        <v>722</v>
      </c>
      <c r="C285" s="13"/>
      <c r="F285" s="2">
        <v>3.9</v>
      </c>
      <c r="G285" s="2" t="s">
        <v>229</v>
      </c>
      <c r="H285" s="12" t="s">
        <v>551</v>
      </c>
      <c r="I285" t="s">
        <v>629</v>
      </c>
      <c r="J285"/>
      <c r="L285" s="25">
        <v>2</v>
      </c>
      <c r="M285">
        <v>4</v>
      </c>
      <c r="N285">
        <v>0</v>
      </c>
      <c r="T285" s="25">
        <v>7.41544296</v>
      </c>
      <c r="U285" s="25">
        <v>7.4154429599999991</v>
      </c>
      <c r="V285" s="25">
        <v>7.41544296</v>
      </c>
      <c r="W285">
        <v>7.8</v>
      </c>
      <c r="X285">
        <v>13.010999999999999</v>
      </c>
      <c r="Y285">
        <v>5.5460000000000003</v>
      </c>
      <c r="Z285">
        <v>0</v>
      </c>
      <c r="AA285"/>
      <c r="AB285"/>
      <c r="AD285">
        <v>14</v>
      </c>
      <c r="AE285" s="55">
        <f t="shared" si="14"/>
        <v>0</v>
      </c>
      <c r="AF285" s="57">
        <v>288.33429290182369</v>
      </c>
      <c r="AG285" s="55">
        <v>556.51188553357167</v>
      </c>
      <c r="AH285" s="55">
        <v>0</v>
      </c>
      <c r="AI285" s="52"/>
      <c r="AJ285" s="51">
        <v>9.7109503410799117E-2</v>
      </c>
      <c r="AK285" s="52">
        <v>0.10062678166578309</v>
      </c>
      <c r="AL285" s="52"/>
      <c r="AM285" s="28">
        <v>2</v>
      </c>
      <c r="AN285" s="28">
        <v>2.545454545454545</v>
      </c>
      <c r="AO285" s="28">
        <v>0.54545454545454541</v>
      </c>
      <c r="AP285" s="28">
        <v>0</v>
      </c>
      <c r="AQ285" s="28">
        <v>0.39285714285714279</v>
      </c>
      <c r="AR285" s="28">
        <v>0.5</v>
      </c>
      <c r="AS285" s="28">
        <v>0.1071428571428571</v>
      </c>
      <c r="AT285" s="28">
        <v>0</v>
      </c>
      <c r="AU285" s="25">
        <v>1.1000000000000001</v>
      </c>
      <c r="AV285" s="25">
        <v>3.44</v>
      </c>
      <c r="AW285" s="25">
        <v>2.34</v>
      </c>
      <c r="AX285" s="25">
        <v>2.669090909090909</v>
      </c>
      <c r="AY285">
        <v>2.669090909090909</v>
      </c>
      <c r="AZ285">
        <v>5.9831974772727277</v>
      </c>
      <c r="BA285" s="75">
        <v>0.52442413903612473</v>
      </c>
      <c r="BB285" s="75">
        <v>0.54341863036636606</v>
      </c>
      <c r="BE285">
        <v>4.8554751705399558E-2</v>
      </c>
      <c r="BF285">
        <v>5.0313390832891547E-2</v>
      </c>
      <c r="BH285">
        <v>9.8868142538291098E-2</v>
      </c>
      <c r="BI285">
        <v>4.9434071269145549E-2</v>
      </c>
      <c r="BJ285">
        <v>0.53392138470124539</v>
      </c>
    </row>
    <row r="286" spans="1:62" x14ac:dyDescent="0.3">
      <c r="A286" s="2" t="s">
        <v>46</v>
      </c>
      <c r="B286" s="13" t="s">
        <v>722</v>
      </c>
      <c r="C286" s="13"/>
      <c r="D286" s="2" t="s">
        <v>890</v>
      </c>
      <c r="E286" s="2">
        <v>0.42</v>
      </c>
      <c r="F286" s="2">
        <v>3.78</v>
      </c>
      <c r="G286" s="2" t="s">
        <v>229</v>
      </c>
      <c r="H286" s="12" t="s">
        <v>551</v>
      </c>
      <c r="I286" t="s">
        <v>629</v>
      </c>
      <c r="J286"/>
      <c r="L286" s="25">
        <v>2</v>
      </c>
      <c r="M286">
        <v>4</v>
      </c>
      <c r="N286">
        <v>0</v>
      </c>
      <c r="T286" s="25">
        <v>7.41544296</v>
      </c>
      <c r="U286" s="25">
        <v>7.4154429599999991</v>
      </c>
      <c r="V286" s="25">
        <v>7.41544296</v>
      </c>
      <c r="W286">
        <v>7.8</v>
      </c>
      <c r="X286">
        <v>13.010999999999999</v>
      </c>
      <c r="Y286">
        <v>5.5460000000000003</v>
      </c>
      <c r="Z286">
        <v>0</v>
      </c>
      <c r="AA286"/>
      <c r="AB286"/>
      <c r="AD286">
        <v>14</v>
      </c>
      <c r="AE286" s="55">
        <f t="shared" si="14"/>
        <v>0</v>
      </c>
      <c r="AF286" s="57">
        <v>288.33429290182369</v>
      </c>
      <c r="AG286" s="55">
        <v>556.51188553357167</v>
      </c>
      <c r="AH286" s="55">
        <v>0</v>
      </c>
      <c r="AI286" s="52"/>
      <c r="AJ286" s="51">
        <v>9.7109503410799117E-2</v>
      </c>
      <c r="AK286" s="52">
        <v>0.10062678166578309</v>
      </c>
      <c r="AL286" s="52"/>
      <c r="AM286" s="28">
        <v>2</v>
      </c>
      <c r="AN286" s="28">
        <v>2.545454545454545</v>
      </c>
      <c r="AO286" s="28">
        <v>0.54545454545454541</v>
      </c>
      <c r="AP286" s="28">
        <v>0</v>
      </c>
      <c r="AQ286" s="28">
        <v>0.39285714285714279</v>
      </c>
      <c r="AR286" s="28">
        <v>0.5</v>
      </c>
      <c r="AS286" s="28">
        <v>0.1071428571428571</v>
      </c>
      <c r="AT286" s="28">
        <v>0</v>
      </c>
      <c r="AU286" s="25">
        <v>1.1000000000000001</v>
      </c>
      <c r="AV286" s="25">
        <v>3.44</v>
      </c>
      <c r="AW286" s="25">
        <v>2.34</v>
      </c>
      <c r="AX286" s="25">
        <v>2.669090909090909</v>
      </c>
      <c r="AY286">
        <v>2.669090909090909</v>
      </c>
      <c r="AZ286">
        <v>5.9831974772727277</v>
      </c>
      <c r="BA286" s="75">
        <v>0.52442413903612473</v>
      </c>
      <c r="BB286" s="75">
        <v>0.54341863036636606</v>
      </c>
      <c r="BE286">
        <v>4.8554751705399558E-2</v>
      </c>
      <c r="BF286">
        <v>5.0313390832891547E-2</v>
      </c>
      <c r="BH286">
        <v>9.8868142538291098E-2</v>
      </c>
      <c r="BI286">
        <v>4.9434071269145549E-2</v>
      </c>
      <c r="BJ286">
        <v>0.53392138470124539</v>
      </c>
    </row>
    <row r="287" spans="1:62" x14ac:dyDescent="0.3">
      <c r="A287" s="2" t="s">
        <v>44</v>
      </c>
      <c r="B287" s="13" t="s">
        <v>720</v>
      </c>
      <c r="C287" s="13"/>
      <c r="F287" s="2">
        <v>3.5</v>
      </c>
      <c r="G287" s="7" t="s">
        <v>230</v>
      </c>
      <c r="H287" s="12" t="s">
        <v>549</v>
      </c>
      <c r="I287">
        <v>-1</v>
      </c>
      <c r="J287"/>
      <c r="K287" s="7"/>
      <c r="L287" s="25">
        <v>1</v>
      </c>
      <c r="M287">
        <v>0</v>
      </c>
      <c r="N287">
        <v>0</v>
      </c>
      <c r="T287" s="25">
        <v>15.28115725</v>
      </c>
      <c r="U287" s="25">
        <v>15.28115725</v>
      </c>
      <c r="V287" s="25">
        <v>15.28115725</v>
      </c>
      <c r="W287">
        <v>0</v>
      </c>
      <c r="X287"/>
      <c r="Y287"/>
      <c r="Z287">
        <v>0</v>
      </c>
      <c r="AA287"/>
      <c r="AB287"/>
      <c r="AD287">
        <v>20</v>
      </c>
      <c r="AE287" s="55">
        <f t="shared" si="14"/>
        <v>0</v>
      </c>
      <c r="AF287" s="57">
        <v>229.90248606119221</v>
      </c>
      <c r="AG287" s="55">
        <v>0</v>
      </c>
      <c r="AH287" s="55">
        <v>0</v>
      </c>
      <c r="AI287" s="52"/>
      <c r="AJ287" s="51">
        <v>8.6993404650164072E-2</v>
      </c>
      <c r="AK287" s="52"/>
      <c r="AL287" s="52"/>
      <c r="AM287" s="28">
        <v>1.882352941176471</v>
      </c>
      <c r="AN287" s="28">
        <v>2.3529411764705879</v>
      </c>
      <c r="AO287" s="28">
        <v>0.47058823529411759</v>
      </c>
      <c r="AP287" s="28">
        <v>0</v>
      </c>
      <c r="AQ287" s="28">
        <v>0.4</v>
      </c>
      <c r="AR287" s="28">
        <v>0.5</v>
      </c>
      <c r="AS287" s="28">
        <v>9.9999999999999992E-2</v>
      </c>
      <c r="AT287" s="28">
        <v>0</v>
      </c>
      <c r="AU287" s="25">
        <v>0.82</v>
      </c>
      <c r="AV287" s="25">
        <v>3.44</v>
      </c>
      <c r="AW287" s="25">
        <v>2.62</v>
      </c>
      <c r="AX287" s="25">
        <v>2.5211764705882351</v>
      </c>
      <c r="AY287">
        <v>2.521176470588236</v>
      </c>
      <c r="AZ287">
        <v>5.6898745917647062</v>
      </c>
      <c r="BA287" s="75">
        <v>0.57369840599679445</v>
      </c>
      <c r="BE287">
        <v>4.3496702325082043E-2</v>
      </c>
      <c r="BH287">
        <v>8.6993404650164072E-2</v>
      </c>
      <c r="BI287">
        <v>4.3496702325082043E-2</v>
      </c>
      <c r="BJ287">
        <v>0.57369840599679445</v>
      </c>
    </row>
    <row r="288" spans="1:62" x14ac:dyDescent="0.3">
      <c r="A288" s="2" t="s">
        <v>44</v>
      </c>
      <c r="B288" s="13" t="s">
        <v>720</v>
      </c>
      <c r="C288" s="13"/>
      <c r="D288" s="2" t="s">
        <v>875</v>
      </c>
      <c r="E288" s="2" t="s">
        <v>1067</v>
      </c>
      <c r="F288" s="2">
        <v>3.06</v>
      </c>
      <c r="G288" s="7" t="s">
        <v>230</v>
      </c>
      <c r="H288" s="12" t="s">
        <v>549</v>
      </c>
      <c r="I288">
        <v>-1</v>
      </c>
      <c r="J288"/>
      <c r="K288" s="7"/>
      <c r="L288" s="25">
        <v>1</v>
      </c>
      <c r="M288">
        <v>0</v>
      </c>
      <c r="N288">
        <v>0</v>
      </c>
      <c r="T288" s="25">
        <v>15.28115725</v>
      </c>
      <c r="U288" s="25">
        <v>15.28115725</v>
      </c>
      <c r="V288" s="25">
        <v>15.28115725</v>
      </c>
      <c r="W288">
        <v>0</v>
      </c>
      <c r="X288"/>
      <c r="Y288"/>
      <c r="Z288">
        <v>0</v>
      </c>
      <c r="AA288"/>
      <c r="AB288"/>
      <c r="AD288">
        <v>20</v>
      </c>
      <c r="AE288" s="55">
        <f t="shared" si="14"/>
        <v>0</v>
      </c>
      <c r="AF288" s="57">
        <v>229.90248606119221</v>
      </c>
      <c r="AG288" s="55">
        <v>0</v>
      </c>
      <c r="AH288" s="55">
        <v>0</v>
      </c>
      <c r="AI288" s="52"/>
      <c r="AJ288" s="51">
        <v>8.6993404650164072E-2</v>
      </c>
      <c r="AK288" s="52"/>
      <c r="AL288" s="52"/>
      <c r="AM288" s="28">
        <v>1.882352941176471</v>
      </c>
      <c r="AN288" s="28">
        <v>2.3529411764705879</v>
      </c>
      <c r="AO288" s="28">
        <v>0.47058823529411759</v>
      </c>
      <c r="AP288" s="28">
        <v>0</v>
      </c>
      <c r="AQ288" s="28">
        <v>0.4</v>
      </c>
      <c r="AR288" s="28">
        <v>0.5</v>
      </c>
      <c r="AS288" s="28">
        <v>9.9999999999999992E-2</v>
      </c>
      <c r="AT288" s="28">
        <v>0</v>
      </c>
      <c r="AU288" s="25">
        <v>0.82</v>
      </c>
      <c r="AV288" s="25">
        <v>3.44</v>
      </c>
      <c r="AW288" s="25">
        <v>2.62</v>
      </c>
      <c r="AX288" s="25">
        <v>2.5211764705882351</v>
      </c>
      <c r="AY288">
        <v>2.521176470588236</v>
      </c>
      <c r="AZ288">
        <v>5.6898745917647062</v>
      </c>
      <c r="BA288" s="75">
        <v>0.57369840599679445</v>
      </c>
      <c r="BE288">
        <v>4.3496702325082043E-2</v>
      </c>
      <c r="BH288">
        <v>8.6993404650164072E-2</v>
      </c>
      <c r="BI288">
        <v>4.3496702325082043E-2</v>
      </c>
      <c r="BJ288">
        <v>0.57369840599679445</v>
      </c>
    </row>
    <row r="289" spans="1:62" x14ac:dyDescent="0.3">
      <c r="A289" s="2" t="s">
        <v>8</v>
      </c>
      <c r="B289" s="13" t="s">
        <v>694</v>
      </c>
      <c r="C289" s="13"/>
      <c r="F289" s="2">
        <v>3.26</v>
      </c>
      <c r="G289" s="2" t="s">
        <v>231</v>
      </c>
      <c r="H289" s="9" t="s">
        <v>530</v>
      </c>
      <c r="I289" t="s">
        <v>612</v>
      </c>
      <c r="J289"/>
      <c r="L289" s="25">
        <v>30</v>
      </c>
      <c r="M289">
        <v>4</v>
      </c>
      <c r="N289">
        <v>0</v>
      </c>
      <c r="T289" s="25">
        <v>10.59112378</v>
      </c>
      <c r="U289" s="25">
        <v>10.784736629999999</v>
      </c>
      <c r="V289" s="25">
        <v>10.486176179999999</v>
      </c>
      <c r="W289">
        <v>3.73</v>
      </c>
      <c r="X289">
        <v>3.73</v>
      </c>
      <c r="Y289">
        <v>9.3699999999999992</v>
      </c>
      <c r="Z289">
        <v>0</v>
      </c>
      <c r="AA289"/>
      <c r="AB289"/>
      <c r="AD289">
        <v>4</v>
      </c>
      <c r="AE289" s="55">
        <f t="shared" si="14"/>
        <v>0</v>
      </c>
      <c r="AF289" s="57">
        <v>1182.741260108548</v>
      </c>
      <c r="AG289" s="55">
        <v>130.36387300000001</v>
      </c>
      <c r="AH289" s="55">
        <v>0</v>
      </c>
      <c r="AI289" s="52"/>
      <c r="AJ289" s="51">
        <v>0.1014592151701775</v>
      </c>
      <c r="AK289" s="52">
        <v>0.1227333894874388</v>
      </c>
      <c r="AL289" s="52"/>
      <c r="AM289" s="28">
        <v>2</v>
      </c>
      <c r="AN289" s="28">
        <v>2.666666666666667</v>
      </c>
      <c r="AO289" s="28">
        <v>0.66666666666666663</v>
      </c>
      <c r="AP289" s="28">
        <v>0</v>
      </c>
      <c r="AQ289" s="28">
        <v>0.375</v>
      </c>
      <c r="AR289" s="28">
        <v>0.5</v>
      </c>
      <c r="AS289" s="28">
        <v>0.125</v>
      </c>
      <c r="AT289" s="28">
        <v>0</v>
      </c>
      <c r="AU289" s="25">
        <v>1.54</v>
      </c>
      <c r="AV289" s="25">
        <v>3.44</v>
      </c>
      <c r="AW289" s="25">
        <v>1.9</v>
      </c>
      <c r="AX289" s="25">
        <v>2.8066666666666671</v>
      </c>
      <c r="AY289">
        <v>2.8066666666666662</v>
      </c>
      <c r="AZ289">
        <v>6.1769976</v>
      </c>
      <c r="BA289" s="75">
        <v>0.46900407026869628</v>
      </c>
      <c r="BB289" s="75">
        <v>0.56734579634715776</v>
      </c>
      <c r="BE289">
        <v>5.072960758508873E-2</v>
      </c>
      <c r="BF289">
        <v>6.136669474371937E-2</v>
      </c>
      <c r="BH289">
        <v>0.1120963023288082</v>
      </c>
      <c r="BI289">
        <v>5.604815116440405E-2</v>
      </c>
      <c r="BJ289">
        <v>0.51817493330792708</v>
      </c>
    </row>
    <row r="290" spans="1:62" x14ac:dyDescent="0.3">
      <c r="A290" s="2" t="s">
        <v>153</v>
      </c>
      <c r="B290" s="13" t="s">
        <v>775</v>
      </c>
      <c r="C290" s="13"/>
      <c r="F290" s="2">
        <v>3.1</v>
      </c>
      <c r="G290" s="2" t="s">
        <v>231</v>
      </c>
      <c r="H290" s="9" t="s">
        <v>578</v>
      </c>
      <c r="I290">
        <v>-1</v>
      </c>
      <c r="J290"/>
      <c r="L290" s="25">
        <v>1</v>
      </c>
      <c r="M290">
        <v>0</v>
      </c>
      <c r="N290">
        <v>0</v>
      </c>
      <c r="T290" s="25">
        <v>3.9263319999999999</v>
      </c>
      <c r="U290" s="25">
        <v>3.9263319999999999</v>
      </c>
      <c r="V290" s="25">
        <v>10.74639</v>
      </c>
      <c r="W290">
        <v>0</v>
      </c>
      <c r="X290"/>
      <c r="Y290"/>
      <c r="Z290">
        <v>0</v>
      </c>
      <c r="AA290"/>
      <c r="AB290"/>
      <c r="AD290">
        <v>14</v>
      </c>
      <c r="AE290" s="55">
        <f t="shared" si="14"/>
        <v>0</v>
      </c>
      <c r="AF290" s="57">
        <v>165.66723991337099</v>
      </c>
      <c r="AG290" s="55">
        <v>0</v>
      </c>
      <c r="AH290" s="55">
        <v>0</v>
      </c>
      <c r="AI290" s="52"/>
      <c r="AJ290" s="51">
        <v>8.4506749839743392E-2</v>
      </c>
      <c r="AK290" s="52"/>
      <c r="AL290" s="52"/>
      <c r="AM290" s="28">
        <v>1.7272727272727271</v>
      </c>
      <c r="AN290" s="28">
        <v>2.545454545454545</v>
      </c>
      <c r="AO290" s="28">
        <v>0.81818181818181823</v>
      </c>
      <c r="AP290" s="28">
        <v>0</v>
      </c>
      <c r="AQ290" s="28">
        <v>0.3392857142857143</v>
      </c>
      <c r="AR290" s="28">
        <v>0.5</v>
      </c>
      <c r="AS290" s="28">
        <v>0.1607142857142857</v>
      </c>
      <c r="AT290" s="28">
        <v>0</v>
      </c>
      <c r="AU290" s="25">
        <v>1.1000000000000001</v>
      </c>
      <c r="AV290" s="25">
        <v>3.44</v>
      </c>
      <c r="AW290" s="25">
        <v>2.34</v>
      </c>
      <c r="AX290" s="25">
        <v>2.78</v>
      </c>
      <c r="AY290">
        <v>2.78</v>
      </c>
      <c r="AZ290">
        <v>6.4270052227137269</v>
      </c>
      <c r="BA290" s="75">
        <v>0.41874886813759421</v>
      </c>
      <c r="BE290">
        <v>4.2253374919871717E-2</v>
      </c>
      <c r="BH290">
        <v>8.4506749839743392E-2</v>
      </c>
      <c r="BI290">
        <v>4.2253374919871717E-2</v>
      </c>
      <c r="BJ290">
        <v>0.41874886813759421</v>
      </c>
    </row>
    <row r="291" spans="1:62" x14ac:dyDescent="0.3">
      <c r="A291" s="2" t="s">
        <v>153</v>
      </c>
      <c r="B291" s="13" t="s">
        <v>775</v>
      </c>
      <c r="C291" s="13"/>
      <c r="D291" s="2" t="s">
        <v>863</v>
      </c>
      <c r="E291" s="2">
        <v>0.8</v>
      </c>
      <c r="F291" s="2">
        <v>3.1</v>
      </c>
      <c r="G291" s="2" t="s">
        <v>231</v>
      </c>
      <c r="H291" s="9" t="s">
        <v>578</v>
      </c>
      <c r="I291">
        <v>-1</v>
      </c>
      <c r="J291"/>
      <c r="L291" s="25">
        <v>1</v>
      </c>
      <c r="M291">
        <v>0</v>
      </c>
      <c r="N291">
        <v>0</v>
      </c>
      <c r="T291" s="25">
        <v>3.9263319999999999</v>
      </c>
      <c r="U291" s="25">
        <v>3.9263319999999999</v>
      </c>
      <c r="V291" s="25">
        <v>10.74639</v>
      </c>
      <c r="W291">
        <v>0</v>
      </c>
      <c r="X291"/>
      <c r="Y291"/>
      <c r="Z291">
        <v>0</v>
      </c>
      <c r="AA291"/>
      <c r="AB291"/>
      <c r="AD291">
        <v>14</v>
      </c>
      <c r="AE291" s="55">
        <f t="shared" si="14"/>
        <v>0</v>
      </c>
      <c r="AF291" s="57">
        <v>165.66723991337099</v>
      </c>
      <c r="AG291" s="55">
        <v>0</v>
      </c>
      <c r="AH291" s="55">
        <v>0</v>
      </c>
      <c r="AI291" s="52"/>
      <c r="AJ291" s="51">
        <v>8.4506749839743392E-2</v>
      </c>
      <c r="AK291" s="52"/>
      <c r="AL291" s="52"/>
      <c r="AM291" s="28">
        <v>1.7272727272727271</v>
      </c>
      <c r="AN291" s="28">
        <v>2.545454545454545</v>
      </c>
      <c r="AO291" s="28">
        <v>0.81818181818181823</v>
      </c>
      <c r="AP291" s="28">
        <v>0</v>
      </c>
      <c r="AQ291" s="28">
        <v>0.3392857142857143</v>
      </c>
      <c r="AR291" s="28">
        <v>0.5</v>
      </c>
      <c r="AS291" s="28">
        <v>0.1607142857142857</v>
      </c>
      <c r="AT291" s="28">
        <v>0</v>
      </c>
      <c r="AU291" s="25">
        <v>1.1000000000000001</v>
      </c>
      <c r="AV291" s="25">
        <v>3.44</v>
      </c>
      <c r="AW291" s="25">
        <v>2.34</v>
      </c>
      <c r="AX291" s="25">
        <v>2.78</v>
      </c>
      <c r="AY291">
        <v>2.78</v>
      </c>
      <c r="AZ291">
        <v>6.4270052227137269</v>
      </c>
      <c r="BA291" s="75">
        <v>0.41874886813759421</v>
      </c>
      <c r="BE291">
        <v>4.2253374919871717E-2</v>
      </c>
      <c r="BH291">
        <v>8.4506749839743392E-2</v>
      </c>
      <c r="BI291">
        <v>4.2253374919871717E-2</v>
      </c>
      <c r="BJ291">
        <v>0.41874886813759421</v>
      </c>
    </row>
    <row r="292" spans="1:62" x14ac:dyDescent="0.3">
      <c r="A292" s="2" t="s">
        <v>153</v>
      </c>
      <c r="B292" s="13" t="s">
        <v>775</v>
      </c>
      <c r="C292" s="13"/>
      <c r="D292" s="2" t="s">
        <v>8</v>
      </c>
      <c r="E292" s="2">
        <v>4.3</v>
      </c>
      <c r="F292" s="2">
        <v>3.1</v>
      </c>
      <c r="G292" s="2" t="s">
        <v>231</v>
      </c>
      <c r="H292" s="9" t="s">
        <v>578</v>
      </c>
      <c r="I292">
        <v>-1</v>
      </c>
      <c r="J292"/>
      <c r="L292" s="25">
        <v>1</v>
      </c>
      <c r="M292">
        <v>0</v>
      </c>
      <c r="N292">
        <v>0</v>
      </c>
      <c r="T292" s="25">
        <v>3.9263319999999999</v>
      </c>
      <c r="U292" s="25">
        <v>3.9263319999999999</v>
      </c>
      <c r="V292" s="25">
        <v>10.74639</v>
      </c>
      <c r="W292">
        <v>0</v>
      </c>
      <c r="X292"/>
      <c r="Y292"/>
      <c r="Z292">
        <v>0</v>
      </c>
      <c r="AA292"/>
      <c r="AB292"/>
      <c r="AD292">
        <v>14</v>
      </c>
      <c r="AE292" s="55">
        <f t="shared" si="14"/>
        <v>0</v>
      </c>
      <c r="AF292" s="57">
        <v>165.66723991337099</v>
      </c>
      <c r="AG292" s="55">
        <v>0</v>
      </c>
      <c r="AH292" s="55">
        <v>0</v>
      </c>
      <c r="AI292" s="52"/>
      <c r="AJ292" s="51">
        <v>8.4506749839743392E-2</v>
      </c>
      <c r="AK292" s="52"/>
      <c r="AL292" s="52"/>
      <c r="AM292" s="28">
        <v>1.7272727272727271</v>
      </c>
      <c r="AN292" s="28">
        <v>2.545454545454545</v>
      </c>
      <c r="AO292" s="28">
        <v>0.81818181818181823</v>
      </c>
      <c r="AP292" s="28">
        <v>0</v>
      </c>
      <c r="AQ292" s="28">
        <v>0.3392857142857143</v>
      </c>
      <c r="AR292" s="28">
        <v>0.5</v>
      </c>
      <c r="AS292" s="28">
        <v>0.1607142857142857</v>
      </c>
      <c r="AT292" s="28">
        <v>0</v>
      </c>
      <c r="AU292" s="25">
        <v>1.1000000000000001</v>
      </c>
      <c r="AV292" s="25">
        <v>3.44</v>
      </c>
      <c r="AW292" s="25">
        <v>2.34</v>
      </c>
      <c r="AX292" s="25">
        <v>2.78</v>
      </c>
      <c r="AY292">
        <v>2.78</v>
      </c>
      <c r="AZ292">
        <v>6.4270052227137269</v>
      </c>
      <c r="BA292" s="75">
        <v>0.41874886813759421</v>
      </c>
      <c r="BE292">
        <v>4.2253374919871717E-2</v>
      </c>
      <c r="BH292">
        <v>8.4506749839743392E-2</v>
      </c>
      <c r="BI292">
        <v>4.2253374919871717E-2</v>
      </c>
      <c r="BJ292">
        <v>0.41874886813759421</v>
      </c>
    </row>
    <row r="293" spans="1:62" x14ac:dyDescent="0.3">
      <c r="A293" s="2" t="s">
        <v>63</v>
      </c>
      <c r="B293" s="13" t="s">
        <v>773</v>
      </c>
      <c r="C293" s="13"/>
      <c r="F293" s="2">
        <v>3.66</v>
      </c>
      <c r="G293" s="2" t="s">
        <v>233</v>
      </c>
      <c r="H293" s="9">
        <v>-1</v>
      </c>
      <c r="I293">
        <v>-1</v>
      </c>
      <c r="J293"/>
      <c r="K293" s="2">
        <v>1</v>
      </c>
      <c r="L293" s="25">
        <v>0</v>
      </c>
      <c r="M293">
        <v>0</v>
      </c>
      <c r="N293">
        <v>0</v>
      </c>
      <c r="O293" s="2">
        <v>3.85</v>
      </c>
      <c r="P293" s="2">
        <v>3.85</v>
      </c>
      <c r="Q293" s="2">
        <v>14.379</v>
      </c>
      <c r="T293" s="25">
        <v>0</v>
      </c>
      <c r="U293" s="25"/>
      <c r="V293" s="25"/>
      <c r="W293">
        <v>0</v>
      </c>
      <c r="X293"/>
      <c r="Y293"/>
      <c r="Z293">
        <v>0</v>
      </c>
      <c r="AA293"/>
      <c r="AB293"/>
      <c r="AD293">
        <v>20</v>
      </c>
      <c r="AE293" s="55">
        <f t="shared" si="14"/>
        <v>213.13272750000002</v>
      </c>
      <c r="AF293" s="57">
        <v>0</v>
      </c>
      <c r="AG293" s="55">
        <v>0</v>
      </c>
      <c r="AH293" s="55">
        <v>0</v>
      </c>
      <c r="AI293" s="52">
        <f t="shared" ref="AI293:AI296" si="16">K293*AD293/AE293</f>
        <v>9.3838239835784945E-2</v>
      </c>
      <c r="AJ293" s="51"/>
      <c r="AK293" s="52"/>
      <c r="AL293" s="52"/>
      <c r="AM293" s="28">
        <v>1.75</v>
      </c>
      <c r="AN293" s="28">
        <v>2.5</v>
      </c>
      <c r="AO293" s="28">
        <v>0.75</v>
      </c>
      <c r="AP293" s="28">
        <v>0</v>
      </c>
      <c r="AQ293" s="28">
        <v>0.35</v>
      </c>
      <c r="AR293" s="28">
        <v>0.5</v>
      </c>
      <c r="AS293" s="28">
        <v>0.15</v>
      </c>
      <c r="AT293" s="28">
        <v>0</v>
      </c>
      <c r="AU293" s="25">
        <v>1</v>
      </c>
      <c r="AV293" s="25">
        <v>3.44</v>
      </c>
      <c r="AW293" s="25">
        <v>2.44</v>
      </c>
      <c r="AX293" s="25">
        <v>2.7124999999999999</v>
      </c>
      <c r="AY293">
        <v>2.7124999999999999</v>
      </c>
      <c r="AZ293">
        <v>6.264025610615688</v>
      </c>
      <c r="BD293">
        <v>4.6919119917892473E-2</v>
      </c>
      <c r="BH293">
        <v>9.3838239835784945E-2</v>
      </c>
      <c r="BI293">
        <v>4.6919119917892473E-2</v>
      </c>
      <c r="BJ293">
        <v>0</v>
      </c>
    </row>
    <row r="294" spans="1:62" x14ac:dyDescent="0.3">
      <c r="A294" s="2" t="s">
        <v>232</v>
      </c>
      <c r="B294" s="13" t="s">
        <v>809</v>
      </c>
      <c r="C294" s="13"/>
      <c r="F294" s="2">
        <v>3.65</v>
      </c>
      <c r="G294" s="2" t="s">
        <v>233</v>
      </c>
      <c r="H294" s="9">
        <v>-1</v>
      </c>
      <c r="I294">
        <v>-1</v>
      </c>
      <c r="J294"/>
      <c r="K294" s="2">
        <v>1</v>
      </c>
      <c r="L294" s="25">
        <v>0</v>
      </c>
      <c r="M294">
        <v>0</v>
      </c>
      <c r="N294">
        <v>0</v>
      </c>
      <c r="O294" s="1">
        <v>3.85</v>
      </c>
      <c r="P294" s="1">
        <v>3.85</v>
      </c>
      <c r="Q294" s="1">
        <v>14.379</v>
      </c>
      <c r="T294" s="25">
        <v>0</v>
      </c>
      <c r="U294" s="25"/>
      <c r="V294" s="25"/>
      <c r="W294">
        <v>0</v>
      </c>
      <c r="X294"/>
      <c r="Y294"/>
      <c r="Z294">
        <v>0</v>
      </c>
      <c r="AA294"/>
      <c r="AB294"/>
      <c r="AD294">
        <v>20</v>
      </c>
      <c r="AE294" s="55">
        <f t="shared" si="14"/>
        <v>213.13272750000002</v>
      </c>
      <c r="AF294" s="57">
        <v>0</v>
      </c>
      <c r="AG294" s="55">
        <v>0</v>
      </c>
      <c r="AH294" s="55">
        <v>0</v>
      </c>
      <c r="AI294" s="52">
        <f t="shared" si="16"/>
        <v>9.3838239835784945E-2</v>
      </c>
      <c r="AJ294" s="51"/>
      <c r="AK294" s="52"/>
      <c r="AL294" s="52"/>
      <c r="AM294" s="28">
        <v>1.8125</v>
      </c>
      <c r="AN294" s="28">
        <v>2.5</v>
      </c>
      <c r="AO294" s="28">
        <v>0.6875</v>
      </c>
      <c r="AP294" s="28">
        <v>0.875</v>
      </c>
      <c r="AQ294" s="28">
        <v>0.30851063829787229</v>
      </c>
      <c r="AR294" s="28">
        <v>0.42553191489361702</v>
      </c>
      <c r="AS294" s="28">
        <v>0.1170212765957447</v>
      </c>
      <c r="AT294" s="28">
        <v>0.14893617021276601</v>
      </c>
      <c r="AU294" s="25">
        <v>1</v>
      </c>
      <c r="AV294" s="25">
        <v>3.44</v>
      </c>
      <c r="AW294" s="25">
        <v>2.44</v>
      </c>
      <c r="AX294" s="25">
        <v>2.7062499999999998</v>
      </c>
      <c r="AY294">
        <v>2.7062499999999998</v>
      </c>
      <c r="AZ294">
        <v>6.2701641731156874</v>
      </c>
      <c r="BD294">
        <v>4.6919119917892473E-2</v>
      </c>
      <c r="BH294">
        <v>9.3838239835784945E-2</v>
      </c>
      <c r="BI294">
        <v>4.6919119917892473E-2</v>
      </c>
      <c r="BJ294">
        <v>0</v>
      </c>
    </row>
    <row r="295" spans="1:62" x14ac:dyDescent="0.3">
      <c r="A295" s="2" t="s">
        <v>63</v>
      </c>
      <c r="B295" s="13" t="s">
        <v>773</v>
      </c>
      <c r="C295" s="13"/>
      <c r="D295" s="2" t="s">
        <v>887</v>
      </c>
      <c r="E295" s="2" t="s">
        <v>1067</v>
      </c>
      <c r="F295" s="2">
        <v>3.54</v>
      </c>
      <c r="G295" s="2" t="s">
        <v>233</v>
      </c>
      <c r="H295" s="9">
        <v>-1</v>
      </c>
      <c r="I295">
        <v>-1</v>
      </c>
      <c r="J295"/>
      <c r="K295" s="2">
        <v>1</v>
      </c>
      <c r="L295" s="25">
        <v>0</v>
      </c>
      <c r="M295">
        <v>0</v>
      </c>
      <c r="N295">
        <v>0</v>
      </c>
      <c r="O295" s="1">
        <v>3.85</v>
      </c>
      <c r="P295" s="1">
        <v>3.85</v>
      </c>
      <c r="Q295" s="1">
        <v>14.379</v>
      </c>
      <c r="T295" s="25">
        <v>0</v>
      </c>
      <c r="U295" s="25"/>
      <c r="V295" s="25"/>
      <c r="W295">
        <v>0</v>
      </c>
      <c r="X295"/>
      <c r="Y295"/>
      <c r="Z295">
        <v>0</v>
      </c>
      <c r="AA295"/>
      <c r="AB295"/>
      <c r="AD295">
        <v>20</v>
      </c>
      <c r="AE295" s="55">
        <f t="shared" si="14"/>
        <v>213.13272750000002</v>
      </c>
      <c r="AF295" s="57">
        <v>0</v>
      </c>
      <c r="AG295" s="55">
        <v>0</v>
      </c>
      <c r="AH295" s="55">
        <v>0</v>
      </c>
      <c r="AI295" s="52">
        <f t="shared" si="16"/>
        <v>9.3838239835784945E-2</v>
      </c>
      <c r="AJ295" s="51"/>
      <c r="AK295" s="52"/>
      <c r="AL295" s="52"/>
      <c r="AM295" s="28">
        <v>1.75</v>
      </c>
      <c r="AN295" s="28">
        <v>2.5</v>
      </c>
      <c r="AO295" s="28">
        <v>0.75</v>
      </c>
      <c r="AP295" s="28">
        <v>0</v>
      </c>
      <c r="AQ295" s="28">
        <v>0.35</v>
      </c>
      <c r="AR295" s="28">
        <v>0.5</v>
      </c>
      <c r="AS295" s="28">
        <v>0.15</v>
      </c>
      <c r="AT295" s="28">
        <v>0</v>
      </c>
      <c r="AU295" s="25">
        <v>1</v>
      </c>
      <c r="AV295" s="25">
        <v>3.44</v>
      </c>
      <c r="AW295" s="25">
        <v>2.44</v>
      </c>
      <c r="AX295" s="25">
        <v>2.7124999999999999</v>
      </c>
      <c r="AY295">
        <v>2.7124999999999999</v>
      </c>
      <c r="AZ295">
        <v>6.264025610615688</v>
      </c>
      <c r="BD295">
        <v>4.6919119917892473E-2</v>
      </c>
      <c r="BH295">
        <v>9.3838239835784945E-2</v>
      </c>
      <c r="BI295">
        <v>4.6919119917892473E-2</v>
      </c>
      <c r="BJ295">
        <v>0</v>
      </c>
    </row>
    <row r="296" spans="1:62" x14ac:dyDescent="0.3">
      <c r="A296" s="2" t="s">
        <v>232</v>
      </c>
      <c r="B296" s="13" t="s">
        <v>809</v>
      </c>
      <c r="C296" s="13"/>
      <c r="D296" s="2" t="s">
        <v>887</v>
      </c>
      <c r="E296" s="2" t="s">
        <v>1067</v>
      </c>
      <c r="F296" s="2">
        <v>3.54</v>
      </c>
      <c r="G296" s="2" t="s">
        <v>233</v>
      </c>
      <c r="H296" s="9">
        <v>-1</v>
      </c>
      <c r="I296">
        <v>-1</v>
      </c>
      <c r="J296"/>
      <c r="K296" s="2">
        <v>1</v>
      </c>
      <c r="L296" s="25">
        <v>0</v>
      </c>
      <c r="M296">
        <v>0</v>
      </c>
      <c r="N296">
        <v>0</v>
      </c>
      <c r="O296" s="1">
        <v>3.85</v>
      </c>
      <c r="P296" s="1">
        <v>3.85</v>
      </c>
      <c r="Q296" s="1">
        <v>14.379</v>
      </c>
      <c r="T296" s="25">
        <v>0</v>
      </c>
      <c r="U296" s="25"/>
      <c r="V296" s="25"/>
      <c r="W296">
        <v>0</v>
      </c>
      <c r="X296"/>
      <c r="Y296"/>
      <c r="Z296">
        <v>0</v>
      </c>
      <c r="AA296"/>
      <c r="AB296"/>
      <c r="AD296">
        <v>20</v>
      </c>
      <c r="AE296" s="55">
        <f t="shared" si="14"/>
        <v>213.13272750000002</v>
      </c>
      <c r="AF296" s="57">
        <v>0</v>
      </c>
      <c r="AG296" s="55">
        <v>0</v>
      </c>
      <c r="AH296" s="55">
        <v>0</v>
      </c>
      <c r="AI296" s="52">
        <f t="shared" si="16"/>
        <v>9.3838239835784945E-2</v>
      </c>
      <c r="AJ296" s="51"/>
      <c r="AK296" s="52"/>
      <c r="AL296" s="52"/>
      <c r="AM296" s="28">
        <v>1.8125</v>
      </c>
      <c r="AN296" s="28">
        <v>2.5</v>
      </c>
      <c r="AO296" s="28">
        <v>0.6875</v>
      </c>
      <c r="AP296" s="28">
        <v>0.875</v>
      </c>
      <c r="AQ296" s="28">
        <v>0.30851063829787229</v>
      </c>
      <c r="AR296" s="28">
        <v>0.42553191489361702</v>
      </c>
      <c r="AS296" s="28">
        <v>0.1170212765957447</v>
      </c>
      <c r="AT296" s="28">
        <v>0.14893617021276601</v>
      </c>
      <c r="AU296" s="25">
        <v>1</v>
      </c>
      <c r="AV296" s="25">
        <v>3.44</v>
      </c>
      <c r="AW296" s="25">
        <v>2.44</v>
      </c>
      <c r="AX296" s="25">
        <v>2.7062499999999998</v>
      </c>
      <c r="AY296">
        <v>2.7062499999999998</v>
      </c>
      <c r="AZ296">
        <v>6.2701641731156874</v>
      </c>
      <c r="BD296">
        <v>4.6919119917892473E-2</v>
      </c>
      <c r="BH296">
        <v>9.3838239835784945E-2</v>
      </c>
      <c r="BI296">
        <v>4.6919119917892473E-2</v>
      </c>
      <c r="BJ296">
        <v>0</v>
      </c>
    </row>
    <row r="297" spans="1:62" x14ac:dyDescent="0.3">
      <c r="A297" s="2" t="s">
        <v>46</v>
      </c>
      <c r="B297" s="13" t="s">
        <v>722</v>
      </c>
      <c r="C297" s="13"/>
      <c r="F297" s="2">
        <v>3.87</v>
      </c>
      <c r="G297" s="2" t="s">
        <v>234</v>
      </c>
      <c r="H297" s="9" t="s">
        <v>551</v>
      </c>
      <c r="I297" t="s">
        <v>629</v>
      </c>
      <c r="J297"/>
      <c r="L297" s="25">
        <v>2</v>
      </c>
      <c r="M297">
        <v>4</v>
      </c>
      <c r="N297">
        <v>0</v>
      </c>
      <c r="T297" s="25">
        <v>7.41544296</v>
      </c>
      <c r="U297" s="25">
        <v>7.4154429599999991</v>
      </c>
      <c r="V297" s="25">
        <v>7.41544296</v>
      </c>
      <c r="W297">
        <v>7.8</v>
      </c>
      <c r="X297">
        <v>13.010999999999999</v>
      </c>
      <c r="Y297">
        <v>5.5460000000000003</v>
      </c>
      <c r="Z297">
        <v>0</v>
      </c>
      <c r="AA297"/>
      <c r="AB297"/>
      <c r="AD297">
        <v>14</v>
      </c>
      <c r="AE297" s="55">
        <f t="shared" si="14"/>
        <v>0</v>
      </c>
      <c r="AF297" s="57">
        <v>288.33429290182369</v>
      </c>
      <c r="AG297" s="55">
        <v>556.51188553357167</v>
      </c>
      <c r="AH297" s="55">
        <v>0</v>
      </c>
      <c r="AI297" s="52"/>
      <c r="AJ297" s="51">
        <v>9.7109503410799117E-2</v>
      </c>
      <c r="AK297" s="52">
        <v>0.10062678166578309</v>
      </c>
      <c r="AL297" s="52"/>
      <c r="AM297" s="28">
        <v>2</v>
      </c>
      <c r="AN297" s="28">
        <v>2.545454545454545</v>
      </c>
      <c r="AO297" s="28">
        <v>0.54545454545454541</v>
      </c>
      <c r="AP297" s="28">
        <v>0</v>
      </c>
      <c r="AQ297" s="28">
        <v>0.39285714285714279</v>
      </c>
      <c r="AR297" s="28">
        <v>0.5</v>
      </c>
      <c r="AS297" s="28">
        <v>0.1071428571428571</v>
      </c>
      <c r="AT297" s="28">
        <v>0</v>
      </c>
      <c r="AU297" s="25">
        <v>1.1000000000000001</v>
      </c>
      <c r="AV297" s="25">
        <v>3.44</v>
      </c>
      <c r="AW297" s="25">
        <v>2.34</v>
      </c>
      <c r="AX297" s="25">
        <v>2.669090909090909</v>
      </c>
      <c r="AY297">
        <v>2.669090909090909</v>
      </c>
      <c r="AZ297">
        <v>5.9831974772727277</v>
      </c>
      <c r="BA297" s="75">
        <v>0.52442413903612473</v>
      </c>
      <c r="BB297" s="75">
        <v>0.54341863036636606</v>
      </c>
      <c r="BE297">
        <v>4.8554751705399558E-2</v>
      </c>
      <c r="BF297">
        <v>5.0313390832891547E-2</v>
      </c>
      <c r="BH297">
        <v>9.8868142538291098E-2</v>
      </c>
      <c r="BI297">
        <v>4.9434071269145549E-2</v>
      </c>
      <c r="BJ297">
        <v>0.53392138470124539</v>
      </c>
    </row>
    <row r="298" spans="1:62" x14ac:dyDescent="0.3">
      <c r="A298" s="5" t="s">
        <v>19</v>
      </c>
      <c r="B298" s="38" t="s">
        <v>705</v>
      </c>
      <c r="C298" s="39"/>
      <c r="D298" s="5"/>
      <c r="E298" s="5"/>
      <c r="F298" s="5">
        <v>3.53</v>
      </c>
      <c r="G298" s="5" t="s">
        <v>235</v>
      </c>
      <c r="H298" s="40">
        <v>-2</v>
      </c>
      <c r="I298" s="5" t="s">
        <v>1167</v>
      </c>
      <c r="J298" s="5"/>
      <c r="K298" s="5"/>
      <c r="L298" s="41">
        <v>0</v>
      </c>
      <c r="M298">
        <v>0</v>
      </c>
      <c r="N298">
        <v>4</v>
      </c>
      <c r="O298" s="5"/>
      <c r="P298" s="5"/>
      <c r="Q298" s="5"/>
      <c r="R298" s="5" t="s">
        <v>450</v>
      </c>
      <c r="S298" s="5"/>
      <c r="T298" s="41">
        <v>0</v>
      </c>
      <c r="U298" s="41"/>
      <c r="V298" s="41"/>
      <c r="W298">
        <v>0</v>
      </c>
      <c r="X298"/>
      <c r="Y298"/>
      <c r="Z298">
        <v>24.8627</v>
      </c>
      <c r="AA298">
        <v>5.4355000000000002</v>
      </c>
      <c r="AB298">
        <v>5.4478</v>
      </c>
      <c r="AC298" s="5"/>
      <c r="AD298" s="5">
        <v>18</v>
      </c>
      <c r="AE298" s="55">
        <f t="shared" si="14"/>
        <v>0</v>
      </c>
      <c r="AF298" s="57">
        <v>0</v>
      </c>
      <c r="AG298" s="55">
        <v>0</v>
      </c>
      <c r="AH298" s="55">
        <f t="shared" ref="AH298:AH303" si="17">Z298*AA298*AB298</f>
        <v>736.22226122963002</v>
      </c>
      <c r="AI298" s="52"/>
      <c r="AJ298" s="51"/>
      <c r="AK298" s="52"/>
      <c r="AL298" s="67">
        <f t="shared" ref="AL298:AL303" si="18">N298*AD298/AH298</f>
        <v>9.7796553828386576E-2</v>
      </c>
      <c r="AM298" s="5">
        <v>1.8666666666666669</v>
      </c>
      <c r="AN298" s="5">
        <v>2.8</v>
      </c>
      <c r="AO298" s="5">
        <v>1.8666666666666669</v>
      </c>
      <c r="AP298" s="5">
        <v>1.8666666666666669</v>
      </c>
      <c r="AQ298" s="5">
        <v>0.22222222222222221</v>
      </c>
      <c r="AR298" s="5">
        <v>0.33333333333333331</v>
      </c>
      <c r="AS298" s="5">
        <v>0.22222222222222221</v>
      </c>
      <c r="AT298" s="5">
        <v>0.22222222222222221</v>
      </c>
      <c r="AU298" s="41">
        <v>1</v>
      </c>
      <c r="AV298" s="41">
        <v>3.44</v>
      </c>
      <c r="AW298" s="41">
        <v>2.44</v>
      </c>
      <c r="AX298" s="41">
        <v>2.68</v>
      </c>
      <c r="AY298" s="5">
        <v>2.68</v>
      </c>
      <c r="AZ298" s="5">
        <v>5.9932041966666656</v>
      </c>
      <c r="BG298">
        <v>4.8898276914193288E-2</v>
      </c>
      <c r="BH298">
        <v>9.7796553828386576E-2</v>
      </c>
      <c r="BI298">
        <v>4.8898276914193288E-2</v>
      </c>
      <c r="BJ298">
        <v>0</v>
      </c>
    </row>
    <row r="299" spans="1:62" x14ac:dyDescent="0.3">
      <c r="A299" s="5" t="s">
        <v>20</v>
      </c>
      <c r="B299" s="38" t="s">
        <v>706</v>
      </c>
      <c r="C299" s="39"/>
      <c r="D299" s="5"/>
      <c r="E299" s="5"/>
      <c r="F299" s="5">
        <v>3.42</v>
      </c>
      <c r="G299" s="5" t="s">
        <v>235</v>
      </c>
      <c r="H299" s="40">
        <v>-2</v>
      </c>
      <c r="I299" s="5" t="s">
        <v>1168</v>
      </c>
      <c r="J299" s="5"/>
      <c r="K299" s="5"/>
      <c r="L299" s="41">
        <v>0</v>
      </c>
      <c r="M299">
        <v>0</v>
      </c>
      <c r="N299">
        <v>4</v>
      </c>
      <c r="O299" s="5"/>
      <c r="P299" s="5"/>
      <c r="Q299" s="5"/>
      <c r="R299" s="5" t="s">
        <v>450</v>
      </c>
      <c r="S299" s="5"/>
      <c r="T299" s="41">
        <v>0</v>
      </c>
      <c r="U299" s="41"/>
      <c r="V299" s="41"/>
      <c r="W299">
        <v>0</v>
      </c>
      <c r="X299"/>
      <c r="Y299"/>
      <c r="Z299">
        <v>24.556999999999999</v>
      </c>
      <c r="AA299">
        <v>5.5289999999999999</v>
      </c>
      <c r="AB299">
        <v>5.5289999999999999</v>
      </c>
      <c r="AC299" s="5"/>
      <c r="AD299" s="5">
        <v>18</v>
      </c>
      <c r="AE299" s="55">
        <f t="shared" si="14"/>
        <v>0</v>
      </c>
      <c r="AF299" s="57">
        <v>0</v>
      </c>
      <c r="AG299" s="55">
        <v>0</v>
      </c>
      <c r="AH299" s="55">
        <f t="shared" si="17"/>
        <v>750.7035854369999</v>
      </c>
      <c r="AI299" s="52"/>
      <c r="AJ299" s="51"/>
      <c r="AK299" s="52"/>
      <c r="AL299" s="67">
        <f t="shared" si="18"/>
        <v>9.5910025470422294E-2</v>
      </c>
      <c r="AM299" s="5">
        <v>1.8666666666666669</v>
      </c>
      <c r="AN299" s="5">
        <v>2.8</v>
      </c>
      <c r="AO299" s="5">
        <v>1.8666666666666669</v>
      </c>
      <c r="AP299" s="5">
        <v>1.8666666666666669</v>
      </c>
      <c r="AQ299" s="5">
        <v>0.22222222222222221</v>
      </c>
      <c r="AR299" s="5">
        <v>0.33333333333333331</v>
      </c>
      <c r="AS299" s="5">
        <v>0.22222222222222221</v>
      </c>
      <c r="AT299" s="5">
        <v>0.22222222222222221</v>
      </c>
      <c r="AU299" s="41">
        <v>0.95</v>
      </c>
      <c r="AV299" s="41">
        <v>3.44</v>
      </c>
      <c r="AW299" s="41">
        <v>2.4900000000000002</v>
      </c>
      <c r="AX299" s="41">
        <v>2.6733333333333329</v>
      </c>
      <c r="AY299" s="5">
        <v>2.6733333333333329</v>
      </c>
      <c r="AZ299" s="5">
        <v>5.9671526619999993</v>
      </c>
      <c r="BG299">
        <v>4.7955012735211147E-2</v>
      </c>
      <c r="BH299">
        <v>9.5910025470422294E-2</v>
      </c>
      <c r="BI299">
        <v>4.7955012735211147E-2</v>
      </c>
      <c r="BJ299">
        <v>0</v>
      </c>
    </row>
    <row r="300" spans="1:62" x14ac:dyDescent="0.3">
      <c r="A300" s="5" t="s">
        <v>21</v>
      </c>
      <c r="B300" s="38" t="s">
        <v>707</v>
      </c>
      <c r="C300" s="39"/>
      <c r="D300" s="5"/>
      <c r="E300" s="5"/>
      <c r="F300" s="5">
        <v>2.82</v>
      </c>
      <c r="G300" s="5" t="s">
        <v>235</v>
      </c>
      <c r="H300" s="40">
        <v>-2</v>
      </c>
      <c r="I300" s="5" t="s">
        <v>1169</v>
      </c>
      <c r="J300" s="5"/>
      <c r="K300" s="5"/>
      <c r="L300" s="41">
        <v>0</v>
      </c>
      <c r="M300">
        <v>0</v>
      </c>
      <c r="N300">
        <v>4</v>
      </c>
      <c r="O300" s="5"/>
      <c r="P300" s="5"/>
      <c r="Q300" s="5"/>
      <c r="R300" s="5" t="s">
        <v>440</v>
      </c>
      <c r="S300" s="5"/>
      <c r="T300" s="41">
        <v>0</v>
      </c>
      <c r="U300" s="41"/>
      <c r="V300" s="41"/>
      <c r="W300">
        <v>0</v>
      </c>
      <c r="X300"/>
      <c r="Y300"/>
      <c r="Z300">
        <v>25.574999999999999</v>
      </c>
      <c r="AA300">
        <v>5.5629999999999997</v>
      </c>
      <c r="AB300">
        <v>5.5629999999999997</v>
      </c>
      <c r="AC300" s="5"/>
      <c r="AD300" s="5">
        <v>18</v>
      </c>
      <c r="AE300" s="55">
        <f t="shared" si="14"/>
        <v>0</v>
      </c>
      <c r="AF300" s="57">
        <v>0</v>
      </c>
      <c r="AG300" s="55">
        <v>0</v>
      </c>
      <c r="AH300" s="55">
        <f t="shared" si="17"/>
        <v>791.4687321749999</v>
      </c>
      <c r="AI300" s="52"/>
      <c r="AJ300" s="51"/>
      <c r="AK300" s="52"/>
      <c r="AL300" s="67">
        <f t="shared" si="18"/>
        <v>9.0970112997565952E-2</v>
      </c>
      <c r="AM300" s="5">
        <v>1.8666666666666669</v>
      </c>
      <c r="AN300" s="5">
        <v>2.8</v>
      </c>
      <c r="AO300" s="5">
        <v>1.8666666666666669</v>
      </c>
      <c r="AP300" s="5">
        <v>1.8666666666666669</v>
      </c>
      <c r="AQ300" s="5">
        <v>0.22222222222222221</v>
      </c>
      <c r="AR300" s="5">
        <v>0.33333333333333331</v>
      </c>
      <c r="AS300" s="5">
        <v>0.22222222222222221</v>
      </c>
      <c r="AT300" s="5">
        <v>0.22222222222222221</v>
      </c>
      <c r="AU300" s="41">
        <v>0.89</v>
      </c>
      <c r="AV300" s="41">
        <v>3.44</v>
      </c>
      <c r="AW300" s="41">
        <v>2.5499999999999998</v>
      </c>
      <c r="AX300" s="41">
        <v>2.6653333333333342</v>
      </c>
      <c r="AY300" s="5">
        <v>2.6653333333333329</v>
      </c>
      <c r="AZ300" s="5">
        <v>5.9411098053333333</v>
      </c>
      <c r="BG300">
        <v>4.5485056498782983E-2</v>
      </c>
      <c r="BH300">
        <v>9.0970112997565952E-2</v>
      </c>
      <c r="BI300">
        <v>4.5485056498782983E-2</v>
      </c>
      <c r="BJ300">
        <v>0</v>
      </c>
    </row>
    <row r="301" spans="1:62" x14ac:dyDescent="0.3">
      <c r="A301" s="2" t="s">
        <v>19</v>
      </c>
      <c r="B301" s="37" t="s">
        <v>705</v>
      </c>
      <c r="C301" s="13"/>
      <c r="F301" s="2">
        <v>3.51</v>
      </c>
      <c r="G301" s="2" t="s">
        <v>235</v>
      </c>
      <c r="H301" s="9">
        <v>-1</v>
      </c>
      <c r="I301" t="s">
        <v>1167</v>
      </c>
      <c r="J301"/>
      <c r="L301" s="25">
        <v>0</v>
      </c>
      <c r="M301">
        <v>0</v>
      </c>
      <c r="N301">
        <v>4</v>
      </c>
      <c r="R301" s="2" t="s">
        <v>450</v>
      </c>
      <c r="T301" s="25">
        <v>0</v>
      </c>
      <c r="U301" s="25"/>
      <c r="V301" s="25"/>
      <c r="W301">
        <v>0</v>
      </c>
      <c r="X301"/>
      <c r="Y301"/>
      <c r="Z301">
        <v>24.8627</v>
      </c>
      <c r="AA301">
        <v>5.4355000000000002</v>
      </c>
      <c r="AB301">
        <v>5.4478</v>
      </c>
      <c r="AD301">
        <v>18</v>
      </c>
      <c r="AE301" s="55">
        <f t="shared" si="14"/>
        <v>0</v>
      </c>
      <c r="AF301" s="57">
        <v>0</v>
      </c>
      <c r="AG301" s="55">
        <v>0</v>
      </c>
      <c r="AH301" s="55">
        <f t="shared" si="17"/>
        <v>736.22226122963002</v>
      </c>
      <c r="AI301" s="52"/>
      <c r="AJ301" s="51"/>
      <c r="AK301" s="52"/>
      <c r="AL301" s="67">
        <f t="shared" si="18"/>
        <v>9.7796553828386576E-2</v>
      </c>
      <c r="AM301" s="28">
        <v>1.8666666666666669</v>
      </c>
      <c r="AN301" s="28">
        <v>2.8</v>
      </c>
      <c r="AO301" s="28">
        <v>1.8666666666666669</v>
      </c>
      <c r="AP301" s="28">
        <v>1.8666666666666669</v>
      </c>
      <c r="AQ301" s="28">
        <v>0.22222222222222221</v>
      </c>
      <c r="AR301" s="28">
        <v>0.33333333333333331</v>
      </c>
      <c r="AS301" s="28">
        <v>0.22222222222222221</v>
      </c>
      <c r="AT301" s="28">
        <v>0.22222222222222221</v>
      </c>
      <c r="AU301" s="25">
        <v>1</v>
      </c>
      <c r="AV301" s="25">
        <v>3.44</v>
      </c>
      <c r="AW301" s="25">
        <v>2.44</v>
      </c>
      <c r="AX301" s="25">
        <v>2.68</v>
      </c>
      <c r="AY301">
        <v>2.68</v>
      </c>
      <c r="AZ301">
        <v>5.9932041966666656</v>
      </c>
      <c r="BG301">
        <v>4.8898276914193288E-2</v>
      </c>
      <c r="BH301">
        <v>9.7796553828386576E-2</v>
      </c>
      <c r="BI301">
        <v>4.8898276914193288E-2</v>
      </c>
      <c r="BJ301">
        <v>0</v>
      </c>
    </row>
    <row r="302" spans="1:62" x14ac:dyDescent="0.3">
      <c r="A302" s="2" t="s">
        <v>20</v>
      </c>
      <c r="B302" s="37" t="s">
        <v>706</v>
      </c>
      <c r="C302" s="13"/>
      <c r="F302" s="2">
        <v>3.48</v>
      </c>
      <c r="G302" s="2" t="s">
        <v>235</v>
      </c>
      <c r="H302" s="9">
        <v>-1</v>
      </c>
      <c r="I302" t="s">
        <v>1168</v>
      </c>
      <c r="J302"/>
      <c r="L302" s="25">
        <v>0</v>
      </c>
      <c r="M302">
        <v>0</v>
      </c>
      <c r="N302">
        <v>4</v>
      </c>
      <c r="R302" s="2" t="s">
        <v>450</v>
      </c>
      <c r="T302" s="25">
        <v>0</v>
      </c>
      <c r="U302" s="25"/>
      <c r="V302" s="25"/>
      <c r="W302">
        <v>0</v>
      </c>
      <c r="X302"/>
      <c r="Y302"/>
      <c r="Z302">
        <v>24.556999999999999</v>
      </c>
      <c r="AA302">
        <v>5.5289999999999999</v>
      </c>
      <c r="AB302">
        <v>5.5289999999999999</v>
      </c>
      <c r="AD302">
        <v>18</v>
      </c>
      <c r="AE302" s="55">
        <f t="shared" si="14"/>
        <v>0</v>
      </c>
      <c r="AF302" s="57">
        <v>0</v>
      </c>
      <c r="AG302" s="55">
        <v>0</v>
      </c>
      <c r="AH302" s="55">
        <f t="shared" si="17"/>
        <v>750.7035854369999</v>
      </c>
      <c r="AI302" s="52"/>
      <c r="AJ302" s="51"/>
      <c r="AK302" s="52"/>
      <c r="AL302" s="67">
        <f t="shared" si="18"/>
        <v>9.5910025470422294E-2</v>
      </c>
      <c r="AM302" s="28">
        <v>1.8666666666666669</v>
      </c>
      <c r="AN302" s="28">
        <v>2.8</v>
      </c>
      <c r="AO302" s="28">
        <v>1.8666666666666669</v>
      </c>
      <c r="AP302" s="28">
        <v>1.8666666666666669</v>
      </c>
      <c r="AQ302" s="28">
        <v>0.22222222222222221</v>
      </c>
      <c r="AR302" s="28">
        <v>0.33333333333333331</v>
      </c>
      <c r="AS302" s="28">
        <v>0.22222222222222221</v>
      </c>
      <c r="AT302" s="28">
        <v>0.22222222222222221</v>
      </c>
      <c r="AU302" s="25">
        <v>0.95</v>
      </c>
      <c r="AV302" s="25">
        <v>3.44</v>
      </c>
      <c r="AW302" s="25">
        <v>2.4900000000000002</v>
      </c>
      <c r="AX302" s="25">
        <v>2.6733333333333329</v>
      </c>
      <c r="AY302">
        <v>2.6733333333333329</v>
      </c>
      <c r="AZ302">
        <v>5.9671526619999993</v>
      </c>
      <c r="BG302">
        <v>4.7955012735211147E-2</v>
      </c>
      <c r="BH302">
        <v>9.5910025470422294E-2</v>
      </c>
      <c r="BI302">
        <v>4.7955012735211147E-2</v>
      </c>
      <c r="BJ302">
        <v>0</v>
      </c>
    </row>
    <row r="303" spans="1:62" x14ac:dyDescent="0.3">
      <c r="A303" s="2" t="s">
        <v>21</v>
      </c>
      <c r="B303" s="37" t="s">
        <v>707</v>
      </c>
      <c r="C303" s="13"/>
      <c r="F303" s="2">
        <v>3.08</v>
      </c>
      <c r="G303" s="2" t="s">
        <v>235</v>
      </c>
      <c r="H303" s="9">
        <v>-1</v>
      </c>
      <c r="I303" t="s">
        <v>1169</v>
      </c>
      <c r="J303"/>
      <c r="L303" s="25">
        <v>0</v>
      </c>
      <c r="M303">
        <v>0</v>
      </c>
      <c r="N303">
        <v>4</v>
      </c>
      <c r="R303" s="2" t="s">
        <v>440</v>
      </c>
      <c r="T303" s="25">
        <v>0</v>
      </c>
      <c r="U303" s="25"/>
      <c r="V303" s="25"/>
      <c r="W303">
        <v>0</v>
      </c>
      <c r="X303"/>
      <c r="Y303"/>
      <c r="Z303">
        <v>25.574999999999999</v>
      </c>
      <c r="AA303">
        <v>5.5629999999999997</v>
      </c>
      <c r="AB303">
        <v>5.5629999999999997</v>
      </c>
      <c r="AD303">
        <v>18</v>
      </c>
      <c r="AE303" s="55">
        <f t="shared" si="14"/>
        <v>0</v>
      </c>
      <c r="AF303" s="57">
        <v>0</v>
      </c>
      <c r="AG303" s="55">
        <v>0</v>
      </c>
      <c r="AH303" s="55">
        <f t="shared" si="17"/>
        <v>791.4687321749999</v>
      </c>
      <c r="AI303" s="52"/>
      <c r="AJ303" s="51"/>
      <c r="AK303" s="52"/>
      <c r="AL303" s="67">
        <f t="shared" si="18"/>
        <v>9.0970112997565952E-2</v>
      </c>
      <c r="AM303" s="28">
        <v>1.8666666666666669</v>
      </c>
      <c r="AN303" s="28">
        <v>2.8</v>
      </c>
      <c r="AO303" s="28">
        <v>1.8666666666666669</v>
      </c>
      <c r="AP303" s="28">
        <v>1.8666666666666669</v>
      </c>
      <c r="AQ303" s="28">
        <v>0.22222222222222221</v>
      </c>
      <c r="AR303" s="28">
        <v>0.33333333333333331</v>
      </c>
      <c r="AS303" s="28">
        <v>0.22222222222222221</v>
      </c>
      <c r="AT303" s="28">
        <v>0.22222222222222221</v>
      </c>
      <c r="AU303" s="25">
        <v>0.89</v>
      </c>
      <c r="AV303" s="25">
        <v>3.44</v>
      </c>
      <c r="AW303" s="25">
        <v>2.5499999999999998</v>
      </c>
      <c r="AX303" s="25">
        <v>2.6653333333333342</v>
      </c>
      <c r="AY303">
        <v>2.6653333333333329</v>
      </c>
      <c r="AZ303">
        <v>5.9411098053333333</v>
      </c>
      <c r="BG303">
        <v>4.5485056498782983E-2</v>
      </c>
      <c r="BH303">
        <v>9.0970112997565952E-2</v>
      </c>
      <c r="BI303">
        <v>4.5485056498782983E-2</v>
      </c>
      <c r="BJ303">
        <v>0</v>
      </c>
    </row>
    <row r="304" spans="1:62" x14ac:dyDescent="0.3">
      <c r="A304" s="2" t="s">
        <v>236</v>
      </c>
      <c r="B304" s="13" t="s">
        <v>810</v>
      </c>
      <c r="C304" s="13"/>
      <c r="F304" s="2">
        <v>4.5999999999999996</v>
      </c>
      <c r="G304" s="2" t="s">
        <v>238</v>
      </c>
      <c r="H304" s="9" t="s">
        <v>586</v>
      </c>
      <c r="I304" t="s">
        <v>662</v>
      </c>
      <c r="J304"/>
      <c r="L304" s="25">
        <v>8</v>
      </c>
      <c r="M304">
        <v>1</v>
      </c>
      <c r="N304">
        <v>0</v>
      </c>
      <c r="T304" s="25">
        <v>7.5714817599999993</v>
      </c>
      <c r="U304" s="25">
        <v>7.4441355800000002</v>
      </c>
      <c r="V304" s="25">
        <v>14.785262019999999</v>
      </c>
      <c r="W304">
        <v>10.442</v>
      </c>
      <c r="X304">
        <v>10.442</v>
      </c>
      <c r="Y304">
        <v>10.442</v>
      </c>
      <c r="Z304">
        <v>0</v>
      </c>
      <c r="AA304"/>
      <c r="AB304"/>
      <c r="AD304">
        <v>12</v>
      </c>
      <c r="AE304" s="55">
        <f t="shared" si="14"/>
        <v>0</v>
      </c>
      <c r="AF304" s="57">
        <v>583.54908217201648</v>
      </c>
      <c r="AG304" s="55">
        <v>1138.547270888</v>
      </c>
      <c r="AH304" s="55">
        <v>0</v>
      </c>
      <c r="AI304" s="52"/>
      <c r="AJ304" s="51">
        <v>0.1645105834845636</v>
      </c>
      <c r="AK304" s="52">
        <v>1.053974683953237E-2</v>
      </c>
      <c r="AL304" s="52"/>
      <c r="AM304" s="28">
        <v>1.8</v>
      </c>
      <c r="AN304" s="28">
        <v>2.4</v>
      </c>
      <c r="AO304" s="28">
        <v>0.6</v>
      </c>
      <c r="AP304" s="28">
        <v>2.8</v>
      </c>
      <c r="AQ304" s="28">
        <v>0.23684210526315791</v>
      </c>
      <c r="AR304" s="28">
        <v>0.31578947368421051</v>
      </c>
      <c r="AS304" s="28">
        <v>7.8947368421052627E-2</v>
      </c>
      <c r="AT304" s="28">
        <v>0.36842105263157893</v>
      </c>
      <c r="AU304" s="25">
        <v>0.93</v>
      </c>
      <c r="AV304" s="25">
        <v>3.44</v>
      </c>
      <c r="AW304" s="25">
        <v>2.5099999999999998</v>
      </c>
      <c r="AX304" s="25">
        <v>2.5499999999999998</v>
      </c>
      <c r="AY304">
        <v>2.5499999999999998</v>
      </c>
      <c r="AZ304">
        <v>5.8797175109999991</v>
      </c>
      <c r="BA304" s="75">
        <v>0.46150059156666667</v>
      </c>
      <c r="BE304">
        <v>8.2255291742281814E-2</v>
      </c>
      <c r="BF304">
        <v>5.2698734197661841E-3</v>
      </c>
      <c r="BH304">
        <v>8.7525165162047988E-2</v>
      </c>
      <c r="BI304">
        <v>4.3762582581024001E-2</v>
      </c>
      <c r="BJ304">
        <v>0.46150059156666667</v>
      </c>
    </row>
    <row r="305" spans="1:62" x14ac:dyDescent="0.3">
      <c r="A305" s="2" t="s">
        <v>237</v>
      </c>
      <c r="B305" s="13" t="s">
        <v>811</v>
      </c>
      <c r="C305" s="13"/>
      <c r="F305" s="2">
        <v>4.5</v>
      </c>
      <c r="G305" s="2" t="s">
        <v>238</v>
      </c>
      <c r="H305" s="9" t="s">
        <v>563</v>
      </c>
      <c r="I305">
        <v>-1</v>
      </c>
      <c r="J305"/>
      <c r="L305" s="25">
        <v>1</v>
      </c>
      <c r="M305">
        <v>0</v>
      </c>
      <c r="N305">
        <v>0</v>
      </c>
      <c r="T305" s="25">
        <v>3.9948813699999999</v>
      </c>
      <c r="U305" s="25">
        <v>3.9948813699999999</v>
      </c>
      <c r="V305" s="25">
        <v>3.9948813699999999</v>
      </c>
      <c r="W305">
        <v>0</v>
      </c>
      <c r="X305"/>
      <c r="Y305"/>
      <c r="Z305">
        <v>0</v>
      </c>
      <c r="AA305"/>
      <c r="AB305"/>
      <c r="AD305">
        <v>12</v>
      </c>
      <c r="AE305" s="55">
        <f t="shared" si="14"/>
        <v>0</v>
      </c>
      <c r="AF305" s="57">
        <v>63.754620030366901</v>
      </c>
      <c r="AG305" s="55">
        <v>0</v>
      </c>
      <c r="AH305" s="55">
        <v>0</v>
      </c>
      <c r="AI305" s="52"/>
      <c r="AJ305" s="51">
        <v>0.18822165349404149</v>
      </c>
      <c r="AK305" s="52"/>
      <c r="AL305" s="52"/>
      <c r="AM305" s="28">
        <v>1.8</v>
      </c>
      <c r="AN305" s="28">
        <v>2.4</v>
      </c>
      <c r="AO305" s="28">
        <v>0.6</v>
      </c>
      <c r="AP305" s="28">
        <v>2.8</v>
      </c>
      <c r="AQ305" s="28">
        <v>0.23684210526315791</v>
      </c>
      <c r="AR305" s="28">
        <v>0.31578947368421051</v>
      </c>
      <c r="AS305" s="28">
        <v>7.8947368421052627E-2</v>
      </c>
      <c r="AT305" s="28">
        <v>0.36842105263157893</v>
      </c>
      <c r="AU305" s="25">
        <v>0.82</v>
      </c>
      <c r="AV305" s="25">
        <v>3.44</v>
      </c>
      <c r="AW305" s="25">
        <v>2.62</v>
      </c>
      <c r="AX305" s="25">
        <v>2.528</v>
      </c>
      <c r="AY305">
        <v>2.528</v>
      </c>
      <c r="AZ305">
        <v>5.7952294759999994</v>
      </c>
      <c r="BA305" s="75">
        <v>0.65619545508850963</v>
      </c>
      <c r="BE305">
        <v>9.4110826747020773E-2</v>
      </c>
      <c r="BH305">
        <v>0.18822165349404149</v>
      </c>
      <c r="BI305">
        <v>9.4110826747020773E-2</v>
      </c>
      <c r="BJ305">
        <v>0.65619545508850963</v>
      </c>
    </row>
    <row r="306" spans="1:62" x14ac:dyDescent="0.3">
      <c r="A306" s="2" t="s">
        <v>239</v>
      </c>
      <c r="B306" s="13" t="s">
        <v>812</v>
      </c>
      <c r="C306" s="13"/>
      <c r="F306" s="2">
        <v>4.4000000000000004</v>
      </c>
      <c r="G306" s="2" t="s">
        <v>238</v>
      </c>
      <c r="H306" s="9" t="s">
        <v>590</v>
      </c>
      <c r="I306" t="s">
        <v>663</v>
      </c>
      <c r="J306"/>
      <c r="L306" s="25">
        <v>16</v>
      </c>
      <c r="M306">
        <v>8</v>
      </c>
      <c r="N306">
        <v>0</v>
      </c>
      <c r="T306" s="25">
        <v>7.4248940299999999</v>
      </c>
      <c r="U306" s="25">
        <v>7.4248940300000008</v>
      </c>
      <c r="V306" s="25">
        <v>48.809404000000001</v>
      </c>
      <c r="W306">
        <v>10.37</v>
      </c>
      <c r="X306">
        <v>10.37</v>
      </c>
      <c r="Y306">
        <v>10.37</v>
      </c>
      <c r="Z306">
        <v>0</v>
      </c>
      <c r="AA306"/>
      <c r="AB306"/>
      <c r="AD306">
        <v>14</v>
      </c>
      <c r="AE306" s="55">
        <f t="shared" si="14"/>
        <v>0</v>
      </c>
      <c r="AF306" s="57">
        <v>2333.5692942103669</v>
      </c>
      <c r="AG306" s="55">
        <v>1115.157653</v>
      </c>
      <c r="AH306" s="55">
        <v>0</v>
      </c>
      <c r="AI306" s="52"/>
      <c r="AJ306" s="51">
        <v>9.5990292876988306E-2</v>
      </c>
      <c r="AK306" s="52">
        <v>0.10043422981378219</v>
      </c>
      <c r="AL306" s="52"/>
      <c r="AM306" s="28">
        <v>2</v>
      </c>
      <c r="AN306" s="28">
        <v>2.545454545454545</v>
      </c>
      <c r="AO306" s="28">
        <v>0.54545454545454541</v>
      </c>
      <c r="AP306" s="28">
        <v>2.545454545454545</v>
      </c>
      <c r="AQ306" s="28">
        <v>0.26190476190476192</v>
      </c>
      <c r="AR306" s="28">
        <v>0.33333333333333331</v>
      </c>
      <c r="AS306" s="28">
        <v>7.1428571428571425E-2</v>
      </c>
      <c r="AT306" s="28">
        <v>0.33333333333333331</v>
      </c>
      <c r="AU306" s="25">
        <v>1</v>
      </c>
      <c r="AV306" s="25">
        <v>3.44</v>
      </c>
      <c r="AW306" s="25">
        <v>2.44</v>
      </c>
      <c r="AX306" s="25">
        <v>2.643636363636364</v>
      </c>
      <c r="AY306">
        <v>2.643636363636364</v>
      </c>
      <c r="AZ306">
        <v>6.0715871381818181</v>
      </c>
      <c r="BA306" s="75">
        <v>0.51451783825131059</v>
      </c>
      <c r="BB306" s="75">
        <v>0.53833779709834217</v>
      </c>
      <c r="BE306">
        <v>4.7995146438494153E-2</v>
      </c>
      <c r="BF306">
        <v>5.0217114906891097E-2</v>
      </c>
      <c r="BH306">
        <v>9.8212261345385243E-2</v>
      </c>
      <c r="BI306">
        <v>4.9106130672692622E-2</v>
      </c>
      <c r="BJ306">
        <v>0.52642781767482638</v>
      </c>
    </row>
    <row r="307" spans="1:62" x14ac:dyDescent="0.3">
      <c r="A307" s="2" t="s">
        <v>48</v>
      </c>
      <c r="B307" s="13" t="s">
        <v>724</v>
      </c>
      <c r="C307" s="13"/>
      <c r="F307" s="2">
        <v>4.0999999999999996</v>
      </c>
      <c r="G307" s="2" t="s">
        <v>238</v>
      </c>
      <c r="H307" s="9" t="s">
        <v>552</v>
      </c>
      <c r="I307" t="s">
        <v>630</v>
      </c>
      <c r="J307"/>
      <c r="L307" s="25">
        <v>2</v>
      </c>
      <c r="M307">
        <v>8</v>
      </c>
      <c r="N307">
        <v>0</v>
      </c>
      <c r="T307" s="25">
        <v>7.4836094600000003</v>
      </c>
      <c r="U307" s="25">
        <v>7.4836094600000003</v>
      </c>
      <c r="V307" s="25">
        <v>7.4836094600000003</v>
      </c>
      <c r="W307">
        <v>10.34</v>
      </c>
      <c r="X307">
        <v>10.34</v>
      </c>
      <c r="Y307">
        <v>10.34</v>
      </c>
      <c r="Z307">
        <v>0</v>
      </c>
      <c r="AA307"/>
      <c r="AB307"/>
      <c r="AD307">
        <v>14</v>
      </c>
      <c r="AE307" s="55">
        <f t="shared" si="14"/>
        <v>0</v>
      </c>
      <c r="AF307" s="57">
        <v>296.35915518228359</v>
      </c>
      <c r="AG307" s="55">
        <v>1105.507304</v>
      </c>
      <c r="AH307" s="55">
        <v>0</v>
      </c>
      <c r="AI307" s="52"/>
      <c r="AJ307" s="51">
        <v>9.4479956196318104E-2</v>
      </c>
      <c r="AK307" s="52">
        <v>0.1013109543417363</v>
      </c>
      <c r="AL307" s="52"/>
      <c r="AM307" s="28">
        <v>1.8181818181818179</v>
      </c>
      <c r="AN307" s="28">
        <v>2.545454545454545</v>
      </c>
      <c r="AO307" s="28">
        <v>0.72727272727272729</v>
      </c>
      <c r="AP307" s="28">
        <v>0</v>
      </c>
      <c r="AQ307" s="28">
        <v>0.35714285714285721</v>
      </c>
      <c r="AR307" s="28">
        <v>0.5</v>
      </c>
      <c r="AS307" s="28">
        <v>0.1428571428571429</v>
      </c>
      <c r="AT307" s="28">
        <v>0</v>
      </c>
      <c r="AU307" s="25">
        <v>1</v>
      </c>
      <c r="AV307" s="25">
        <v>3.44</v>
      </c>
      <c r="AW307" s="25">
        <v>2.44</v>
      </c>
      <c r="AX307" s="25">
        <v>2.6618181818181821</v>
      </c>
      <c r="AY307">
        <v>2.6618181818181821</v>
      </c>
      <c r="AZ307">
        <v>6.0537295018181814</v>
      </c>
      <c r="BA307" s="75">
        <v>0.50642227837041764</v>
      </c>
      <c r="BB307" s="75">
        <v>0.5430371307011983</v>
      </c>
      <c r="BE307">
        <v>4.7239978098159073E-2</v>
      </c>
      <c r="BF307">
        <v>5.0655477170868157E-2</v>
      </c>
      <c r="BH307">
        <v>9.789545526902721E-2</v>
      </c>
      <c r="BI307">
        <v>4.8947727634513619E-2</v>
      </c>
      <c r="BJ307">
        <v>0.52472970453580792</v>
      </c>
    </row>
    <row r="308" spans="1:62" x14ac:dyDescent="0.3">
      <c r="A308" s="2" t="s">
        <v>46</v>
      </c>
      <c r="B308" s="13" t="s">
        <v>722</v>
      </c>
      <c r="C308" s="13"/>
      <c r="F308" s="2">
        <v>3.31</v>
      </c>
      <c r="G308" s="2" t="s">
        <v>240</v>
      </c>
      <c r="H308" s="9" t="s">
        <v>551</v>
      </c>
      <c r="I308" t="s">
        <v>629</v>
      </c>
      <c r="J308"/>
      <c r="L308" s="25">
        <v>2</v>
      </c>
      <c r="M308">
        <v>4</v>
      </c>
      <c r="N308">
        <v>0</v>
      </c>
      <c r="T308" s="25">
        <v>7.41544296</v>
      </c>
      <c r="U308" s="25">
        <v>7.4154429599999991</v>
      </c>
      <c r="V308" s="25">
        <v>7.41544296</v>
      </c>
      <c r="W308">
        <v>7.8</v>
      </c>
      <c r="X308">
        <v>13.010999999999999</v>
      </c>
      <c r="Y308">
        <v>5.5460000000000003</v>
      </c>
      <c r="Z308">
        <v>0</v>
      </c>
      <c r="AA308"/>
      <c r="AB308"/>
      <c r="AD308">
        <v>14</v>
      </c>
      <c r="AE308" s="55">
        <f t="shared" si="14"/>
        <v>0</v>
      </c>
      <c r="AF308" s="57">
        <v>288.33429290182369</v>
      </c>
      <c r="AG308" s="55">
        <v>556.51188553357167</v>
      </c>
      <c r="AH308" s="55">
        <v>0</v>
      </c>
      <c r="AI308" s="52"/>
      <c r="AJ308" s="51">
        <v>9.7109503410799117E-2</v>
      </c>
      <c r="AK308" s="52">
        <v>0.10062678166578309</v>
      </c>
      <c r="AL308" s="52"/>
      <c r="AM308" s="28">
        <v>2</v>
      </c>
      <c r="AN308" s="28">
        <v>2.545454545454545</v>
      </c>
      <c r="AO308" s="28">
        <v>0.54545454545454541</v>
      </c>
      <c r="AP308" s="28">
        <v>0</v>
      </c>
      <c r="AQ308" s="28">
        <v>0.39285714285714279</v>
      </c>
      <c r="AR308" s="28">
        <v>0.5</v>
      </c>
      <c r="AS308" s="28">
        <v>0.1071428571428571</v>
      </c>
      <c r="AT308" s="28">
        <v>0</v>
      </c>
      <c r="AU308" s="25">
        <v>1.1000000000000001</v>
      </c>
      <c r="AV308" s="25">
        <v>3.44</v>
      </c>
      <c r="AW308" s="25">
        <v>2.34</v>
      </c>
      <c r="AX308" s="25">
        <v>2.669090909090909</v>
      </c>
      <c r="AY308">
        <v>2.669090909090909</v>
      </c>
      <c r="AZ308">
        <v>5.9831974772727277</v>
      </c>
      <c r="BA308" s="75">
        <v>0.52442413903612473</v>
      </c>
      <c r="BB308" s="75">
        <v>0.54341863036636606</v>
      </c>
      <c r="BE308">
        <v>4.8554751705399558E-2</v>
      </c>
      <c r="BF308">
        <v>5.0313390832891547E-2</v>
      </c>
      <c r="BH308">
        <v>9.8868142538291098E-2</v>
      </c>
      <c r="BI308">
        <v>4.9434071269145549E-2</v>
      </c>
      <c r="BJ308">
        <v>0.53392138470124539</v>
      </c>
    </row>
    <row r="309" spans="1:62" x14ac:dyDescent="0.3">
      <c r="A309" s="2" t="s">
        <v>220</v>
      </c>
      <c r="B309" s="13" t="s">
        <v>807</v>
      </c>
      <c r="C309" s="13"/>
      <c r="F309" s="2">
        <v>4.5</v>
      </c>
      <c r="G309" s="2" t="s">
        <v>242</v>
      </c>
      <c r="H309" s="9" t="s">
        <v>588</v>
      </c>
      <c r="I309" t="s">
        <v>661</v>
      </c>
      <c r="J309"/>
      <c r="L309" s="25">
        <v>1</v>
      </c>
      <c r="M309">
        <v>1</v>
      </c>
      <c r="N309">
        <v>0</v>
      </c>
      <c r="T309" s="25">
        <v>5.81978595</v>
      </c>
      <c r="U309" s="25">
        <v>5.81978595</v>
      </c>
      <c r="V309" s="25">
        <v>11.88463337</v>
      </c>
      <c r="W309">
        <v>5.7759999999999998</v>
      </c>
      <c r="X309">
        <v>5.7759999999999998</v>
      </c>
      <c r="Y309">
        <v>11.82</v>
      </c>
      <c r="Z309">
        <v>0</v>
      </c>
      <c r="AA309"/>
      <c r="AB309"/>
      <c r="AD309">
        <v>30</v>
      </c>
      <c r="AE309" s="55">
        <f t="shared" si="14"/>
        <v>0</v>
      </c>
      <c r="AF309" s="57">
        <v>348.60249769877402</v>
      </c>
      <c r="AG309" s="55">
        <v>341.5092547488552</v>
      </c>
      <c r="AH309" s="55">
        <v>0</v>
      </c>
      <c r="AI309" s="52"/>
      <c r="AJ309" s="51">
        <v>8.6057903193576313E-2</v>
      </c>
      <c r="AK309" s="52">
        <v>8.7845349965879851E-2</v>
      </c>
      <c r="AL309" s="52"/>
      <c r="AM309" s="28">
        <v>2</v>
      </c>
      <c r="AN309" s="28">
        <v>2.5</v>
      </c>
      <c r="AO309" s="28">
        <v>0.5</v>
      </c>
      <c r="AP309" s="28">
        <v>2.333333333333333</v>
      </c>
      <c r="AQ309" s="28">
        <v>0.27272727272727282</v>
      </c>
      <c r="AR309" s="28">
        <v>0.34090909090909088</v>
      </c>
      <c r="AS309" s="28">
        <v>6.8181818181818191E-2</v>
      </c>
      <c r="AT309" s="28">
        <v>0.31818181818181818</v>
      </c>
      <c r="AU309" s="25">
        <v>0.89</v>
      </c>
      <c r="AV309" s="25">
        <v>3.44</v>
      </c>
      <c r="AW309" s="25">
        <v>2.5499999999999998</v>
      </c>
      <c r="AX309" s="25">
        <v>2.5854166666666671</v>
      </c>
      <c r="AY309">
        <v>2.5854166666666671</v>
      </c>
      <c r="AZ309">
        <v>5.9262421145833333</v>
      </c>
      <c r="BA309" s="75">
        <v>0.58209579444379334</v>
      </c>
      <c r="BB309" s="75">
        <v>0.59418608726221844</v>
      </c>
      <c r="BE309">
        <v>4.3028951596788149E-2</v>
      </c>
      <c r="BF309">
        <v>4.3922674982939933E-2</v>
      </c>
      <c r="BH309">
        <v>8.6951626579728075E-2</v>
      </c>
      <c r="BI309">
        <v>4.3475813289864038E-2</v>
      </c>
      <c r="BJ309">
        <v>0.58814094085300583</v>
      </c>
    </row>
    <row r="310" spans="1:62" x14ac:dyDescent="0.3">
      <c r="A310" s="2" t="s">
        <v>241</v>
      </c>
      <c r="B310" s="13" t="s">
        <v>813</v>
      </c>
      <c r="C310" s="13"/>
      <c r="F310" s="2">
        <v>4.2</v>
      </c>
      <c r="G310" s="2" t="s">
        <v>242</v>
      </c>
      <c r="H310" s="9">
        <v>-1</v>
      </c>
      <c r="I310" t="s">
        <v>664</v>
      </c>
      <c r="J310" t="s">
        <v>1170</v>
      </c>
      <c r="L310" s="25">
        <v>0</v>
      </c>
      <c r="M310">
        <v>1</v>
      </c>
      <c r="N310">
        <v>0</v>
      </c>
      <c r="O310" s="2">
        <v>-1</v>
      </c>
      <c r="T310" s="25">
        <v>0</v>
      </c>
      <c r="U310" s="25"/>
      <c r="V310" s="25"/>
      <c r="W310">
        <v>5.7946999999999997</v>
      </c>
      <c r="X310">
        <v>5.7946999999999997</v>
      </c>
      <c r="Y310">
        <v>11.803000000000001</v>
      </c>
      <c r="Z310">
        <v>0</v>
      </c>
      <c r="AA310"/>
      <c r="AB310"/>
      <c r="AD310">
        <v>30</v>
      </c>
      <c r="AE310" s="55">
        <f t="shared" si="14"/>
        <v>0</v>
      </c>
      <c r="AF310" s="57">
        <v>0</v>
      </c>
      <c r="AG310" s="55">
        <v>343.22977251102628</v>
      </c>
      <c r="AH310" s="55">
        <v>0</v>
      </c>
      <c r="AI310" s="52"/>
      <c r="AJ310" s="51"/>
      <c r="AK310" s="52">
        <v>8.7405005051058762E-2</v>
      </c>
      <c r="AL310" s="52"/>
      <c r="AM310" s="28">
        <v>1.916666666666667</v>
      </c>
      <c r="AN310" s="28">
        <v>2.5</v>
      </c>
      <c r="AO310" s="28">
        <v>0.58333333333333337</v>
      </c>
      <c r="AP310" s="28">
        <v>1.166666666666667</v>
      </c>
      <c r="AQ310" s="28">
        <v>0.3108108108108108</v>
      </c>
      <c r="AR310" s="28">
        <v>0.40540540540540537</v>
      </c>
      <c r="AS310" s="28">
        <v>9.45945945945946E-2</v>
      </c>
      <c r="AT310" s="28">
        <v>0.1891891891891892</v>
      </c>
      <c r="AU310" s="25">
        <v>0.89</v>
      </c>
      <c r="AV310" s="25">
        <v>3.44</v>
      </c>
      <c r="AW310" s="25">
        <v>2.5499999999999998</v>
      </c>
      <c r="AX310" s="25">
        <v>2.59375</v>
      </c>
      <c r="AY310">
        <v>2.59375</v>
      </c>
      <c r="AZ310">
        <v>5.9180573645833334</v>
      </c>
      <c r="BB310" s="75">
        <v>0</v>
      </c>
      <c r="BF310">
        <v>4.3702502525529381E-2</v>
      </c>
      <c r="BH310">
        <v>8.7405005051058762E-2</v>
      </c>
      <c r="BI310">
        <v>4.3702502525529381E-2</v>
      </c>
      <c r="BJ310">
        <v>0</v>
      </c>
    </row>
    <row r="311" spans="1:62" x14ac:dyDescent="0.3">
      <c r="A311" s="2" t="s">
        <v>38</v>
      </c>
      <c r="B311" s="13" t="s">
        <v>714</v>
      </c>
      <c r="C311" s="13"/>
      <c r="F311" s="2">
        <v>3.9</v>
      </c>
      <c r="G311" s="2" t="s">
        <v>242</v>
      </c>
      <c r="H311" s="9" t="s">
        <v>545</v>
      </c>
      <c r="I311" t="s">
        <v>626</v>
      </c>
      <c r="J311"/>
      <c r="L311" s="25">
        <v>1</v>
      </c>
      <c r="M311">
        <v>1</v>
      </c>
      <c r="N311">
        <v>0</v>
      </c>
      <c r="T311" s="25">
        <v>5.8532381300000003</v>
      </c>
      <c r="U311" s="25">
        <v>5.8532371599999999</v>
      </c>
      <c r="V311" s="25">
        <v>11.912811489999999</v>
      </c>
      <c r="W311">
        <v>5.7946</v>
      </c>
      <c r="X311">
        <v>5.7946</v>
      </c>
      <c r="Y311">
        <v>11.787599999999999</v>
      </c>
      <c r="Z311">
        <v>0</v>
      </c>
      <c r="AA311"/>
      <c r="AB311"/>
      <c r="AD311">
        <v>30</v>
      </c>
      <c r="AE311" s="55">
        <f t="shared" si="14"/>
        <v>0</v>
      </c>
      <c r="AF311" s="57">
        <v>353.45760058531442</v>
      </c>
      <c r="AG311" s="55">
        <v>342.77011164986573</v>
      </c>
      <c r="AH311" s="55">
        <v>0</v>
      </c>
      <c r="AI311" s="52"/>
      <c r="AJ311" s="51">
        <v>8.487580957467307E-2</v>
      </c>
      <c r="AK311" s="52">
        <v>8.752221672887435E-2</v>
      </c>
      <c r="AL311" s="52"/>
      <c r="AM311" s="28">
        <v>1.833333333333333</v>
      </c>
      <c r="AN311" s="28">
        <v>2.5</v>
      </c>
      <c r="AO311" s="28">
        <v>0.66666666666666663</v>
      </c>
      <c r="AP311" s="28">
        <v>0</v>
      </c>
      <c r="AQ311" s="28">
        <v>0.36666666666666659</v>
      </c>
      <c r="AR311" s="28">
        <v>0.5</v>
      </c>
      <c r="AS311" s="28">
        <v>0.1333333333333333</v>
      </c>
      <c r="AT311" s="28">
        <v>0</v>
      </c>
      <c r="AU311" s="25">
        <v>0.89</v>
      </c>
      <c r="AV311" s="25">
        <v>3.44</v>
      </c>
      <c r="AW311" s="25">
        <v>2.5499999999999998</v>
      </c>
      <c r="AX311" s="25">
        <v>2.6020833333333329</v>
      </c>
      <c r="AY311">
        <v>2.6020833333333329</v>
      </c>
      <c r="AZ311">
        <v>5.9098726145833336</v>
      </c>
      <c r="BA311" s="75">
        <v>0.57410011132036598</v>
      </c>
      <c r="BB311" s="75">
        <v>0.59200041353179045</v>
      </c>
      <c r="BE311">
        <v>4.2437904787336528E-2</v>
      </c>
      <c r="BF311">
        <v>4.3761108364437168E-2</v>
      </c>
      <c r="BH311">
        <v>8.619901315177371E-2</v>
      </c>
      <c r="BI311">
        <v>4.3099506575886848E-2</v>
      </c>
      <c r="BJ311">
        <v>0.58305026242607827</v>
      </c>
    </row>
    <row r="312" spans="1:62" x14ac:dyDescent="0.3">
      <c r="A312" s="2" t="s">
        <v>244</v>
      </c>
      <c r="B312" s="13" t="s">
        <v>814</v>
      </c>
      <c r="C312" s="13"/>
      <c r="F312" s="2">
        <v>3.03</v>
      </c>
      <c r="G312" s="2" t="s">
        <v>243</v>
      </c>
      <c r="H312" s="9" t="s">
        <v>591</v>
      </c>
      <c r="I312" t="s">
        <v>665</v>
      </c>
      <c r="J312"/>
      <c r="L312" s="25">
        <v>40</v>
      </c>
      <c r="M312">
        <v>2</v>
      </c>
      <c r="N312">
        <v>0</v>
      </c>
      <c r="T312" s="25">
        <v>10.442762460000001</v>
      </c>
      <c r="U312" s="25">
        <v>9.9768317300000007</v>
      </c>
      <c r="V312" s="25">
        <v>10.791803529999999</v>
      </c>
      <c r="W312">
        <v>3.22</v>
      </c>
      <c r="X312">
        <v>3.22</v>
      </c>
      <c r="Y312">
        <v>5.2</v>
      </c>
      <c r="Z312">
        <v>0</v>
      </c>
      <c r="AA312"/>
      <c r="AB312"/>
      <c r="AD312">
        <v>2</v>
      </c>
      <c r="AE312" s="55">
        <f t="shared" si="14"/>
        <v>0</v>
      </c>
      <c r="AF312" s="57">
        <v>1118.3380703947059</v>
      </c>
      <c r="AG312" s="55">
        <v>46.692348542312601</v>
      </c>
      <c r="AH312" s="55">
        <v>0</v>
      </c>
      <c r="AI312" s="52"/>
      <c r="AJ312" s="51">
        <v>7.1534719346328615E-2</v>
      </c>
      <c r="AK312" s="52">
        <v>8.566714086731364E-2</v>
      </c>
      <c r="AL312" s="52"/>
      <c r="AM312" s="28">
        <v>2</v>
      </c>
      <c r="AN312" s="28">
        <v>2</v>
      </c>
      <c r="AO312" s="28">
        <v>5</v>
      </c>
      <c r="AP312" s="28">
        <v>0</v>
      </c>
      <c r="AQ312" s="28">
        <v>0.22222222222222221</v>
      </c>
      <c r="AR312" s="28">
        <v>0.22222222222222221</v>
      </c>
      <c r="AS312" s="28">
        <v>0.55555555555555558</v>
      </c>
      <c r="AT312" s="28">
        <v>0</v>
      </c>
      <c r="AU312" s="25">
        <v>1.65</v>
      </c>
      <c r="AV312" s="25">
        <v>3.44</v>
      </c>
      <c r="AW312" s="25">
        <v>1.79</v>
      </c>
      <c r="AX312" s="25">
        <v>2.5449999999999999</v>
      </c>
      <c r="AY312">
        <v>2.5449999999999999</v>
      </c>
      <c r="AZ312">
        <v>5.9633393249999997</v>
      </c>
      <c r="BA312" s="75">
        <v>0.40179973947095132</v>
      </c>
      <c r="BB312" s="75">
        <v>0.48117942163247568</v>
      </c>
      <c r="BE312">
        <v>3.5767359673164308E-2</v>
      </c>
      <c r="BF312">
        <v>4.283357043365682E-2</v>
      </c>
      <c r="BH312">
        <v>7.8600930106821121E-2</v>
      </c>
      <c r="BI312">
        <v>3.930046505341056E-2</v>
      </c>
      <c r="BJ312">
        <v>0.4414895805517135</v>
      </c>
    </row>
    <row r="313" spans="1:62" x14ac:dyDescent="0.3">
      <c r="A313" s="2" t="s">
        <v>244</v>
      </c>
      <c r="B313" s="13" t="s">
        <v>814</v>
      </c>
      <c r="C313" s="13"/>
      <c r="D313" s="2" t="s">
        <v>888</v>
      </c>
      <c r="E313" s="2">
        <v>1</v>
      </c>
      <c r="F313" s="2">
        <v>2.96</v>
      </c>
      <c r="G313" s="2" t="s">
        <v>243</v>
      </c>
      <c r="H313" s="9" t="s">
        <v>591</v>
      </c>
      <c r="I313" t="s">
        <v>665</v>
      </c>
      <c r="J313"/>
      <c r="L313" s="25">
        <v>40</v>
      </c>
      <c r="M313">
        <v>2</v>
      </c>
      <c r="N313">
        <v>0</v>
      </c>
      <c r="T313" s="25">
        <v>10.442762460000001</v>
      </c>
      <c r="U313" s="25">
        <v>9.9768317300000007</v>
      </c>
      <c r="V313" s="25">
        <v>10.791803529999999</v>
      </c>
      <c r="W313">
        <v>3.22</v>
      </c>
      <c r="X313">
        <v>3.22</v>
      </c>
      <c r="Y313">
        <v>5.2</v>
      </c>
      <c r="Z313">
        <v>0</v>
      </c>
      <c r="AA313"/>
      <c r="AB313"/>
      <c r="AD313">
        <v>2</v>
      </c>
      <c r="AE313" s="55">
        <f t="shared" si="14"/>
        <v>0</v>
      </c>
      <c r="AF313" s="57">
        <v>1118.3380703947059</v>
      </c>
      <c r="AG313" s="55">
        <v>46.692348542312601</v>
      </c>
      <c r="AH313" s="55">
        <v>0</v>
      </c>
      <c r="AI313" s="52"/>
      <c r="AJ313" s="51">
        <v>7.1534719346328615E-2</v>
      </c>
      <c r="AK313" s="52">
        <v>8.566714086731364E-2</v>
      </c>
      <c r="AL313" s="52"/>
      <c r="AM313" s="28">
        <v>2</v>
      </c>
      <c r="AN313" s="28">
        <v>2</v>
      </c>
      <c r="AO313" s="28">
        <v>5</v>
      </c>
      <c r="AP313" s="28">
        <v>0</v>
      </c>
      <c r="AQ313" s="28">
        <v>0.22222222222222221</v>
      </c>
      <c r="AR313" s="28">
        <v>0.22222222222222221</v>
      </c>
      <c r="AS313" s="28">
        <v>0.55555555555555558</v>
      </c>
      <c r="AT313" s="28">
        <v>0</v>
      </c>
      <c r="AU313" s="25">
        <v>1.65</v>
      </c>
      <c r="AV313" s="25">
        <v>3.44</v>
      </c>
      <c r="AW313" s="25">
        <v>1.79</v>
      </c>
      <c r="AX313" s="25">
        <v>2.5449999999999999</v>
      </c>
      <c r="AY313">
        <v>2.5449999999999999</v>
      </c>
      <c r="AZ313">
        <v>5.9633393249999997</v>
      </c>
      <c r="BA313" s="75">
        <v>0.40179973947095132</v>
      </c>
      <c r="BB313" s="75">
        <v>0.48117942163247568</v>
      </c>
      <c r="BE313">
        <v>3.5767359673164308E-2</v>
      </c>
      <c r="BF313">
        <v>4.283357043365682E-2</v>
      </c>
      <c r="BH313">
        <v>7.8600930106821121E-2</v>
      </c>
      <c r="BI313">
        <v>3.930046505341056E-2</v>
      </c>
      <c r="BJ313">
        <v>0.4414895805517135</v>
      </c>
    </row>
    <row r="314" spans="1:62" x14ac:dyDescent="0.3">
      <c r="A314" s="2" t="s">
        <v>244</v>
      </c>
      <c r="B314" s="13" t="s">
        <v>814</v>
      </c>
      <c r="C314" s="13"/>
      <c r="D314" s="2" t="s">
        <v>888</v>
      </c>
      <c r="E314" s="2">
        <v>3</v>
      </c>
      <c r="F314" s="2">
        <v>3.14</v>
      </c>
      <c r="G314" s="2" t="s">
        <v>243</v>
      </c>
      <c r="H314" s="9" t="s">
        <v>591</v>
      </c>
      <c r="I314" t="s">
        <v>665</v>
      </c>
      <c r="J314"/>
      <c r="L314" s="25">
        <v>40</v>
      </c>
      <c r="M314">
        <v>2</v>
      </c>
      <c r="N314">
        <v>0</v>
      </c>
      <c r="T314" s="25">
        <v>10.442762460000001</v>
      </c>
      <c r="U314" s="25">
        <v>9.9768317300000007</v>
      </c>
      <c r="V314" s="25">
        <v>10.791803529999999</v>
      </c>
      <c r="W314">
        <v>3.22</v>
      </c>
      <c r="X314">
        <v>3.22</v>
      </c>
      <c r="Y314">
        <v>5.2</v>
      </c>
      <c r="Z314">
        <v>0</v>
      </c>
      <c r="AA314"/>
      <c r="AB314"/>
      <c r="AD314">
        <v>2</v>
      </c>
      <c r="AE314" s="55">
        <f t="shared" si="14"/>
        <v>0</v>
      </c>
      <c r="AF314" s="57">
        <v>1118.3380703947059</v>
      </c>
      <c r="AG314" s="55">
        <v>46.692348542312601</v>
      </c>
      <c r="AH314" s="55">
        <v>0</v>
      </c>
      <c r="AI314" s="52"/>
      <c r="AJ314" s="51">
        <v>7.1534719346328615E-2</v>
      </c>
      <c r="AK314" s="52">
        <v>8.566714086731364E-2</v>
      </c>
      <c r="AL314" s="52"/>
      <c r="AM314" s="28">
        <v>2</v>
      </c>
      <c r="AN314" s="28">
        <v>2</v>
      </c>
      <c r="AO314" s="28">
        <v>5</v>
      </c>
      <c r="AP314" s="28">
        <v>0</v>
      </c>
      <c r="AQ314" s="28">
        <v>0.22222222222222221</v>
      </c>
      <c r="AR314" s="28">
        <v>0.22222222222222221</v>
      </c>
      <c r="AS314" s="28">
        <v>0.55555555555555558</v>
      </c>
      <c r="AT314" s="28">
        <v>0</v>
      </c>
      <c r="AU314" s="25">
        <v>1.65</v>
      </c>
      <c r="AV314" s="25">
        <v>3.44</v>
      </c>
      <c r="AW314" s="25">
        <v>1.79</v>
      </c>
      <c r="AX314" s="25">
        <v>2.5449999999999999</v>
      </c>
      <c r="AY314">
        <v>2.5449999999999999</v>
      </c>
      <c r="AZ314">
        <v>5.9633393249999997</v>
      </c>
      <c r="BA314" s="75">
        <v>0.40179973947095132</v>
      </c>
      <c r="BB314" s="75">
        <v>0.48117942163247568</v>
      </c>
      <c r="BE314">
        <v>3.5767359673164308E-2</v>
      </c>
      <c r="BF314">
        <v>4.283357043365682E-2</v>
      </c>
      <c r="BH314">
        <v>7.8600930106821121E-2</v>
      </c>
      <c r="BI314">
        <v>3.930046505341056E-2</v>
      </c>
      <c r="BJ314">
        <v>0.4414895805517135</v>
      </c>
    </row>
    <row r="315" spans="1:62" x14ac:dyDescent="0.3">
      <c r="A315" s="2" t="s">
        <v>246</v>
      </c>
      <c r="B315" s="13" t="s">
        <v>815</v>
      </c>
      <c r="C315" s="13"/>
      <c r="F315" s="2">
        <v>2.3199999999999998</v>
      </c>
      <c r="G315" s="2" t="s">
        <v>245</v>
      </c>
      <c r="H315" s="9" t="s">
        <v>592</v>
      </c>
      <c r="I315" t="s">
        <v>666</v>
      </c>
      <c r="J315" t="s">
        <v>1173</v>
      </c>
      <c r="L315" s="25">
        <v>1</v>
      </c>
      <c r="M315">
        <v>2</v>
      </c>
      <c r="N315">
        <v>2</v>
      </c>
      <c r="T315" s="25">
        <v>4.2561477500000002</v>
      </c>
      <c r="U315" s="25">
        <v>4.2561477500000002</v>
      </c>
      <c r="V315" s="25">
        <v>5.9211799999999997</v>
      </c>
      <c r="W315">
        <v>4.1500000000000004</v>
      </c>
      <c r="X315">
        <v>4.1500000000000004</v>
      </c>
      <c r="Y315">
        <v>6.7370000000000001</v>
      </c>
      <c r="Z315">
        <v>0</v>
      </c>
      <c r="AA315"/>
      <c r="AB315"/>
      <c r="AD315">
        <v>2</v>
      </c>
      <c r="AE315" s="55">
        <f t="shared" si="14"/>
        <v>0</v>
      </c>
      <c r="AF315" s="57">
        <v>92.890714642371009</v>
      </c>
      <c r="AG315" s="55">
        <v>100.4831803948563</v>
      </c>
      <c r="AH315" s="55">
        <v>100.1</v>
      </c>
      <c r="AI315" s="52"/>
      <c r="AJ315" s="51">
        <f>L315*AD315/AF315</f>
        <v>2.1530677287821442E-2</v>
      </c>
      <c r="AK315" s="52"/>
      <c r="AL315" s="67">
        <f>N315*AD315/AH315</f>
        <v>3.996003996003996E-2</v>
      </c>
      <c r="AM315" s="28">
        <v>2</v>
      </c>
      <c r="AN315" s="28">
        <v>2</v>
      </c>
      <c r="AO315" s="28">
        <v>5</v>
      </c>
      <c r="AP315" s="28">
        <v>0</v>
      </c>
      <c r="AQ315" s="28">
        <v>0.22222222222222221</v>
      </c>
      <c r="AR315" s="28">
        <v>0.22222222222222221</v>
      </c>
      <c r="AS315" s="28">
        <v>0.55555555555555558</v>
      </c>
      <c r="AT315" s="28">
        <v>0</v>
      </c>
      <c r="AU315" s="25">
        <v>1.69</v>
      </c>
      <c r="AV315" s="25">
        <v>2.58</v>
      </c>
      <c r="AW315" s="25">
        <v>0.89000000000000012</v>
      </c>
      <c r="AX315" s="25">
        <v>2.1349999999999998</v>
      </c>
      <c r="AY315">
        <v>2.1349999999999998</v>
      </c>
      <c r="AZ315">
        <v>5.1777336280000004</v>
      </c>
      <c r="BA315" s="75">
        <v>0.2799432770686035</v>
      </c>
      <c r="BB315" s="75">
        <v>0.51758176769574038</v>
      </c>
      <c r="BC315" s="75">
        <v>0.51949166816826697</v>
      </c>
      <c r="BE315">
        <v>0</v>
      </c>
      <c r="BF315">
        <v>0</v>
      </c>
      <c r="BG315">
        <v>0</v>
      </c>
      <c r="BH315">
        <v>3.0745358623930699E-2</v>
      </c>
      <c r="BI315">
        <v>0</v>
      </c>
      <c r="BJ315">
        <v>0.43900557097753701</v>
      </c>
    </row>
    <row r="316" spans="1:62" x14ac:dyDescent="0.3">
      <c r="A316" s="5" t="s">
        <v>247</v>
      </c>
      <c r="B316" s="46" t="s">
        <v>940</v>
      </c>
      <c r="C316" s="39"/>
      <c r="D316" s="5"/>
      <c r="E316" s="5"/>
      <c r="F316" s="5">
        <v>2.41</v>
      </c>
      <c r="G316" s="5" t="s">
        <v>245</v>
      </c>
      <c r="H316" s="40">
        <v>-2</v>
      </c>
      <c r="I316" s="5">
        <v>-1</v>
      </c>
      <c r="J316" s="5"/>
      <c r="K316" s="5"/>
      <c r="L316" s="41">
        <v>0</v>
      </c>
      <c r="M316">
        <v>0</v>
      </c>
      <c r="N316">
        <v>0</v>
      </c>
      <c r="O316" s="5">
        <v>-1</v>
      </c>
      <c r="P316" s="5"/>
      <c r="Q316" s="5"/>
      <c r="R316" s="5"/>
      <c r="S316" s="5"/>
      <c r="T316" s="41">
        <v>0</v>
      </c>
      <c r="U316" s="41"/>
      <c r="V316" s="41"/>
      <c r="W316">
        <v>0</v>
      </c>
      <c r="X316"/>
      <c r="Y316"/>
      <c r="Z316">
        <v>0</v>
      </c>
      <c r="AA316"/>
      <c r="AB316"/>
      <c r="AC316" s="5"/>
      <c r="AD316" s="5">
        <v>0</v>
      </c>
      <c r="AE316" s="55">
        <f t="shared" si="14"/>
        <v>0</v>
      </c>
      <c r="AF316" s="57">
        <v>0</v>
      </c>
      <c r="AG316" s="55">
        <v>0</v>
      </c>
      <c r="AH316" s="55">
        <v>0</v>
      </c>
      <c r="AI316" s="52"/>
      <c r="AJ316" s="51"/>
      <c r="AK316" s="52"/>
      <c r="AL316" s="52"/>
      <c r="AM316" s="5">
        <v>2</v>
      </c>
      <c r="AN316" s="5">
        <v>0</v>
      </c>
      <c r="AO316" s="5">
        <v>10</v>
      </c>
      <c r="AP316" s="5">
        <v>0</v>
      </c>
      <c r="AQ316" s="5">
        <v>0.16666666666666671</v>
      </c>
      <c r="AR316" s="5">
        <v>0</v>
      </c>
      <c r="AS316" s="5">
        <v>0.83333333333333337</v>
      </c>
      <c r="AT316" s="5">
        <v>0</v>
      </c>
      <c r="AU316" s="41">
        <v>1.65</v>
      </c>
      <c r="AV316" s="41">
        <v>1.69</v>
      </c>
      <c r="AW316" s="41">
        <v>4.0000000000000042E-2</v>
      </c>
      <c r="AX316" s="41">
        <v>1.6859999999999999</v>
      </c>
      <c r="AY316" s="5">
        <v>1.6859999999999999</v>
      </c>
      <c r="AZ316" s="5">
        <v>4.1619288499999998</v>
      </c>
      <c r="BH316">
        <v>0</v>
      </c>
      <c r="BI316">
        <v>0</v>
      </c>
      <c r="BJ316">
        <v>0</v>
      </c>
    </row>
    <row r="317" spans="1:62" x14ac:dyDescent="0.3">
      <c r="A317" s="5" t="s">
        <v>252</v>
      </c>
      <c r="B317" s="46" t="s">
        <v>941</v>
      </c>
      <c r="C317" s="39"/>
      <c r="D317" s="5"/>
      <c r="E317" s="5"/>
      <c r="F317" s="5">
        <v>2.54</v>
      </c>
      <c r="G317" s="5" t="s">
        <v>245</v>
      </c>
      <c r="H317" s="40">
        <v>-2</v>
      </c>
      <c r="I317" s="5">
        <v>-1</v>
      </c>
      <c r="J317" s="5"/>
      <c r="K317" s="5"/>
      <c r="L317" s="41">
        <v>0</v>
      </c>
      <c r="M317">
        <v>0</v>
      </c>
      <c r="N317">
        <v>0</v>
      </c>
      <c r="O317" s="5">
        <v>-1</v>
      </c>
      <c r="P317" s="5"/>
      <c r="Q317" s="5"/>
      <c r="R317" s="5"/>
      <c r="S317" s="5"/>
      <c r="T317" s="41">
        <v>0</v>
      </c>
      <c r="U317" s="41"/>
      <c r="V317" s="41"/>
      <c r="W317">
        <v>0</v>
      </c>
      <c r="X317"/>
      <c r="Y317"/>
      <c r="Z317">
        <v>0</v>
      </c>
      <c r="AA317"/>
      <c r="AB317"/>
      <c r="AC317" s="5"/>
      <c r="AD317" s="5">
        <v>0</v>
      </c>
      <c r="AE317" s="55">
        <f t="shared" si="14"/>
        <v>0</v>
      </c>
      <c r="AF317" s="57">
        <v>0</v>
      </c>
      <c r="AG317" s="55">
        <v>0</v>
      </c>
      <c r="AH317" s="55">
        <v>0</v>
      </c>
      <c r="AI317" s="52"/>
      <c r="AJ317" s="51"/>
      <c r="AK317" s="52"/>
      <c r="AL317" s="52"/>
      <c r="AM317" s="5">
        <v>2</v>
      </c>
      <c r="AN317" s="5">
        <v>0</v>
      </c>
      <c r="AO317" s="5">
        <v>10</v>
      </c>
      <c r="AP317" s="5">
        <v>0</v>
      </c>
      <c r="AQ317" s="5">
        <v>0.16666666666666671</v>
      </c>
      <c r="AR317" s="5">
        <v>0</v>
      </c>
      <c r="AS317" s="5">
        <v>0.83333333333333348</v>
      </c>
      <c r="AT317" s="5">
        <v>0</v>
      </c>
      <c r="AU317" s="41">
        <v>1.65</v>
      </c>
      <c r="AV317" s="41">
        <v>1.69</v>
      </c>
      <c r="AW317" s="41">
        <v>4.0000000000000042E-2</v>
      </c>
      <c r="AX317" s="41">
        <v>1.6779999999999999</v>
      </c>
      <c r="AY317" s="5">
        <v>1.6779999999999999</v>
      </c>
      <c r="AZ317" s="5">
        <v>4.2119665499999996</v>
      </c>
      <c r="BH317">
        <v>0</v>
      </c>
      <c r="BI317">
        <v>0</v>
      </c>
      <c r="BJ317">
        <v>0</v>
      </c>
    </row>
    <row r="318" spans="1:62" x14ac:dyDescent="0.3">
      <c r="A318" s="5" t="s">
        <v>251</v>
      </c>
      <c r="B318" s="46" t="s">
        <v>942</v>
      </c>
      <c r="C318" s="39"/>
      <c r="D318" s="5"/>
      <c r="E318" s="5"/>
      <c r="F318" s="5">
        <v>2.68</v>
      </c>
      <c r="G318" s="5" t="s">
        <v>245</v>
      </c>
      <c r="H318" s="40">
        <v>-2</v>
      </c>
      <c r="I318" s="5">
        <v>-1</v>
      </c>
      <c r="J318" s="5"/>
      <c r="K318" s="5"/>
      <c r="L318" s="41">
        <v>0</v>
      </c>
      <c r="M318">
        <v>0</v>
      </c>
      <c r="N318">
        <v>0</v>
      </c>
      <c r="O318" s="5">
        <v>-1</v>
      </c>
      <c r="P318" s="5"/>
      <c r="Q318" s="5"/>
      <c r="R318" s="5"/>
      <c r="S318" s="5"/>
      <c r="T318" s="41">
        <v>0</v>
      </c>
      <c r="U318" s="41"/>
      <c r="V318" s="41"/>
      <c r="W318">
        <v>0</v>
      </c>
      <c r="X318"/>
      <c r="Y318"/>
      <c r="Z318">
        <v>0</v>
      </c>
      <c r="AA318"/>
      <c r="AB318"/>
      <c r="AC318" s="5"/>
      <c r="AD318" s="5">
        <v>0</v>
      </c>
      <c r="AE318" s="55">
        <f t="shared" si="14"/>
        <v>0</v>
      </c>
      <c r="AF318" s="57">
        <v>0</v>
      </c>
      <c r="AG318" s="55">
        <v>0</v>
      </c>
      <c r="AH318" s="55">
        <v>0</v>
      </c>
      <c r="AI318" s="52"/>
      <c r="AJ318" s="51"/>
      <c r="AK318" s="52"/>
      <c r="AL318" s="52"/>
      <c r="AM318" s="5">
        <v>2</v>
      </c>
      <c r="AN318" s="5">
        <v>0</v>
      </c>
      <c r="AO318" s="5">
        <v>10</v>
      </c>
      <c r="AP318" s="5">
        <v>0</v>
      </c>
      <c r="AQ318" s="5">
        <v>0.16666666666666671</v>
      </c>
      <c r="AR318" s="5">
        <v>0</v>
      </c>
      <c r="AS318" s="5">
        <v>0.83333333333333337</v>
      </c>
      <c r="AT318" s="5">
        <v>0</v>
      </c>
      <c r="AU318" s="41">
        <v>1.65</v>
      </c>
      <c r="AV318" s="41">
        <v>1.69</v>
      </c>
      <c r="AW318" s="41">
        <v>4.0000000000000042E-2</v>
      </c>
      <c r="AX318" s="41">
        <v>1.67</v>
      </c>
      <c r="AY318" s="5">
        <v>1.67</v>
      </c>
      <c r="AZ318" s="5">
        <v>4.2620042500000004</v>
      </c>
      <c r="BH318">
        <v>0</v>
      </c>
      <c r="BI318">
        <v>0</v>
      </c>
      <c r="BJ318">
        <v>0</v>
      </c>
    </row>
    <row r="319" spans="1:62" x14ac:dyDescent="0.3">
      <c r="A319" s="5" t="s">
        <v>250</v>
      </c>
      <c r="B319" s="46" t="s">
        <v>943</v>
      </c>
      <c r="C319" s="39"/>
      <c r="D319" s="5"/>
      <c r="E319" s="5"/>
      <c r="F319" s="5">
        <v>2.91</v>
      </c>
      <c r="G319" s="5" t="s">
        <v>245</v>
      </c>
      <c r="H319" s="40">
        <v>-2</v>
      </c>
      <c r="I319" s="5">
        <v>-1</v>
      </c>
      <c r="J319" s="5"/>
      <c r="K319" s="5"/>
      <c r="L319" s="41">
        <v>0</v>
      </c>
      <c r="M319">
        <v>0</v>
      </c>
      <c r="N319">
        <v>0</v>
      </c>
      <c r="O319" s="5">
        <v>-1</v>
      </c>
      <c r="P319" s="5"/>
      <c r="Q319" s="5"/>
      <c r="R319" s="5"/>
      <c r="S319" s="5"/>
      <c r="T319" s="41">
        <v>0</v>
      </c>
      <c r="U319" s="41"/>
      <c r="V319" s="41"/>
      <c r="W319">
        <v>0</v>
      </c>
      <c r="X319"/>
      <c r="Y319"/>
      <c r="Z319">
        <v>0</v>
      </c>
      <c r="AA319"/>
      <c r="AB319"/>
      <c r="AC319" s="5"/>
      <c r="AD319" s="5">
        <v>0</v>
      </c>
      <c r="AE319" s="55">
        <f t="shared" si="14"/>
        <v>0</v>
      </c>
      <c r="AF319" s="57">
        <v>0</v>
      </c>
      <c r="AG319" s="55">
        <v>0</v>
      </c>
      <c r="AH319" s="55">
        <v>0</v>
      </c>
      <c r="AI319" s="52"/>
      <c r="AJ319" s="51"/>
      <c r="AK319" s="52"/>
      <c r="AL319" s="52"/>
      <c r="AM319" s="5">
        <v>2</v>
      </c>
      <c r="AN319" s="5">
        <v>0</v>
      </c>
      <c r="AO319" s="5">
        <v>10</v>
      </c>
      <c r="AP319" s="5">
        <v>0</v>
      </c>
      <c r="AQ319" s="5">
        <v>0.16666666666666671</v>
      </c>
      <c r="AR319" s="5">
        <v>0</v>
      </c>
      <c r="AS319" s="5">
        <v>0.83333333333333348</v>
      </c>
      <c r="AT319" s="5">
        <v>0</v>
      </c>
      <c r="AU319" s="41">
        <v>1.65</v>
      </c>
      <c r="AV319" s="41">
        <v>1.69</v>
      </c>
      <c r="AW319" s="41">
        <v>4.0000000000000042E-2</v>
      </c>
      <c r="AX319" s="41">
        <v>1.6619999999999999</v>
      </c>
      <c r="AY319" s="5">
        <v>1.6619999999999999</v>
      </c>
      <c r="AZ319" s="5">
        <v>4.3120419500000002</v>
      </c>
      <c r="BH319">
        <v>0</v>
      </c>
      <c r="BI319">
        <v>0</v>
      </c>
      <c r="BJ319">
        <v>0</v>
      </c>
    </row>
    <row r="320" spans="1:62" x14ac:dyDescent="0.3">
      <c r="A320" s="5" t="s">
        <v>249</v>
      </c>
      <c r="B320" s="46" t="s">
        <v>944</v>
      </c>
      <c r="C320" s="39"/>
      <c r="D320" s="5"/>
      <c r="E320" s="5"/>
      <c r="F320" s="5">
        <v>3.36</v>
      </c>
      <c r="G320" s="5" t="s">
        <v>245</v>
      </c>
      <c r="H320" s="40">
        <v>-2</v>
      </c>
      <c r="I320" s="5">
        <v>-1</v>
      </c>
      <c r="J320" s="5"/>
      <c r="K320" s="5"/>
      <c r="L320" s="41">
        <v>0</v>
      </c>
      <c r="M320">
        <v>0</v>
      </c>
      <c r="N320">
        <v>0</v>
      </c>
      <c r="O320" s="5">
        <v>-1</v>
      </c>
      <c r="P320" s="5"/>
      <c r="Q320" s="5"/>
      <c r="R320" s="5"/>
      <c r="S320" s="5"/>
      <c r="T320" s="41">
        <v>0</v>
      </c>
      <c r="U320" s="41"/>
      <c r="V320" s="41"/>
      <c r="W320">
        <v>0</v>
      </c>
      <c r="X320"/>
      <c r="Y320"/>
      <c r="Z320">
        <v>0</v>
      </c>
      <c r="AA320"/>
      <c r="AB320"/>
      <c r="AC320" s="5"/>
      <c r="AD320" s="5">
        <v>0</v>
      </c>
      <c r="AE320" s="55">
        <f t="shared" si="14"/>
        <v>0</v>
      </c>
      <c r="AF320" s="57">
        <v>0</v>
      </c>
      <c r="AG320" s="55">
        <v>0</v>
      </c>
      <c r="AH320" s="55">
        <v>0</v>
      </c>
      <c r="AI320" s="52"/>
      <c r="AJ320" s="51"/>
      <c r="AK320" s="52"/>
      <c r="AL320" s="52"/>
      <c r="AM320" s="5">
        <v>2</v>
      </c>
      <c r="AN320" s="5">
        <v>0</v>
      </c>
      <c r="AO320" s="5">
        <v>10</v>
      </c>
      <c r="AP320" s="5">
        <v>0</v>
      </c>
      <c r="AQ320" s="5">
        <v>0.16666666666666671</v>
      </c>
      <c r="AR320" s="5">
        <v>0</v>
      </c>
      <c r="AS320" s="5">
        <v>0.83333333333333337</v>
      </c>
      <c r="AT320" s="5">
        <v>0</v>
      </c>
      <c r="AU320" s="41">
        <v>1.65</v>
      </c>
      <c r="AV320" s="41">
        <v>1.69</v>
      </c>
      <c r="AW320" s="41">
        <v>4.0000000000000042E-2</v>
      </c>
      <c r="AX320" s="41">
        <v>1.6539999999999999</v>
      </c>
      <c r="AY320" s="5">
        <v>1.6539999999999999</v>
      </c>
      <c r="AZ320" s="5">
        <v>4.3620796500000001</v>
      </c>
      <c r="BH320">
        <v>0</v>
      </c>
      <c r="BI320">
        <v>0</v>
      </c>
      <c r="BJ320">
        <v>0</v>
      </c>
    </row>
    <row r="321" spans="1:62" x14ac:dyDescent="0.3">
      <c r="A321" s="2" t="s">
        <v>248</v>
      </c>
      <c r="B321" s="13" t="s">
        <v>816</v>
      </c>
      <c r="C321" s="13"/>
      <c r="F321" s="2">
        <v>3.6</v>
      </c>
      <c r="G321" s="2" t="s">
        <v>245</v>
      </c>
      <c r="H321" s="9" t="s">
        <v>593</v>
      </c>
      <c r="I321" t="s">
        <v>667</v>
      </c>
      <c r="J321" t="s">
        <v>1172</v>
      </c>
      <c r="L321" s="25">
        <v>50</v>
      </c>
      <c r="M321">
        <v>2</v>
      </c>
      <c r="N321">
        <v>0</v>
      </c>
      <c r="T321" s="25">
        <v>12.345150759999999</v>
      </c>
      <c r="U321" s="25">
        <v>15.34169717</v>
      </c>
      <c r="V321" s="25">
        <v>13.410947439999999</v>
      </c>
      <c r="W321">
        <v>3.8</v>
      </c>
      <c r="X321">
        <v>3.8</v>
      </c>
      <c r="Y321">
        <v>6.23</v>
      </c>
      <c r="Z321">
        <v>0</v>
      </c>
      <c r="AA321"/>
      <c r="AB321"/>
      <c r="AD321">
        <v>0</v>
      </c>
      <c r="AE321" s="55">
        <f t="shared" si="14"/>
        <v>0</v>
      </c>
      <c r="AF321" s="57">
        <v>2502.9167389596269</v>
      </c>
      <c r="AG321" s="55">
        <v>77.908684554932648</v>
      </c>
      <c r="AH321" s="55">
        <v>0</v>
      </c>
      <c r="AI321" s="52"/>
      <c r="AJ321" s="51">
        <v>0</v>
      </c>
      <c r="AK321" s="52">
        <v>0</v>
      </c>
      <c r="AL321" s="52"/>
      <c r="AM321" s="28">
        <v>2</v>
      </c>
      <c r="AN321" s="28">
        <v>2</v>
      </c>
      <c r="AO321" s="28">
        <v>5</v>
      </c>
      <c r="AP321" s="28">
        <v>0</v>
      </c>
      <c r="AQ321" s="28">
        <v>0.22222222222222221</v>
      </c>
      <c r="AR321" s="28">
        <v>0.22222222222222221</v>
      </c>
      <c r="AS321" s="28">
        <v>0.55555555555555558</v>
      </c>
      <c r="AT321" s="28">
        <v>0</v>
      </c>
      <c r="AU321" s="25">
        <v>1.65</v>
      </c>
      <c r="AV321" s="25">
        <v>2.58</v>
      </c>
      <c r="AW321" s="25">
        <v>0.93000000000000016</v>
      </c>
      <c r="AX321" s="25">
        <v>2.1150000000000002</v>
      </c>
      <c r="AY321">
        <v>2.1150000000000002</v>
      </c>
      <c r="AZ321">
        <v>5.3028278780000004</v>
      </c>
      <c r="BA321" s="75">
        <v>0.46813521899838401</v>
      </c>
      <c r="BB321" s="75">
        <v>0.6015778510039812</v>
      </c>
      <c r="BE321">
        <v>0</v>
      </c>
      <c r="BF321">
        <v>0</v>
      </c>
      <c r="BH321">
        <v>0</v>
      </c>
      <c r="BI321">
        <v>0</v>
      </c>
      <c r="BJ321">
        <v>0.53485653500118258</v>
      </c>
    </row>
    <row r="322" spans="1:62" x14ac:dyDescent="0.3">
      <c r="A322" s="2" t="s">
        <v>15</v>
      </c>
      <c r="B322" s="13" t="s">
        <v>700</v>
      </c>
      <c r="C322" s="13"/>
      <c r="F322" s="2">
        <v>4.49</v>
      </c>
      <c r="G322" s="2" t="s">
        <v>253</v>
      </c>
      <c r="H322" s="9" t="s">
        <v>533</v>
      </c>
      <c r="I322" t="s">
        <v>614</v>
      </c>
      <c r="J322"/>
      <c r="L322" s="25">
        <v>4</v>
      </c>
      <c r="M322">
        <v>4</v>
      </c>
      <c r="N322">
        <v>0</v>
      </c>
      <c r="T322" s="25">
        <v>5.63450966</v>
      </c>
      <c r="U322" s="25">
        <v>7.6422105</v>
      </c>
      <c r="V322" s="25">
        <v>11.066420430000001</v>
      </c>
      <c r="W322">
        <v>11.013</v>
      </c>
      <c r="X322">
        <v>7.6319999999999997</v>
      </c>
      <c r="Y322">
        <v>5.6210000000000004</v>
      </c>
      <c r="Z322">
        <v>0</v>
      </c>
      <c r="AA322"/>
      <c r="AB322"/>
      <c r="AD322">
        <v>12</v>
      </c>
      <c r="AE322" s="55">
        <f t="shared" si="14"/>
        <v>0</v>
      </c>
      <c r="AF322" s="57">
        <v>476.5212686940929</v>
      </c>
      <c r="AG322" s="55">
        <v>472.45188513599999</v>
      </c>
      <c r="AH322" s="55">
        <v>0</v>
      </c>
      <c r="AI322" s="52"/>
      <c r="AJ322" s="51">
        <v>0.1007300264509579</v>
      </c>
      <c r="AK322" s="52">
        <v>0.1015976473163669</v>
      </c>
      <c r="AL322" s="52"/>
      <c r="AM322" s="28">
        <v>2</v>
      </c>
      <c r="AN322" s="28">
        <v>2.666666666666667</v>
      </c>
      <c r="AO322" s="28">
        <v>0.66666666666666663</v>
      </c>
      <c r="AP322" s="28">
        <v>3.1111111111111112</v>
      </c>
      <c r="AQ322" s="28">
        <v>0.23684210526315791</v>
      </c>
      <c r="AR322" s="28">
        <v>0.31578947368421051</v>
      </c>
      <c r="AS322" s="28">
        <v>7.8947368421052627E-2</v>
      </c>
      <c r="AT322" s="28">
        <v>0.36842105263157893</v>
      </c>
      <c r="AU322" s="25">
        <v>0.95</v>
      </c>
      <c r="AV322" s="25">
        <v>3.44</v>
      </c>
      <c r="AW322" s="25">
        <v>2.4900000000000002</v>
      </c>
      <c r="AX322" s="25">
        <v>2.7322222222222221</v>
      </c>
      <c r="AY322">
        <v>2.7322222222222221</v>
      </c>
      <c r="AZ322">
        <v>6.2204042916666662</v>
      </c>
      <c r="BA322" s="75">
        <v>0.5362582325986015</v>
      </c>
      <c r="BB322" s="75">
        <v>0.54087720122437066</v>
      </c>
      <c r="BE322">
        <v>5.0365013225478962E-2</v>
      </c>
      <c r="BF322">
        <v>5.0798823658183438E-2</v>
      </c>
      <c r="BH322">
        <v>0.1011638368836624</v>
      </c>
      <c r="BI322">
        <v>5.05819184418312E-2</v>
      </c>
      <c r="BJ322">
        <v>0.53856771691148608</v>
      </c>
    </row>
    <row r="323" spans="1:62" x14ac:dyDescent="0.3">
      <c r="A323" s="2" t="s">
        <v>254</v>
      </c>
      <c r="B323" s="13" t="s">
        <v>817</v>
      </c>
      <c r="C323" s="13"/>
      <c r="F323" s="2">
        <v>4.8099999999999996</v>
      </c>
      <c r="G323" s="2" t="s">
        <v>253</v>
      </c>
      <c r="H323" s="9" t="s">
        <v>594</v>
      </c>
      <c r="I323">
        <v>-1</v>
      </c>
      <c r="J323"/>
      <c r="L323" s="25">
        <v>4</v>
      </c>
      <c r="M323">
        <v>0</v>
      </c>
      <c r="N323">
        <v>0</v>
      </c>
      <c r="T323" s="25">
        <v>5.8119930000000002</v>
      </c>
      <c r="U323" s="25">
        <v>10.228956</v>
      </c>
      <c r="V323" s="25">
        <v>17.904929589999998</v>
      </c>
      <c r="W323">
        <v>0</v>
      </c>
      <c r="X323"/>
      <c r="Y323"/>
      <c r="Z323">
        <v>0</v>
      </c>
      <c r="AA323"/>
      <c r="AB323"/>
      <c r="AD323">
        <v>18</v>
      </c>
      <c r="AE323" s="55">
        <f t="shared" ref="AE323:AE386" si="19">O323*P323*Q323</f>
        <v>0</v>
      </c>
      <c r="AF323" s="57">
        <v>882.26177591634428</v>
      </c>
      <c r="AG323" s="55">
        <v>0</v>
      </c>
      <c r="AH323" s="55">
        <v>0</v>
      </c>
      <c r="AI323" s="52"/>
      <c r="AJ323" s="51">
        <v>8.1608431834438916E-2</v>
      </c>
      <c r="AK323" s="52"/>
      <c r="AL323" s="52"/>
      <c r="AM323" s="28">
        <v>2</v>
      </c>
      <c r="AN323" s="28">
        <v>2.4</v>
      </c>
      <c r="AO323" s="28">
        <v>0.4</v>
      </c>
      <c r="AP323" s="28">
        <v>1.8666666666666669</v>
      </c>
      <c r="AQ323" s="28">
        <v>0.3</v>
      </c>
      <c r="AR323" s="28">
        <v>0.36</v>
      </c>
      <c r="AS323" s="28">
        <v>0.06</v>
      </c>
      <c r="AT323" s="28">
        <v>0.28000000000000003</v>
      </c>
      <c r="AU323" s="25">
        <v>0.95</v>
      </c>
      <c r="AV323" s="25">
        <v>3.44</v>
      </c>
      <c r="AW323" s="25">
        <v>2.4900000000000002</v>
      </c>
      <c r="AX323" s="25">
        <v>2.5173333333333332</v>
      </c>
      <c r="AY323">
        <v>2.5173333333333341</v>
      </c>
      <c r="AZ323">
        <v>5.8148519500000004</v>
      </c>
      <c r="BA323" s="75">
        <v>0.53464553504946077</v>
      </c>
      <c r="BE323">
        <v>4.0804215917219458E-2</v>
      </c>
      <c r="BH323">
        <v>8.1608431834438916E-2</v>
      </c>
      <c r="BI323">
        <v>4.0804215917219458E-2</v>
      </c>
      <c r="BJ323">
        <v>0.53464553504946077</v>
      </c>
    </row>
    <row r="324" spans="1:62" x14ac:dyDescent="0.3">
      <c r="A324" s="2" t="s">
        <v>221</v>
      </c>
      <c r="B324" s="13" t="s">
        <v>808</v>
      </c>
      <c r="C324" s="13"/>
      <c r="F324" s="2">
        <v>4.75</v>
      </c>
      <c r="G324" s="2" t="s">
        <v>253</v>
      </c>
      <c r="H324" s="9" t="s">
        <v>589</v>
      </c>
      <c r="I324">
        <v>-1</v>
      </c>
      <c r="J324"/>
      <c r="L324" s="25">
        <v>1</v>
      </c>
      <c r="M324">
        <v>0</v>
      </c>
      <c r="N324">
        <v>0</v>
      </c>
      <c r="T324" s="25">
        <v>5.6694849300000003</v>
      </c>
      <c r="U324" s="25">
        <v>5.6694842000000003</v>
      </c>
      <c r="V324" s="25">
        <v>11.54266629</v>
      </c>
      <c r="W324">
        <v>0</v>
      </c>
      <c r="X324"/>
      <c r="Y324"/>
      <c r="Z324">
        <v>0</v>
      </c>
      <c r="AA324"/>
      <c r="AB324"/>
      <c r="AD324">
        <v>30</v>
      </c>
      <c r="AE324" s="55">
        <f t="shared" si="19"/>
        <v>0</v>
      </c>
      <c r="AF324" s="57">
        <v>321.30962315738361</v>
      </c>
      <c r="AG324" s="55">
        <v>0</v>
      </c>
      <c r="AH324" s="55">
        <v>0</v>
      </c>
      <c r="AI324" s="52"/>
      <c r="AJ324" s="51">
        <v>9.3367885173191417E-2</v>
      </c>
      <c r="AK324" s="52"/>
      <c r="AL324" s="52"/>
      <c r="AM324" s="28">
        <v>2</v>
      </c>
      <c r="AN324" s="28">
        <v>2.5</v>
      </c>
      <c r="AO324" s="28">
        <v>0.5</v>
      </c>
      <c r="AP324" s="28">
        <v>2.333333333333333</v>
      </c>
      <c r="AQ324" s="28">
        <v>0.27272727272727282</v>
      </c>
      <c r="AR324" s="28">
        <v>0.34090909090909088</v>
      </c>
      <c r="AS324" s="28">
        <v>6.8181818181818191E-2</v>
      </c>
      <c r="AT324" s="28">
        <v>0.31818181818181818</v>
      </c>
      <c r="AU324" s="25">
        <v>0.95</v>
      </c>
      <c r="AV324" s="25">
        <v>3.44</v>
      </c>
      <c r="AW324" s="25">
        <v>2.4900000000000002</v>
      </c>
      <c r="AX324" s="25">
        <v>2.5979166666666669</v>
      </c>
      <c r="AY324">
        <v>2.597916666666666</v>
      </c>
      <c r="AZ324">
        <v>5.966934078125</v>
      </c>
      <c r="BA324" s="75">
        <v>0.56583721757051464</v>
      </c>
      <c r="BE324">
        <v>4.6683942586595709E-2</v>
      </c>
      <c r="BH324">
        <v>9.3367885173191417E-2</v>
      </c>
      <c r="BI324">
        <v>4.6683942586595709E-2</v>
      </c>
      <c r="BJ324">
        <v>0.56583721757051464</v>
      </c>
    </row>
    <row r="325" spans="1:62" x14ac:dyDescent="0.3">
      <c r="A325" s="2" t="s">
        <v>255</v>
      </c>
      <c r="B325" s="13" t="s">
        <v>818</v>
      </c>
      <c r="C325" s="13"/>
      <c r="F325" s="2">
        <v>1.55</v>
      </c>
      <c r="G325" s="2" t="s">
        <v>256</v>
      </c>
      <c r="H325" s="9" t="s">
        <v>595</v>
      </c>
      <c r="I325" t="s">
        <v>668</v>
      </c>
      <c r="J325"/>
      <c r="L325" s="25">
        <v>2</v>
      </c>
      <c r="M325">
        <v>4</v>
      </c>
      <c r="N325">
        <v>0</v>
      </c>
      <c r="T325" s="25">
        <v>6.8866614799999999</v>
      </c>
      <c r="U325" s="25">
        <v>6.8866614799999999</v>
      </c>
      <c r="V325" s="25">
        <v>6.8866614799999999</v>
      </c>
      <c r="W325">
        <v>8.51</v>
      </c>
      <c r="X325">
        <v>8.51</v>
      </c>
      <c r="Y325">
        <v>5.8140000000000001</v>
      </c>
      <c r="Z325">
        <v>0</v>
      </c>
      <c r="AA325"/>
      <c r="AB325"/>
      <c r="AD325">
        <v>8</v>
      </c>
      <c r="AE325" s="55">
        <f t="shared" si="19"/>
        <v>0</v>
      </c>
      <c r="AF325" s="57">
        <v>222.33131811857061</v>
      </c>
      <c r="AG325" s="55">
        <v>421.05046140000002</v>
      </c>
      <c r="AH325" s="55">
        <v>0</v>
      </c>
      <c r="AI325" s="52"/>
      <c r="AJ325" s="51">
        <v>7.1964670274059672E-2</v>
      </c>
      <c r="AK325" s="52">
        <v>7.6000391719318994E-2</v>
      </c>
      <c r="AL325" s="52"/>
      <c r="AM325" s="28">
        <v>1.857142857142857</v>
      </c>
      <c r="AN325" s="28">
        <v>3.1428571428571428</v>
      </c>
      <c r="AO325" s="28">
        <v>4.2857142857142856</v>
      </c>
      <c r="AP325" s="28">
        <v>4</v>
      </c>
      <c r="AQ325" s="28">
        <v>0.1397849462365591</v>
      </c>
      <c r="AR325" s="28">
        <v>0.23655913978494619</v>
      </c>
      <c r="AS325" s="28">
        <v>0.32258064516129031</v>
      </c>
      <c r="AT325" s="28">
        <v>0.30107526881720431</v>
      </c>
      <c r="AU325" s="25">
        <v>1.9</v>
      </c>
      <c r="AV325" s="25">
        <v>3.44</v>
      </c>
      <c r="AW325" s="25">
        <v>1.54</v>
      </c>
      <c r="AX325" s="25">
        <v>2.8142857142857141</v>
      </c>
      <c r="AY325">
        <v>2.8142857142857141</v>
      </c>
      <c r="AZ325">
        <v>6.1238972471428568</v>
      </c>
      <c r="BA325" s="75">
        <v>0.44701389447074941</v>
      </c>
      <c r="BB325" s="75">
        <v>0.47208207797488139</v>
      </c>
      <c r="BE325">
        <v>3.5982335137029829E-2</v>
      </c>
      <c r="BF325">
        <v>3.800019585965949E-2</v>
      </c>
      <c r="BH325">
        <v>7.3982530996689333E-2</v>
      </c>
      <c r="BI325">
        <v>3.699126549834466E-2</v>
      </c>
      <c r="BJ325">
        <v>0.4595479862228154</v>
      </c>
    </row>
    <row r="326" spans="1:62" x14ac:dyDescent="0.3">
      <c r="A326" s="2" t="s">
        <v>0</v>
      </c>
      <c r="B326" s="13" t="s">
        <v>685</v>
      </c>
      <c r="C326" s="13"/>
      <c r="F326" s="2">
        <v>3.3</v>
      </c>
      <c r="G326" s="2" t="s">
        <v>257</v>
      </c>
      <c r="H326" s="9" t="s">
        <v>523</v>
      </c>
      <c r="I326" t="s">
        <v>606</v>
      </c>
      <c r="J326"/>
      <c r="L326" s="25">
        <v>4</v>
      </c>
      <c r="M326">
        <v>4</v>
      </c>
      <c r="N326">
        <v>0</v>
      </c>
      <c r="T326" s="25">
        <v>6.6040679999999998</v>
      </c>
      <c r="U326" s="25">
        <v>7.9389519999999996</v>
      </c>
      <c r="V326" s="25">
        <v>33.703336</v>
      </c>
      <c r="W326">
        <v>7.83</v>
      </c>
      <c r="X326">
        <v>33.209989999999998</v>
      </c>
      <c r="Y326">
        <v>6.46</v>
      </c>
      <c r="Z326">
        <v>0</v>
      </c>
      <c r="AA326"/>
      <c r="AB326"/>
      <c r="AD326">
        <v>34</v>
      </c>
      <c r="AE326" s="55">
        <f t="shared" si="19"/>
        <v>0</v>
      </c>
      <c r="AF326" s="57">
        <v>1767.0449718798691</v>
      </c>
      <c r="AG326" s="55">
        <v>1679.8210721820001</v>
      </c>
      <c r="AH326" s="55">
        <v>0</v>
      </c>
      <c r="AI326" s="52"/>
      <c r="AJ326" s="51">
        <v>7.6964651247849417E-2</v>
      </c>
      <c r="AK326" s="52">
        <v>8.0961003676030277E-2</v>
      </c>
      <c r="AL326" s="52"/>
      <c r="AM326" s="28">
        <v>1.62962962962963</v>
      </c>
      <c r="AN326" s="28">
        <v>2.518518518518519</v>
      </c>
      <c r="AO326" s="28">
        <v>0.88888888888888884</v>
      </c>
      <c r="AP326" s="28">
        <v>0</v>
      </c>
      <c r="AQ326" s="28">
        <v>0.32352941176470579</v>
      </c>
      <c r="AR326" s="28">
        <v>0.5</v>
      </c>
      <c r="AS326" s="28">
        <v>0.1764705882352941</v>
      </c>
      <c r="AT326" s="28">
        <v>0</v>
      </c>
      <c r="AU326" s="25">
        <v>0.82</v>
      </c>
      <c r="AV326" s="25">
        <v>3.44</v>
      </c>
      <c r="AW326" s="25">
        <v>2.62</v>
      </c>
      <c r="AX326" s="25">
        <v>2.642962962962963</v>
      </c>
      <c r="AY326">
        <v>2.642962962962963</v>
      </c>
      <c r="AZ326">
        <v>5.9587362692592576</v>
      </c>
      <c r="BA326" s="75">
        <v>0.48264383878002159</v>
      </c>
      <c r="BB326" s="75">
        <v>0.50770488753139842</v>
      </c>
      <c r="BE326">
        <v>3.8482325623924708E-2</v>
      </c>
      <c r="BF326">
        <v>4.0480501838015132E-2</v>
      </c>
      <c r="BH326">
        <v>7.8962827461939847E-2</v>
      </c>
      <c r="BI326">
        <v>3.9481413730969923E-2</v>
      </c>
      <c r="BJ326">
        <v>0.49517436315571001</v>
      </c>
    </row>
    <row r="327" spans="1:62" x14ac:dyDescent="0.3">
      <c r="A327" s="2" t="s">
        <v>215</v>
      </c>
      <c r="B327" s="13" t="s">
        <v>734</v>
      </c>
      <c r="C327" s="13"/>
      <c r="F327" s="2">
        <v>4.13</v>
      </c>
      <c r="G327" s="2" t="s">
        <v>258</v>
      </c>
      <c r="H327" s="9" t="s">
        <v>587</v>
      </c>
      <c r="I327" t="s">
        <v>636</v>
      </c>
      <c r="J327"/>
      <c r="L327" s="25">
        <v>1</v>
      </c>
      <c r="M327">
        <v>1</v>
      </c>
      <c r="N327">
        <v>0</v>
      </c>
      <c r="T327" s="25">
        <v>3.950634</v>
      </c>
      <c r="U327" s="25">
        <v>3.950634</v>
      </c>
      <c r="V327" s="25">
        <v>15.513552000000001</v>
      </c>
      <c r="W327">
        <v>3.8658999999999999</v>
      </c>
      <c r="X327">
        <v>3.8658999999999999</v>
      </c>
      <c r="Y327">
        <v>15.2538</v>
      </c>
      <c r="Z327">
        <v>0</v>
      </c>
      <c r="AA327"/>
      <c r="AB327"/>
      <c r="AD327">
        <v>20</v>
      </c>
      <c r="AE327" s="55">
        <f t="shared" si="19"/>
        <v>0</v>
      </c>
      <c r="AF327" s="57">
        <v>242.1279024923125</v>
      </c>
      <c r="AG327" s="55">
        <v>227.970829547178</v>
      </c>
      <c r="AH327" s="55">
        <v>0</v>
      </c>
      <c r="AI327" s="52"/>
      <c r="AJ327" s="51">
        <v>8.2600971611006269E-2</v>
      </c>
      <c r="AK327" s="52">
        <v>8.7730522539775438E-2</v>
      </c>
      <c r="AL327" s="52"/>
      <c r="AM327" s="28">
        <v>1.9375</v>
      </c>
      <c r="AN327" s="28">
        <v>2.5</v>
      </c>
      <c r="AO327" s="28">
        <v>0.5625</v>
      </c>
      <c r="AP327" s="28">
        <v>2.625</v>
      </c>
      <c r="AQ327" s="28">
        <v>0.25409836065573771</v>
      </c>
      <c r="AR327" s="28">
        <v>0.32786885245901642</v>
      </c>
      <c r="AS327" s="28">
        <v>7.3770491803278687E-2</v>
      </c>
      <c r="AT327" s="28">
        <v>0.34426229508196721</v>
      </c>
      <c r="AU327" s="25">
        <v>0.79</v>
      </c>
      <c r="AV327" s="25">
        <v>3.44</v>
      </c>
      <c r="AW327" s="25">
        <v>2.65</v>
      </c>
      <c r="AX327" s="25">
        <v>2.6056249999999999</v>
      </c>
      <c r="AY327">
        <v>2.6056249999999999</v>
      </c>
      <c r="AZ327">
        <v>5.9703320286696879</v>
      </c>
      <c r="BA327" s="75">
        <v>0.52453741991489755</v>
      </c>
      <c r="BB327" s="75">
        <v>0.55711138795694093</v>
      </c>
      <c r="BE327">
        <v>4.1300485805503127E-2</v>
      </c>
      <c r="BF327">
        <v>4.3865261269887712E-2</v>
      </c>
      <c r="BH327">
        <v>8.5165747075390846E-2</v>
      </c>
      <c r="BI327">
        <v>4.2582873537695423E-2</v>
      </c>
      <c r="BJ327">
        <v>0.54082440393591924</v>
      </c>
    </row>
    <row r="328" spans="1:62" x14ac:dyDescent="0.3">
      <c r="A328" s="2" t="s">
        <v>259</v>
      </c>
      <c r="B328" s="17" t="s">
        <v>734</v>
      </c>
      <c r="C328" s="13"/>
      <c r="D328" s="2" t="s">
        <v>676</v>
      </c>
      <c r="E328" s="2">
        <v>0.3</v>
      </c>
      <c r="F328" s="2">
        <v>2.17</v>
      </c>
      <c r="G328" s="2" t="s">
        <v>258</v>
      </c>
      <c r="H328" s="9" t="s">
        <v>587</v>
      </c>
      <c r="I328" t="s">
        <v>636</v>
      </c>
      <c r="J328"/>
      <c r="L328" s="25">
        <v>1</v>
      </c>
      <c r="M328">
        <v>1</v>
      </c>
      <c r="N328">
        <v>0</v>
      </c>
      <c r="T328" s="25">
        <v>3.950634</v>
      </c>
      <c r="U328" s="25">
        <v>3.950634</v>
      </c>
      <c r="V328" s="25">
        <v>15.513552000000001</v>
      </c>
      <c r="W328">
        <v>3.8658999999999999</v>
      </c>
      <c r="X328">
        <v>3.8658999999999999</v>
      </c>
      <c r="Y328">
        <v>15.2538</v>
      </c>
      <c r="Z328">
        <v>0</v>
      </c>
      <c r="AA328"/>
      <c r="AB328"/>
      <c r="AD328">
        <v>20</v>
      </c>
      <c r="AE328" s="55">
        <f t="shared" si="19"/>
        <v>0</v>
      </c>
      <c r="AF328" s="57">
        <v>242.1279024923125</v>
      </c>
      <c r="AG328" s="55">
        <v>227.970829547178</v>
      </c>
      <c r="AH328" s="55">
        <v>0</v>
      </c>
      <c r="AI328" s="52"/>
      <c r="AJ328" s="51">
        <v>8.2600971611006269E-2</v>
      </c>
      <c r="AK328" s="52">
        <v>8.7730522539775438E-2</v>
      </c>
      <c r="AL328" s="52"/>
      <c r="AM328" s="28">
        <v>1.9375</v>
      </c>
      <c r="AN328" s="28">
        <v>2.5</v>
      </c>
      <c r="AO328" s="28">
        <v>0.5625</v>
      </c>
      <c r="AP328" s="28">
        <v>2.625</v>
      </c>
      <c r="AQ328" s="28">
        <v>0.25409836065573771</v>
      </c>
      <c r="AR328" s="28">
        <v>0.32786885245901642</v>
      </c>
      <c r="AS328" s="28">
        <v>7.3770491803278687E-2</v>
      </c>
      <c r="AT328" s="28">
        <v>0.34426229508196721</v>
      </c>
      <c r="AU328" s="25">
        <v>0.79</v>
      </c>
      <c r="AV328" s="25">
        <v>3.44</v>
      </c>
      <c r="AW328" s="25">
        <v>2.65</v>
      </c>
      <c r="AX328" s="25">
        <v>2.6056249999999999</v>
      </c>
      <c r="AY328">
        <v>2.6056249999999999</v>
      </c>
      <c r="AZ328">
        <v>5.9703320286696879</v>
      </c>
      <c r="BA328" s="75">
        <v>0.52453741991489755</v>
      </c>
      <c r="BB328" s="75">
        <v>0.55711138795694093</v>
      </c>
      <c r="BE328">
        <v>4.1300485805503127E-2</v>
      </c>
      <c r="BF328">
        <v>4.3865261269887712E-2</v>
      </c>
      <c r="BH328">
        <v>8.5165747075390846E-2</v>
      </c>
      <c r="BI328">
        <v>4.2582873537695423E-2</v>
      </c>
      <c r="BJ328">
        <v>0.54082440393591924</v>
      </c>
    </row>
    <row r="329" spans="1:62" x14ac:dyDescent="0.3">
      <c r="A329" s="2" t="s">
        <v>4</v>
      </c>
      <c r="B329" s="13" t="s">
        <v>689</v>
      </c>
      <c r="C329" s="13"/>
      <c r="F329" s="2">
        <v>3.35</v>
      </c>
      <c r="G329" s="2" t="s">
        <v>260</v>
      </c>
      <c r="H329" s="9" t="s">
        <v>527</v>
      </c>
      <c r="I329" t="s">
        <v>609</v>
      </c>
      <c r="J329"/>
      <c r="L329" s="25">
        <v>4</v>
      </c>
      <c r="M329">
        <v>4</v>
      </c>
      <c r="N329">
        <v>0</v>
      </c>
      <c r="T329" s="25">
        <v>7.8084429999999996</v>
      </c>
      <c r="U329" s="25">
        <v>7.8548809999999998</v>
      </c>
      <c r="V329" s="25">
        <v>15.19056011</v>
      </c>
      <c r="W329">
        <v>3.8801999999999999</v>
      </c>
      <c r="X329">
        <v>29.507999999999999</v>
      </c>
      <c r="Y329">
        <v>7.7140000000000004</v>
      </c>
      <c r="Z329">
        <v>0</v>
      </c>
      <c r="AA329"/>
      <c r="AB329"/>
      <c r="AD329">
        <v>20</v>
      </c>
      <c r="AE329" s="55">
        <f t="shared" si="19"/>
        <v>0</v>
      </c>
      <c r="AF329" s="57">
        <v>924.74694800021894</v>
      </c>
      <c r="AG329" s="55">
        <v>883.22940750240002</v>
      </c>
      <c r="AH329" s="55">
        <v>0</v>
      </c>
      <c r="AI329" s="52"/>
      <c r="AJ329" s="51">
        <v>8.6510153045653584E-2</v>
      </c>
      <c r="AK329" s="52">
        <v>9.0576694254581439E-2</v>
      </c>
      <c r="AL329" s="52"/>
      <c r="AM329" s="28">
        <v>1.75</v>
      </c>
      <c r="AN329" s="28">
        <v>2.5</v>
      </c>
      <c r="AO329" s="28">
        <v>0.75</v>
      </c>
      <c r="AP329" s="28">
        <v>0</v>
      </c>
      <c r="AQ329" s="28">
        <v>0.35</v>
      </c>
      <c r="AR329" s="28">
        <v>0.5</v>
      </c>
      <c r="AS329" s="28">
        <v>0.15</v>
      </c>
      <c r="AT329" s="28">
        <v>0</v>
      </c>
      <c r="AU329" s="25">
        <v>0.82</v>
      </c>
      <c r="AV329" s="25">
        <v>3.44</v>
      </c>
      <c r="AW329" s="25">
        <v>2.62</v>
      </c>
      <c r="AX329" s="25">
        <v>2.6262500000000002</v>
      </c>
      <c r="AY329">
        <v>2.6262500000000002</v>
      </c>
      <c r="AZ329">
        <v>5.96680968125</v>
      </c>
      <c r="BA329" s="75">
        <v>0.50555206026575039</v>
      </c>
      <c r="BB329" s="75">
        <v>0</v>
      </c>
      <c r="BE329">
        <v>4.3255076522826792E-2</v>
      </c>
      <c r="BF329">
        <v>4.5288347127290719E-2</v>
      </c>
      <c r="BH329">
        <v>8.8543423650117511E-2</v>
      </c>
      <c r="BI329">
        <v>4.4271711825058763E-2</v>
      </c>
      <c r="BJ329">
        <v>0.2527760301328752</v>
      </c>
    </row>
    <row r="330" spans="1:62" x14ac:dyDescent="0.3">
      <c r="A330" s="2" t="s">
        <v>38</v>
      </c>
      <c r="B330" s="13" t="s">
        <v>714</v>
      </c>
      <c r="C330" s="13"/>
      <c r="F330" s="2">
        <v>3.92</v>
      </c>
      <c r="G330" s="2" t="s">
        <v>261</v>
      </c>
      <c r="H330" s="9" t="s">
        <v>545</v>
      </c>
      <c r="I330" t="s">
        <v>626</v>
      </c>
      <c r="J330"/>
      <c r="L330" s="25">
        <v>1</v>
      </c>
      <c r="M330">
        <v>1</v>
      </c>
      <c r="N330">
        <v>0</v>
      </c>
      <c r="T330" s="25">
        <v>5.8532381300000003</v>
      </c>
      <c r="U330" s="25">
        <v>5.8532371599999999</v>
      </c>
      <c r="V330" s="25">
        <v>11.912811489999999</v>
      </c>
      <c r="W330">
        <v>5.7946</v>
      </c>
      <c r="X330">
        <v>5.7946</v>
      </c>
      <c r="Y330">
        <v>11.787599999999999</v>
      </c>
      <c r="Z330">
        <v>0</v>
      </c>
      <c r="AA330"/>
      <c r="AB330"/>
      <c r="AD330">
        <v>30</v>
      </c>
      <c r="AE330" s="55">
        <f t="shared" si="19"/>
        <v>0</v>
      </c>
      <c r="AF330" s="57">
        <v>353.45760058531442</v>
      </c>
      <c r="AG330" s="55">
        <v>342.77011164986573</v>
      </c>
      <c r="AH330" s="55">
        <v>0</v>
      </c>
      <c r="AI330" s="52"/>
      <c r="AJ330" s="51">
        <v>8.487580957467307E-2</v>
      </c>
      <c r="AK330" s="52">
        <v>8.752221672887435E-2</v>
      </c>
      <c r="AL330" s="52"/>
      <c r="AM330" s="28">
        <v>1.833333333333333</v>
      </c>
      <c r="AN330" s="28">
        <v>2.5</v>
      </c>
      <c r="AO330" s="28">
        <v>0.66666666666666663</v>
      </c>
      <c r="AP330" s="28">
        <v>0</v>
      </c>
      <c r="AQ330" s="28">
        <v>0.36666666666666659</v>
      </c>
      <c r="AR330" s="28">
        <v>0.5</v>
      </c>
      <c r="AS330" s="28">
        <v>0.1333333333333333</v>
      </c>
      <c r="AT330" s="28">
        <v>0</v>
      </c>
      <c r="AU330" s="25">
        <v>0.89</v>
      </c>
      <c r="AV330" s="25">
        <v>3.44</v>
      </c>
      <c r="AW330" s="25">
        <v>2.5499999999999998</v>
      </c>
      <c r="AX330" s="25">
        <v>2.6020833333333329</v>
      </c>
      <c r="AY330">
        <v>2.6020833333333329</v>
      </c>
      <c r="AZ330">
        <v>5.9098726145833336</v>
      </c>
      <c r="BA330" s="75">
        <v>0.57410011132036598</v>
      </c>
      <c r="BB330" s="75">
        <v>0.59200041353179045</v>
      </c>
      <c r="BE330">
        <v>4.2437904787336528E-2</v>
      </c>
      <c r="BF330">
        <v>4.3761108364437168E-2</v>
      </c>
      <c r="BH330">
        <v>8.619901315177371E-2</v>
      </c>
      <c r="BI330">
        <v>4.3099506575886848E-2</v>
      </c>
      <c r="BJ330">
        <v>0.58305026242607827</v>
      </c>
    </row>
    <row r="331" spans="1:62" x14ac:dyDescent="0.3">
      <c r="A331" s="2" t="s">
        <v>4</v>
      </c>
      <c r="B331" s="20" t="s">
        <v>689</v>
      </c>
      <c r="C331" s="13"/>
      <c r="F331" s="2">
        <v>3.55</v>
      </c>
      <c r="G331" s="2" t="s">
        <v>263</v>
      </c>
      <c r="H331" s="9">
        <v>-1</v>
      </c>
      <c r="I331">
        <v>-1</v>
      </c>
      <c r="J331"/>
      <c r="K331" s="2">
        <v>4</v>
      </c>
      <c r="L331" s="25">
        <v>0</v>
      </c>
      <c r="M331">
        <v>0</v>
      </c>
      <c r="N331">
        <v>0</v>
      </c>
      <c r="O331" s="2">
        <v>3.8450000000000002</v>
      </c>
      <c r="P331" s="2">
        <v>29.35</v>
      </c>
      <c r="Q331" s="2">
        <v>7.6580000000000004</v>
      </c>
      <c r="R331" s="2" t="s">
        <v>472</v>
      </c>
      <c r="T331" s="25">
        <v>0</v>
      </c>
      <c r="U331" s="25"/>
      <c r="V331" s="25"/>
      <c r="W331">
        <v>0</v>
      </c>
      <c r="X331"/>
      <c r="Y331"/>
      <c r="Z331">
        <v>0</v>
      </c>
      <c r="AA331"/>
      <c r="AB331"/>
      <c r="AD331">
        <v>20</v>
      </c>
      <c r="AE331" s="55">
        <f t="shared" si="19"/>
        <v>864.21104350000007</v>
      </c>
      <c r="AF331" s="57">
        <v>0</v>
      </c>
      <c r="AG331" s="55">
        <v>0</v>
      </c>
      <c r="AH331" s="55">
        <v>0</v>
      </c>
      <c r="AI331" s="52">
        <f t="shared" ref="AI331:AI332" si="20">K331*AD331/AE331</f>
        <v>9.256998114257492E-2</v>
      </c>
      <c r="AJ331" s="51"/>
      <c r="AK331" s="52"/>
      <c r="AL331" s="52"/>
      <c r="AM331" s="28">
        <v>1.75</v>
      </c>
      <c r="AN331" s="28">
        <v>2.5</v>
      </c>
      <c r="AO331" s="28">
        <v>0.75</v>
      </c>
      <c r="AP331" s="28">
        <v>0</v>
      </c>
      <c r="AQ331" s="28">
        <v>0.35</v>
      </c>
      <c r="AR331" s="28">
        <v>0.5</v>
      </c>
      <c r="AS331" s="28">
        <v>0.15</v>
      </c>
      <c r="AT331" s="28">
        <v>0</v>
      </c>
      <c r="AU331" s="25">
        <v>0.82</v>
      </c>
      <c r="AV331" s="25">
        <v>3.44</v>
      </c>
      <c r="AW331" s="25">
        <v>2.62</v>
      </c>
      <c r="AX331" s="25">
        <v>2.6262500000000002</v>
      </c>
      <c r="AY331">
        <v>2.7466666666666661</v>
      </c>
      <c r="AZ331">
        <v>6.2031928980000002</v>
      </c>
      <c r="BD331">
        <v>4.628499057128746E-2</v>
      </c>
      <c r="BH331">
        <v>9.256998114257492E-2</v>
      </c>
      <c r="BI331">
        <v>4.628499057128746E-2</v>
      </c>
      <c r="BJ331">
        <v>0</v>
      </c>
    </row>
    <row r="332" spans="1:62" x14ac:dyDescent="0.3">
      <c r="A332" s="2" t="s">
        <v>4</v>
      </c>
      <c r="B332" s="20" t="s">
        <v>689</v>
      </c>
      <c r="C332" s="13"/>
      <c r="D332" s="2" t="s">
        <v>676</v>
      </c>
      <c r="E332" s="2">
        <v>1.37</v>
      </c>
      <c r="F332" s="2">
        <v>3.03</v>
      </c>
      <c r="G332" s="2" t="s">
        <v>263</v>
      </c>
      <c r="H332" s="9">
        <v>-1</v>
      </c>
      <c r="I332">
        <v>-1</v>
      </c>
      <c r="J332"/>
      <c r="K332" s="2">
        <v>4</v>
      </c>
      <c r="L332" s="25">
        <v>0</v>
      </c>
      <c r="M332">
        <v>0</v>
      </c>
      <c r="N332">
        <v>0</v>
      </c>
      <c r="O332" s="2">
        <v>3.8490000000000002</v>
      </c>
      <c r="P332" s="2">
        <v>29.42</v>
      </c>
      <c r="Q332" s="2">
        <v>7.6680000000000001</v>
      </c>
      <c r="R332" s="2" t="s">
        <v>472</v>
      </c>
      <c r="T332" s="25">
        <v>0</v>
      </c>
      <c r="U332" s="25"/>
      <c r="V332" s="25"/>
      <c r="W332">
        <v>0</v>
      </c>
      <c r="X332"/>
      <c r="Y332"/>
      <c r="Z332">
        <v>0</v>
      </c>
      <c r="AA332"/>
      <c r="AB332"/>
      <c r="AD332">
        <v>20</v>
      </c>
      <c r="AE332" s="55">
        <f t="shared" si="19"/>
        <v>868.30576344000008</v>
      </c>
      <c r="AF332" s="57">
        <v>0</v>
      </c>
      <c r="AG332" s="55">
        <v>0</v>
      </c>
      <c r="AH332" s="55">
        <v>0</v>
      </c>
      <c r="AI332" s="52">
        <f t="shared" si="20"/>
        <v>9.2133443503888482E-2</v>
      </c>
      <c r="AJ332" s="51"/>
      <c r="AK332" s="52"/>
      <c r="AL332" s="52"/>
      <c r="AM332" s="28">
        <v>1.75</v>
      </c>
      <c r="AN332" s="28">
        <v>2.5</v>
      </c>
      <c r="AO332" s="28">
        <v>0.75</v>
      </c>
      <c r="AP332" s="28">
        <v>0</v>
      </c>
      <c r="AQ332" s="28">
        <v>0.35</v>
      </c>
      <c r="AR332" s="28">
        <v>0.5</v>
      </c>
      <c r="AS332" s="28">
        <v>0.15</v>
      </c>
      <c r="AT332" s="28">
        <v>0</v>
      </c>
      <c r="AU332" s="25">
        <v>0.82</v>
      </c>
      <c r="AV332" s="25">
        <v>3.44</v>
      </c>
      <c r="AW332" s="25">
        <v>2.62</v>
      </c>
      <c r="AX332" s="25">
        <v>2.6262500000000002</v>
      </c>
      <c r="AY332">
        <v>2.7466666666666661</v>
      </c>
      <c r="AZ332">
        <v>6.2031928980000002</v>
      </c>
      <c r="BD332">
        <v>4.6066721751944241E-2</v>
      </c>
      <c r="BH332">
        <v>9.2133443503888482E-2</v>
      </c>
      <c r="BI332">
        <v>4.6066721751944241E-2</v>
      </c>
      <c r="BJ332">
        <v>0</v>
      </c>
    </row>
    <row r="333" spans="1:62" x14ac:dyDescent="0.3">
      <c r="A333" s="2" t="s">
        <v>889</v>
      </c>
      <c r="B333" s="17" t="s">
        <v>945</v>
      </c>
      <c r="C333" s="13"/>
      <c r="D333" s="2" t="s">
        <v>676</v>
      </c>
      <c r="E333" s="2">
        <v>0.41</v>
      </c>
      <c r="F333" s="2">
        <v>2.1800000000000002</v>
      </c>
      <c r="G333" s="2" t="s">
        <v>264</v>
      </c>
      <c r="H333" s="9">
        <v>-1</v>
      </c>
      <c r="I333">
        <v>-1</v>
      </c>
      <c r="J333" t="s">
        <v>1174</v>
      </c>
      <c r="K333" s="2">
        <v>1</v>
      </c>
      <c r="L333" s="25">
        <v>0</v>
      </c>
      <c r="M333">
        <v>0</v>
      </c>
      <c r="N333">
        <v>1</v>
      </c>
      <c r="O333" s="2">
        <v>3.899</v>
      </c>
      <c r="P333" s="2">
        <v>3.899</v>
      </c>
      <c r="Q333" s="2">
        <v>15.5359</v>
      </c>
      <c r="T333" s="25">
        <v>0</v>
      </c>
      <c r="U333" s="25"/>
      <c r="V333" s="25"/>
      <c r="W333">
        <v>0</v>
      </c>
      <c r="X333"/>
      <c r="Y333"/>
      <c r="Z333">
        <v>0</v>
      </c>
      <c r="AA333"/>
      <c r="AB333"/>
      <c r="AD333">
        <v>20</v>
      </c>
      <c r="AE333" s="55">
        <f t="shared" si="19"/>
        <v>236.1798745159</v>
      </c>
      <c r="AF333" s="57">
        <v>0</v>
      </c>
      <c r="AG333" s="55">
        <v>0</v>
      </c>
      <c r="AH333" s="55">
        <v>236.2</v>
      </c>
      <c r="AI333" s="52"/>
      <c r="AJ333" s="51"/>
      <c r="AK333" s="52"/>
      <c r="AL333" s="67">
        <f>N333*AD333/AH333</f>
        <v>8.4674005080440304E-2</v>
      </c>
      <c r="AM333" s="28">
        <v>1.9375</v>
      </c>
      <c r="AN333" s="28">
        <v>2.5</v>
      </c>
      <c r="AO333" s="28">
        <v>0.5625</v>
      </c>
      <c r="AP333" s="28">
        <v>2.625</v>
      </c>
      <c r="AQ333" s="28">
        <v>0.25409836065573771</v>
      </c>
      <c r="AR333" s="28">
        <v>0.32786885245901642</v>
      </c>
      <c r="AS333" s="28">
        <v>7.3770491803278687E-2</v>
      </c>
      <c r="AT333" s="28">
        <v>0.34426229508196721</v>
      </c>
      <c r="AU333" s="25">
        <v>0.79</v>
      </c>
      <c r="AV333" s="25">
        <v>3.44</v>
      </c>
      <c r="AW333" s="25">
        <v>2.65</v>
      </c>
      <c r="AX333" s="25">
        <v>2.5975000000000001</v>
      </c>
      <c r="AY333">
        <v>2.5975000000000001</v>
      </c>
      <c r="AZ333">
        <v>5.9398049203884389</v>
      </c>
      <c r="BC333" s="75">
        <v>0.56677800513792698</v>
      </c>
      <c r="BD333">
        <v>4.2340610183221959E-2</v>
      </c>
      <c r="BG333">
        <v>4.2337002540220152E-2</v>
      </c>
      <c r="BH333">
        <v>8.4674005080440304E-2</v>
      </c>
      <c r="BI333">
        <v>4.2338806361721062E-2</v>
      </c>
      <c r="BJ333">
        <v>0.56677800513792698</v>
      </c>
    </row>
    <row r="334" spans="1:62" x14ac:dyDescent="0.3">
      <c r="A334" s="2" t="s">
        <v>4</v>
      </c>
      <c r="B334" s="13" t="s">
        <v>689</v>
      </c>
      <c r="C334" s="13"/>
      <c r="D334" s="2" t="s">
        <v>890</v>
      </c>
      <c r="E334" s="2">
        <v>0.55000000000000004</v>
      </c>
      <c r="F334" s="2">
        <v>2.92</v>
      </c>
      <c r="G334" s="2" t="s">
        <v>265</v>
      </c>
      <c r="H334" s="9" t="s">
        <v>527</v>
      </c>
      <c r="I334" t="s">
        <v>609</v>
      </c>
      <c r="J334"/>
      <c r="L334" s="25">
        <v>4</v>
      </c>
      <c r="M334">
        <v>4</v>
      </c>
      <c r="N334">
        <v>0</v>
      </c>
      <c r="T334" s="25">
        <v>7.8084429999999996</v>
      </c>
      <c r="U334" s="25">
        <v>7.8548809999999998</v>
      </c>
      <c r="V334" s="25">
        <v>15.19056011</v>
      </c>
      <c r="W334">
        <v>3.8801999999999999</v>
      </c>
      <c r="X334">
        <v>29.507999999999999</v>
      </c>
      <c r="Y334">
        <v>7.7140000000000004</v>
      </c>
      <c r="Z334">
        <v>0</v>
      </c>
      <c r="AA334"/>
      <c r="AB334"/>
      <c r="AD334">
        <v>20</v>
      </c>
      <c r="AE334" s="55">
        <f t="shared" si="19"/>
        <v>0</v>
      </c>
      <c r="AF334" s="57">
        <v>924.74694800021894</v>
      </c>
      <c r="AG334" s="55">
        <v>883.22940750240002</v>
      </c>
      <c r="AH334" s="55">
        <v>0</v>
      </c>
      <c r="AI334" s="52"/>
      <c r="AJ334" s="51">
        <v>8.6510153045653584E-2</v>
      </c>
      <c r="AK334" s="52">
        <v>9.0576694254581439E-2</v>
      </c>
      <c r="AL334" s="52"/>
      <c r="AM334" s="28">
        <v>1.75</v>
      </c>
      <c r="AN334" s="28">
        <v>2.5</v>
      </c>
      <c r="AO334" s="28">
        <v>0.75</v>
      </c>
      <c r="AP334" s="28">
        <v>0</v>
      </c>
      <c r="AQ334" s="28">
        <v>0.35</v>
      </c>
      <c r="AR334" s="28">
        <v>0.5</v>
      </c>
      <c r="AS334" s="28">
        <v>0.15</v>
      </c>
      <c r="AT334" s="28">
        <v>0</v>
      </c>
      <c r="AU334" s="25">
        <v>0.82</v>
      </c>
      <c r="AV334" s="25">
        <v>3.44</v>
      </c>
      <c r="AW334" s="25">
        <v>2.62</v>
      </c>
      <c r="AX334" s="25">
        <v>2.6262500000000002</v>
      </c>
      <c r="AY334">
        <v>2.6262500000000002</v>
      </c>
      <c r="AZ334">
        <v>5.96680968125</v>
      </c>
      <c r="BA334" s="75">
        <v>0.50555206026575039</v>
      </c>
      <c r="BB334" s="75">
        <v>0</v>
      </c>
      <c r="BE334">
        <v>4.3255076522826792E-2</v>
      </c>
      <c r="BF334">
        <v>4.5288347127290719E-2</v>
      </c>
      <c r="BH334">
        <v>8.8543423650117511E-2</v>
      </c>
      <c r="BI334">
        <v>4.4271711825058763E-2</v>
      </c>
      <c r="BJ334">
        <v>0.2527760301328752</v>
      </c>
    </row>
    <row r="335" spans="1:62" x14ac:dyDescent="0.3">
      <c r="A335" s="2" t="s">
        <v>4</v>
      </c>
      <c r="B335" s="13" t="s">
        <v>689</v>
      </c>
      <c r="C335" s="13"/>
      <c r="F335" s="2">
        <v>3.55</v>
      </c>
      <c r="G335" s="2" t="s">
        <v>265</v>
      </c>
      <c r="H335" s="9" t="s">
        <v>527</v>
      </c>
      <c r="I335" t="s">
        <v>609</v>
      </c>
      <c r="J335"/>
      <c r="L335" s="25">
        <v>4</v>
      </c>
      <c r="M335">
        <v>4</v>
      </c>
      <c r="N335">
        <v>0</v>
      </c>
      <c r="T335" s="25">
        <v>7.8084429999999996</v>
      </c>
      <c r="U335" s="25">
        <v>7.8548809999999998</v>
      </c>
      <c r="V335" s="25">
        <v>15.19056011</v>
      </c>
      <c r="W335">
        <v>3.8801999999999999</v>
      </c>
      <c r="X335">
        <v>29.507999999999999</v>
      </c>
      <c r="Y335">
        <v>7.7140000000000004</v>
      </c>
      <c r="Z335">
        <v>0</v>
      </c>
      <c r="AA335"/>
      <c r="AB335"/>
      <c r="AD335">
        <v>20</v>
      </c>
      <c r="AE335" s="55">
        <f t="shared" si="19"/>
        <v>0</v>
      </c>
      <c r="AF335" s="57">
        <v>924.74694800021894</v>
      </c>
      <c r="AG335" s="55">
        <v>883.22940750240002</v>
      </c>
      <c r="AH335" s="55">
        <v>0</v>
      </c>
      <c r="AI335" s="52"/>
      <c r="AJ335" s="51">
        <v>8.6510153045653584E-2</v>
      </c>
      <c r="AK335" s="52">
        <v>9.0576694254581439E-2</v>
      </c>
      <c r="AL335" s="52"/>
      <c r="AM335" s="28">
        <v>1.75</v>
      </c>
      <c r="AN335" s="28">
        <v>2.5</v>
      </c>
      <c r="AO335" s="28">
        <v>0.75</v>
      </c>
      <c r="AP335" s="28">
        <v>0</v>
      </c>
      <c r="AQ335" s="28">
        <v>0.35</v>
      </c>
      <c r="AR335" s="28">
        <v>0.5</v>
      </c>
      <c r="AS335" s="28">
        <v>0.15</v>
      </c>
      <c r="AT335" s="28">
        <v>0</v>
      </c>
      <c r="AU335" s="25">
        <v>0.82</v>
      </c>
      <c r="AV335" s="25">
        <v>3.44</v>
      </c>
      <c r="AW335" s="25">
        <v>2.62</v>
      </c>
      <c r="AX335" s="25">
        <v>2.6262500000000002</v>
      </c>
      <c r="AY335">
        <v>2.6262500000000002</v>
      </c>
      <c r="AZ335">
        <v>5.96680968125</v>
      </c>
      <c r="BA335" s="75">
        <v>0.50555206026575039</v>
      </c>
      <c r="BB335" s="75">
        <v>0</v>
      </c>
      <c r="BE335">
        <v>4.3255076522826792E-2</v>
      </c>
      <c r="BF335">
        <v>4.5288347127290719E-2</v>
      </c>
      <c r="BH335">
        <v>8.8543423650117511E-2</v>
      </c>
      <c r="BI335">
        <v>4.4271711825058763E-2</v>
      </c>
      <c r="BJ335">
        <v>0.2527760301328752</v>
      </c>
    </row>
    <row r="336" spans="1:62" x14ac:dyDescent="0.3">
      <c r="A336" s="2" t="s">
        <v>266</v>
      </c>
      <c r="B336" s="13" t="s">
        <v>819</v>
      </c>
      <c r="C336" s="13"/>
      <c r="F336" s="2">
        <v>2.8</v>
      </c>
      <c r="G336" s="2" t="s">
        <v>267</v>
      </c>
      <c r="H336" s="9" t="s">
        <v>596</v>
      </c>
      <c r="I336" t="s">
        <v>669</v>
      </c>
      <c r="J336"/>
      <c r="L336" s="25">
        <v>1</v>
      </c>
      <c r="M336">
        <v>1</v>
      </c>
      <c r="N336">
        <v>0</v>
      </c>
      <c r="O336" s="2">
        <v>3.97</v>
      </c>
      <c r="P336" s="2">
        <v>3.97</v>
      </c>
      <c r="Q336" s="2">
        <v>15.56</v>
      </c>
      <c r="R336" s="2" t="s">
        <v>519</v>
      </c>
      <c r="T336" s="25">
        <v>4.0290549999999996</v>
      </c>
      <c r="U336" s="25">
        <v>4.0290549999999996</v>
      </c>
      <c r="V336" s="25">
        <v>16.069894999999999</v>
      </c>
      <c r="W336">
        <v>3.9765999999999999</v>
      </c>
      <c r="X336">
        <v>3.9765999999999999</v>
      </c>
      <c r="Y336">
        <v>15.5792</v>
      </c>
      <c r="Z336">
        <v>0</v>
      </c>
      <c r="AA336"/>
      <c r="AB336"/>
      <c r="AD336">
        <v>20</v>
      </c>
      <c r="AE336" s="55">
        <f t="shared" si="19"/>
        <v>245.23960400000001</v>
      </c>
      <c r="AF336" s="57">
        <v>260.8671724870714</v>
      </c>
      <c r="AG336" s="55">
        <v>246.35930430675199</v>
      </c>
      <c r="AH336" s="55">
        <v>0</v>
      </c>
      <c r="AI336" s="52"/>
      <c r="AJ336" s="51">
        <v>7.6667369869971663E-2</v>
      </c>
      <c r="AK336" s="52">
        <v>8.1182239316186677E-2</v>
      </c>
      <c r="AL336" s="52"/>
      <c r="AM336" s="28">
        <v>1.75</v>
      </c>
      <c r="AN336" s="28">
        <v>2.5</v>
      </c>
      <c r="AO336" s="28">
        <v>0.75</v>
      </c>
      <c r="AP336" s="28">
        <v>0</v>
      </c>
      <c r="AQ336" s="28">
        <v>0.35</v>
      </c>
      <c r="AR336" s="28">
        <v>0.5</v>
      </c>
      <c r="AS336" s="28">
        <v>0.15</v>
      </c>
      <c r="AT336" s="28">
        <v>0</v>
      </c>
      <c r="AU336" s="25">
        <v>0.79</v>
      </c>
      <c r="AV336" s="25">
        <v>3.44</v>
      </c>
      <c r="AW336" s="25">
        <v>2.65</v>
      </c>
      <c r="AX336" s="25">
        <v>2.6106250000000002</v>
      </c>
      <c r="AY336">
        <v>2.6106250000000002</v>
      </c>
      <c r="AZ336">
        <v>5.9030778492946876</v>
      </c>
      <c r="BA336" s="75">
        <v>0.54551133687670861</v>
      </c>
      <c r="BB336" s="75">
        <v>0.57763598744977085</v>
      </c>
      <c r="BE336">
        <v>3.8333684934985832E-2</v>
      </c>
      <c r="BF336">
        <v>4.0591119658093339E-2</v>
      </c>
      <c r="BH336">
        <v>7.892480459307917E-2</v>
      </c>
      <c r="BI336">
        <v>3.9462402296539592E-2</v>
      </c>
      <c r="BJ336">
        <v>0.56157366216323967</v>
      </c>
    </row>
    <row r="337" spans="1:62" x14ac:dyDescent="0.3">
      <c r="A337" s="2" t="s">
        <v>268</v>
      </c>
      <c r="B337" s="13" t="s">
        <v>820</v>
      </c>
      <c r="C337" s="13"/>
      <c r="F337" s="2">
        <v>2.8</v>
      </c>
      <c r="G337" s="2" t="s">
        <v>267</v>
      </c>
      <c r="H337" s="9">
        <v>-1</v>
      </c>
      <c r="I337">
        <v>-1</v>
      </c>
      <c r="J337"/>
      <c r="K337" s="2">
        <v>1</v>
      </c>
      <c r="L337" s="25">
        <v>0</v>
      </c>
      <c r="M337">
        <v>0</v>
      </c>
      <c r="N337">
        <v>0</v>
      </c>
      <c r="O337" s="2">
        <v>3.97</v>
      </c>
      <c r="P337" s="2">
        <v>3.97</v>
      </c>
      <c r="Q337" s="2">
        <v>15.56</v>
      </c>
      <c r="R337" s="2" t="s">
        <v>519</v>
      </c>
      <c r="T337" s="25">
        <v>0</v>
      </c>
      <c r="U337" s="25"/>
      <c r="V337" s="25"/>
      <c r="W337">
        <v>0</v>
      </c>
      <c r="X337"/>
      <c r="Y337"/>
      <c r="Z337">
        <v>0</v>
      </c>
      <c r="AA337"/>
      <c r="AB337"/>
      <c r="AD337">
        <v>20</v>
      </c>
      <c r="AE337" s="55">
        <f t="shared" si="19"/>
        <v>245.23960400000001</v>
      </c>
      <c r="AF337" s="57">
        <v>0</v>
      </c>
      <c r="AG337" s="55">
        <v>0</v>
      </c>
      <c r="AH337" s="55">
        <v>0</v>
      </c>
      <c r="AI337" s="52">
        <f t="shared" ref="AI337:AI350" si="21">K337*AD337/AE337</f>
        <v>8.1552896325831611E-2</v>
      </c>
      <c r="AJ337" s="51"/>
      <c r="AK337" s="52"/>
      <c r="AL337" s="52"/>
      <c r="AM337" s="28">
        <v>1.75</v>
      </c>
      <c r="AN337" s="28">
        <v>2.5</v>
      </c>
      <c r="AO337" s="28">
        <v>0.75</v>
      </c>
      <c r="AP337" s="28">
        <v>0</v>
      </c>
      <c r="AQ337" s="28">
        <v>0.35</v>
      </c>
      <c r="AR337" s="28">
        <v>0.5</v>
      </c>
      <c r="AS337" s="28">
        <v>0.15</v>
      </c>
      <c r="AT337" s="28">
        <v>0</v>
      </c>
      <c r="AU337" s="25">
        <v>0.89</v>
      </c>
      <c r="AV337" s="25">
        <v>3.44</v>
      </c>
      <c r="AW337" s="25">
        <v>2.5499999999999998</v>
      </c>
      <c r="AX337" s="25">
        <v>2.69875</v>
      </c>
      <c r="AY337">
        <v>2.69875</v>
      </c>
      <c r="AZ337">
        <v>6.2151871187406877</v>
      </c>
      <c r="BD337">
        <v>4.0776448162915813E-2</v>
      </c>
      <c r="BH337">
        <v>8.1552896325831611E-2</v>
      </c>
      <c r="BI337">
        <v>4.0776448162915813E-2</v>
      </c>
      <c r="BJ337">
        <v>0</v>
      </c>
    </row>
    <row r="338" spans="1:62" x14ac:dyDescent="0.3">
      <c r="A338" s="2" t="s">
        <v>270</v>
      </c>
      <c r="B338" s="18" t="s">
        <v>977</v>
      </c>
      <c r="C338" s="13"/>
      <c r="F338" s="2">
        <v>3.29</v>
      </c>
      <c r="G338" s="2" t="s">
        <v>269</v>
      </c>
      <c r="H338" s="9">
        <v>-1</v>
      </c>
      <c r="I338">
        <v>-1</v>
      </c>
      <c r="J338"/>
      <c r="K338" s="2">
        <v>1</v>
      </c>
      <c r="L338" s="25">
        <v>0</v>
      </c>
      <c r="M338">
        <v>0</v>
      </c>
      <c r="N338">
        <v>0</v>
      </c>
      <c r="O338" s="2">
        <v>3.89</v>
      </c>
      <c r="P338" s="2">
        <v>3.89</v>
      </c>
      <c r="Q338" s="2">
        <v>16.43</v>
      </c>
      <c r="R338" s="2" t="s">
        <v>519</v>
      </c>
      <c r="T338" s="25">
        <v>0</v>
      </c>
      <c r="U338" s="25"/>
      <c r="V338" s="25"/>
      <c r="W338">
        <v>0</v>
      </c>
      <c r="X338"/>
      <c r="Y338"/>
      <c r="Z338">
        <v>0</v>
      </c>
      <c r="AA338"/>
      <c r="AB338"/>
      <c r="AD338">
        <v>38</v>
      </c>
      <c r="AE338" s="55">
        <f t="shared" si="19"/>
        <v>248.62040300000001</v>
      </c>
      <c r="AF338" s="57">
        <v>0</v>
      </c>
      <c r="AG338" s="55">
        <v>0</v>
      </c>
      <c r="AH338" s="55">
        <v>0</v>
      </c>
      <c r="AI338" s="52">
        <f t="shared" si="21"/>
        <v>0.15284344945736411</v>
      </c>
      <c r="AJ338" s="51"/>
      <c r="AK338" s="52"/>
      <c r="AL338" s="52"/>
      <c r="AM338" s="28">
        <v>1.84</v>
      </c>
      <c r="AN338" s="28">
        <v>3.04</v>
      </c>
      <c r="AO338" s="28">
        <v>0.48</v>
      </c>
      <c r="AP338" s="28">
        <v>0</v>
      </c>
      <c r="AQ338" s="28">
        <v>0.34328358208955218</v>
      </c>
      <c r="AR338" s="28">
        <v>0.56716417910447758</v>
      </c>
      <c r="AS338" s="28">
        <v>8.9552238805970144E-2</v>
      </c>
      <c r="AT338" s="28">
        <v>0</v>
      </c>
      <c r="AU338" s="25">
        <v>0.95</v>
      </c>
      <c r="AV338" s="25">
        <v>3.44</v>
      </c>
      <c r="AW338" s="25">
        <v>2.4900000000000002</v>
      </c>
      <c r="AX338" s="25">
        <v>2.9704000000000002</v>
      </c>
      <c r="AY338">
        <v>2.9704000000000002</v>
      </c>
      <c r="AZ338">
        <v>6.7075943239940399</v>
      </c>
      <c r="BD338">
        <v>7.6421724728682056E-2</v>
      </c>
      <c r="BH338">
        <v>0.15284344945736411</v>
      </c>
      <c r="BI338">
        <v>7.6421724728682056E-2</v>
      </c>
      <c r="BJ338">
        <v>0</v>
      </c>
    </row>
    <row r="339" spans="1:62" x14ac:dyDescent="0.3">
      <c r="A339" s="2" t="s">
        <v>271</v>
      </c>
      <c r="B339" s="18" t="s">
        <v>978</v>
      </c>
      <c r="C339" s="13"/>
      <c r="F339" s="2">
        <v>3.29</v>
      </c>
      <c r="G339" s="2" t="s">
        <v>269</v>
      </c>
      <c r="H339" s="9">
        <v>-1</v>
      </c>
      <c r="I339">
        <v>-1</v>
      </c>
      <c r="J339"/>
      <c r="K339" s="2">
        <v>1</v>
      </c>
      <c r="L339" s="25">
        <v>0</v>
      </c>
      <c r="M339">
        <v>0</v>
      </c>
      <c r="N339">
        <v>0</v>
      </c>
      <c r="O339" s="2">
        <v>3.9</v>
      </c>
      <c r="P339" s="2">
        <v>3.9</v>
      </c>
      <c r="Q339" s="2">
        <v>16.54</v>
      </c>
      <c r="R339" s="2" t="s">
        <v>519</v>
      </c>
      <c r="T339" s="25">
        <v>0</v>
      </c>
      <c r="U339" s="25"/>
      <c r="V339" s="25"/>
      <c r="W339">
        <v>0</v>
      </c>
      <c r="X339"/>
      <c r="Y339"/>
      <c r="Z339">
        <v>0</v>
      </c>
      <c r="AA339"/>
      <c r="AB339"/>
      <c r="AD339">
        <v>38</v>
      </c>
      <c r="AE339" s="55">
        <f t="shared" si="19"/>
        <v>251.57339999999996</v>
      </c>
      <c r="AF339" s="57">
        <v>0</v>
      </c>
      <c r="AG339" s="55">
        <v>0</v>
      </c>
      <c r="AH339" s="55">
        <v>0</v>
      </c>
      <c r="AI339" s="52">
        <f t="shared" si="21"/>
        <v>0.15104935577449766</v>
      </c>
      <c r="AJ339" s="51"/>
      <c r="AK339" s="52"/>
      <c r="AL339" s="52"/>
      <c r="AM339" s="28">
        <v>1.71875</v>
      </c>
      <c r="AN339" s="28">
        <v>2.53125</v>
      </c>
      <c r="AO339" s="28">
        <v>0.375</v>
      </c>
      <c r="AP339" s="28">
        <v>0</v>
      </c>
      <c r="AQ339" s="28">
        <v>0.3716216216216216</v>
      </c>
      <c r="AR339" s="28">
        <v>0.54729729729729726</v>
      </c>
      <c r="AS339" s="28">
        <v>8.1081081081081086E-2</v>
      </c>
      <c r="AT339" s="28">
        <v>0</v>
      </c>
      <c r="AU339" s="25">
        <v>0.95</v>
      </c>
      <c r="AV339" s="25">
        <v>3.44</v>
      </c>
      <c r="AW339" s="25">
        <v>2.4900000000000002</v>
      </c>
      <c r="AX339" s="25">
        <v>2.8390624999999998</v>
      </c>
      <c r="AY339">
        <v>2.8390624999999998</v>
      </c>
      <c r="AZ339">
        <v>6.7833032939095634</v>
      </c>
      <c r="BD339">
        <v>7.5524677887248828E-2</v>
      </c>
      <c r="BH339">
        <v>0.15104935577449771</v>
      </c>
      <c r="BI339">
        <v>7.5524677887248828E-2</v>
      </c>
      <c r="BJ339">
        <v>0</v>
      </c>
    </row>
    <row r="340" spans="1:62" x14ac:dyDescent="0.3">
      <c r="A340" s="2" t="s">
        <v>272</v>
      </c>
      <c r="B340" s="18" t="s">
        <v>983</v>
      </c>
      <c r="C340" s="13"/>
      <c r="F340" s="2">
        <v>3.3</v>
      </c>
      <c r="G340" s="2" t="s">
        <v>269</v>
      </c>
      <c r="H340" s="9">
        <v>-1</v>
      </c>
      <c r="I340">
        <v>-1</v>
      </c>
      <c r="J340"/>
      <c r="K340" s="2">
        <v>1</v>
      </c>
      <c r="L340" s="25">
        <v>0</v>
      </c>
      <c r="M340">
        <v>0</v>
      </c>
      <c r="N340">
        <v>0</v>
      </c>
      <c r="O340" s="2">
        <v>3.9</v>
      </c>
      <c r="P340" s="2">
        <v>3.9</v>
      </c>
      <c r="Q340" s="2">
        <v>20.78</v>
      </c>
      <c r="R340" s="2" t="s">
        <v>519</v>
      </c>
      <c r="T340" s="25">
        <v>0</v>
      </c>
      <c r="U340" s="25"/>
      <c r="V340" s="25"/>
      <c r="W340">
        <v>0</v>
      </c>
      <c r="X340"/>
      <c r="Y340"/>
      <c r="Z340">
        <v>0</v>
      </c>
      <c r="AA340"/>
      <c r="AB340"/>
      <c r="AD340">
        <v>38</v>
      </c>
      <c r="AE340" s="55">
        <f t="shared" si="19"/>
        <v>316.06380000000001</v>
      </c>
      <c r="AF340" s="57">
        <v>0</v>
      </c>
      <c r="AG340" s="55">
        <v>0</v>
      </c>
      <c r="AH340" s="55">
        <v>0</v>
      </c>
      <c r="AI340" s="52">
        <f t="shared" si="21"/>
        <v>0.12022889049615931</v>
      </c>
      <c r="AJ340" s="51"/>
      <c r="AK340" s="52"/>
      <c r="AL340" s="52"/>
      <c r="AM340" s="28">
        <v>1.6857142857142859</v>
      </c>
      <c r="AN340" s="28">
        <v>2.371428571428571</v>
      </c>
      <c r="AO340" s="28">
        <v>0.34285714285714292</v>
      </c>
      <c r="AP340" s="28">
        <v>0</v>
      </c>
      <c r="AQ340" s="28">
        <v>0.38311688311688308</v>
      </c>
      <c r="AR340" s="28">
        <v>0.53896103896103897</v>
      </c>
      <c r="AS340" s="28">
        <v>7.792207792207792E-2</v>
      </c>
      <c r="AT340" s="28">
        <v>0</v>
      </c>
      <c r="AU340" s="25">
        <v>0.95</v>
      </c>
      <c r="AV340" s="25">
        <v>3.44</v>
      </c>
      <c r="AW340" s="25">
        <v>2.4900000000000002</v>
      </c>
      <c r="AX340" s="25">
        <v>2.794285714285714</v>
      </c>
      <c r="AY340">
        <v>2.794285714285714</v>
      </c>
      <c r="AZ340">
        <v>6.7908553945945132</v>
      </c>
      <c r="BD340">
        <v>6.0114445248079663E-2</v>
      </c>
      <c r="BH340">
        <v>0.1202288904961593</v>
      </c>
      <c r="BI340">
        <v>6.0114445248079663E-2</v>
      </c>
      <c r="BJ340">
        <v>0</v>
      </c>
    </row>
    <row r="341" spans="1:62" x14ac:dyDescent="0.3">
      <c r="A341" s="2" t="s">
        <v>273</v>
      </c>
      <c r="B341" s="18" t="s">
        <v>982</v>
      </c>
      <c r="C341" s="13"/>
      <c r="F341" s="2">
        <v>3.31</v>
      </c>
      <c r="G341" s="2" t="s">
        <v>269</v>
      </c>
      <c r="H341" s="9">
        <v>-1</v>
      </c>
      <c r="I341">
        <v>-1</v>
      </c>
      <c r="J341"/>
      <c r="K341" s="2">
        <v>1</v>
      </c>
      <c r="L341" s="25">
        <v>0</v>
      </c>
      <c r="M341">
        <v>0</v>
      </c>
      <c r="N341">
        <v>0</v>
      </c>
      <c r="O341" s="2">
        <v>3.89</v>
      </c>
      <c r="P341" s="2">
        <v>3.89</v>
      </c>
      <c r="Q341" s="2">
        <v>22.41</v>
      </c>
      <c r="R341" s="2" t="s">
        <v>519</v>
      </c>
      <c r="T341" s="25">
        <v>0</v>
      </c>
      <c r="U341" s="25"/>
      <c r="V341" s="25"/>
      <c r="W341">
        <v>0</v>
      </c>
      <c r="X341"/>
      <c r="Y341"/>
      <c r="Z341">
        <v>0</v>
      </c>
      <c r="AA341"/>
      <c r="AB341"/>
      <c r="AD341">
        <v>38</v>
      </c>
      <c r="AE341" s="55">
        <f t="shared" si="19"/>
        <v>339.11036100000001</v>
      </c>
      <c r="AF341" s="57">
        <v>0</v>
      </c>
      <c r="AG341" s="55">
        <v>0</v>
      </c>
      <c r="AH341" s="55">
        <v>0</v>
      </c>
      <c r="AI341" s="52">
        <f t="shared" si="21"/>
        <v>0.11205791497476539</v>
      </c>
      <c r="AJ341" s="51"/>
      <c r="AK341" s="52"/>
      <c r="AL341" s="52"/>
      <c r="AM341" s="28">
        <v>1.6578947368421051</v>
      </c>
      <c r="AN341" s="28">
        <v>2.236842105263158</v>
      </c>
      <c r="AO341" s="28">
        <v>0.31578947368421051</v>
      </c>
      <c r="AP341" s="28">
        <v>0</v>
      </c>
      <c r="AQ341" s="28">
        <v>0.39374999999999999</v>
      </c>
      <c r="AR341" s="28">
        <v>0.53125</v>
      </c>
      <c r="AS341" s="28">
        <v>7.4999999999999997E-2</v>
      </c>
      <c r="AT341" s="28">
        <v>0</v>
      </c>
      <c r="AU341" s="25">
        <v>0.95</v>
      </c>
      <c r="AV341" s="25">
        <v>3.44</v>
      </c>
      <c r="AW341" s="25">
        <v>2.4900000000000002</v>
      </c>
      <c r="AX341" s="25">
        <v>2.7565789473684208</v>
      </c>
      <c r="AY341">
        <v>2.7565789473684208</v>
      </c>
      <c r="AZ341">
        <v>6.7972150583292086</v>
      </c>
      <c r="BD341">
        <v>5.6028957487382687E-2</v>
      </c>
      <c r="BH341">
        <v>0.1120579149747654</v>
      </c>
      <c r="BI341">
        <v>5.6028957487382687E-2</v>
      </c>
      <c r="BJ341">
        <v>0</v>
      </c>
    </row>
    <row r="342" spans="1:62" x14ac:dyDescent="0.3">
      <c r="A342" s="2" t="s">
        <v>274</v>
      </c>
      <c r="B342" s="18" t="s">
        <v>981</v>
      </c>
      <c r="C342" s="13"/>
      <c r="F342" s="2">
        <v>3.32</v>
      </c>
      <c r="G342" s="2" t="s">
        <v>269</v>
      </c>
      <c r="H342" s="9">
        <v>-1</v>
      </c>
      <c r="I342">
        <v>-1</v>
      </c>
      <c r="J342"/>
      <c r="K342" s="2">
        <v>1</v>
      </c>
      <c r="L342" s="25">
        <v>0</v>
      </c>
      <c r="M342">
        <v>0</v>
      </c>
      <c r="N342">
        <v>0</v>
      </c>
      <c r="O342" s="2">
        <v>3.9</v>
      </c>
      <c r="P342" s="2">
        <v>3.9</v>
      </c>
      <c r="Q342" s="2">
        <v>25.55</v>
      </c>
      <c r="R342" s="2" t="s">
        <v>519</v>
      </c>
      <c r="T342" s="25">
        <v>0</v>
      </c>
      <c r="U342" s="25"/>
      <c r="V342" s="25"/>
      <c r="W342">
        <v>0</v>
      </c>
      <c r="X342"/>
      <c r="Y342"/>
      <c r="Z342">
        <v>0</v>
      </c>
      <c r="AA342"/>
      <c r="AB342"/>
      <c r="AD342">
        <v>38</v>
      </c>
      <c r="AE342" s="55">
        <f t="shared" si="19"/>
        <v>388.6155</v>
      </c>
      <c r="AF342" s="57">
        <v>0</v>
      </c>
      <c r="AG342" s="55">
        <v>0</v>
      </c>
      <c r="AH342" s="55">
        <v>0</v>
      </c>
      <c r="AI342" s="52">
        <f t="shared" si="21"/>
        <v>9.7783027182394941E-2</v>
      </c>
      <c r="AJ342" s="51"/>
      <c r="AK342" s="52"/>
      <c r="AL342" s="52"/>
      <c r="AM342" s="28">
        <v>1.634146341463415</v>
      </c>
      <c r="AN342" s="28">
        <v>2.1219512195121948</v>
      </c>
      <c r="AO342" s="28">
        <v>0.29268292682926828</v>
      </c>
      <c r="AP342" s="28">
        <v>0</v>
      </c>
      <c r="AQ342" s="28">
        <v>0.40361445783132532</v>
      </c>
      <c r="AR342" s="28">
        <v>0.52409638554216864</v>
      </c>
      <c r="AS342" s="28">
        <v>7.2289156626506021E-2</v>
      </c>
      <c r="AT342" s="28">
        <v>0</v>
      </c>
      <c r="AU342" s="25">
        <v>0.95</v>
      </c>
      <c r="AV342" s="25">
        <v>3.44</v>
      </c>
      <c r="AW342" s="25">
        <v>2.4900000000000002</v>
      </c>
      <c r="AX342" s="25">
        <v>2.7243902439024388</v>
      </c>
      <c r="AY342">
        <v>2.7243902439024388</v>
      </c>
      <c r="AZ342">
        <v>6.8026440395661458</v>
      </c>
      <c r="BD342">
        <v>4.889151359119747E-2</v>
      </c>
      <c r="BH342">
        <v>9.7783027182394941E-2</v>
      </c>
      <c r="BI342">
        <v>4.889151359119747E-2</v>
      </c>
      <c r="BJ342">
        <v>0</v>
      </c>
    </row>
    <row r="343" spans="1:62" x14ac:dyDescent="0.3">
      <c r="A343" s="2" t="s">
        <v>275</v>
      </c>
      <c r="B343" s="18" t="s">
        <v>980</v>
      </c>
      <c r="C343" s="13"/>
      <c r="F343" s="2">
        <v>3.32</v>
      </c>
      <c r="G343" s="2" t="s">
        <v>269</v>
      </c>
      <c r="H343" s="9">
        <v>-1</v>
      </c>
      <c r="I343">
        <v>-1</v>
      </c>
      <c r="J343"/>
      <c r="K343" s="2">
        <v>1</v>
      </c>
      <c r="L343" s="25">
        <v>0</v>
      </c>
      <c r="M343">
        <v>0</v>
      </c>
      <c r="N343">
        <v>0</v>
      </c>
      <c r="O343" s="2">
        <v>3.93</v>
      </c>
      <c r="P343" s="2">
        <v>3.93</v>
      </c>
      <c r="Q343" s="2">
        <v>29.52</v>
      </c>
      <c r="R343" s="2" t="s">
        <v>519</v>
      </c>
      <c r="T343" s="25">
        <v>0</v>
      </c>
      <c r="U343" s="25"/>
      <c r="V343" s="25"/>
      <c r="W343">
        <v>0</v>
      </c>
      <c r="X343"/>
      <c r="Y343"/>
      <c r="Z343">
        <v>0</v>
      </c>
      <c r="AA343"/>
      <c r="AB343"/>
      <c r="AD343">
        <v>38</v>
      </c>
      <c r="AE343" s="55">
        <f t="shared" si="19"/>
        <v>455.933448</v>
      </c>
      <c r="AF343" s="57">
        <v>0</v>
      </c>
      <c r="AG343" s="55">
        <v>0</v>
      </c>
      <c r="AH343" s="55">
        <v>0</v>
      </c>
      <c r="AI343" s="52">
        <f t="shared" si="21"/>
        <v>8.3345497389347059E-2</v>
      </c>
      <c r="AJ343" s="51"/>
      <c r="AK343" s="52"/>
      <c r="AL343" s="52"/>
      <c r="AM343" s="28">
        <v>1.595744680851064</v>
      </c>
      <c r="AN343" s="28">
        <v>1.936170212765957</v>
      </c>
      <c r="AO343" s="28">
        <v>0.25531914893617019</v>
      </c>
      <c r="AP343" s="28">
        <v>0</v>
      </c>
      <c r="AQ343" s="28">
        <v>0.42134831460674149</v>
      </c>
      <c r="AR343" s="28">
        <v>0.5112359550561798</v>
      </c>
      <c r="AS343" s="28">
        <v>6.741573033707865E-2</v>
      </c>
      <c r="AT343" s="28">
        <v>0</v>
      </c>
      <c r="AU343" s="25">
        <v>0.95</v>
      </c>
      <c r="AV343" s="25">
        <v>3.44</v>
      </c>
      <c r="AW343" s="25">
        <v>2.4900000000000002</v>
      </c>
      <c r="AX343" s="25">
        <v>2.6723404255319152</v>
      </c>
      <c r="AY343">
        <v>2.6723404255319152</v>
      </c>
      <c r="AZ343">
        <v>6.8114228177365099</v>
      </c>
      <c r="BD343">
        <v>4.167274869467353E-2</v>
      </c>
      <c r="BH343">
        <v>8.3345497389347059E-2</v>
      </c>
      <c r="BI343">
        <v>4.167274869467353E-2</v>
      </c>
      <c r="BJ343">
        <v>0</v>
      </c>
    </row>
    <row r="344" spans="1:62" x14ac:dyDescent="0.3">
      <c r="A344" s="2" t="s">
        <v>276</v>
      </c>
      <c r="B344" s="18" t="s">
        <v>979</v>
      </c>
      <c r="C344" s="13"/>
      <c r="F344" s="2">
        <v>3.32</v>
      </c>
      <c r="G344" s="2" t="s">
        <v>269</v>
      </c>
      <c r="H344" s="9">
        <v>-1</v>
      </c>
      <c r="I344">
        <v>-1</v>
      </c>
      <c r="J344"/>
      <c r="K344" s="2">
        <v>1</v>
      </c>
      <c r="L344" s="25">
        <v>0</v>
      </c>
      <c r="M344">
        <v>0</v>
      </c>
      <c r="N344">
        <v>0</v>
      </c>
      <c r="O344" s="2">
        <v>3.9</v>
      </c>
      <c r="P344" s="2">
        <v>3.9</v>
      </c>
      <c r="Q344" s="2">
        <v>33.729999999999997</v>
      </c>
      <c r="R344" s="2" t="s">
        <v>519</v>
      </c>
      <c r="T344" s="25">
        <v>0</v>
      </c>
      <c r="U344" s="25"/>
      <c r="V344" s="25"/>
      <c r="W344">
        <v>0</v>
      </c>
      <c r="X344"/>
      <c r="Y344"/>
      <c r="Z344">
        <v>0</v>
      </c>
      <c r="AA344"/>
      <c r="AB344"/>
      <c r="AD344">
        <v>38</v>
      </c>
      <c r="AE344" s="55">
        <f t="shared" si="19"/>
        <v>513.03329999999994</v>
      </c>
      <c r="AF344" s="57">
        <v>0</v>
      </c>
      <c r="AG344" s="55">
        <v>0</v>
      </c>
      <c r="AH344" s="55">
        <v>0</v>
      </c>
      <c r="AI344" s="52">
        <f t="shared" si="21"/>
        <v>7.4069266069083636E-2</v>
      </c>
      <c r="AJ344" s="51"/>
      <c r="AK344" s="52"/>
      <c r="AL344" s="52"/>
      <c r="AM344" s="28">
        <v>1.5660377358490569</v>
      </c>
      <c r="AN344" s="28">
        <v>1.7924528301886791</v>
      </c>
      <c r="AO344" s="28">
        <v>0.22641509433962259</v>
      </c>
      <c r="AP344" s="28">
        <v>0</v>
      </c>
      <c r="AQ344" s="28">
        <v>0.43684210526315792</v>
      </c>
      <c r="AR344" s="28">
        <v>0.5</v>
      </c>
      <c r="AS344" s="28">
        <v>6.3157894736842107E-2</v>
      </c>
      <c r="AT344" s="28">
        <v>0</v>
      </c>
      <c r="AU344" s="25">
        <v>0.95</v>
      </c>
      <c r="AV344" s="25">
        <v>3.44</v>
      </c>
      <c r="AW344" s="25">
        <v>2.4900000000000002</v>
      </c>
      <c r="AX344" s="25">
        <v>2.6320754716981138</v>
      </c>
      <c r="AY344">
        <v>2.632075471698113</v>
      </c>
      <c r="AZ344">
        <v>6.8182139480192454</v>
      </c>
      <c r="BD344">
        <v>3.7034633034541818E-2</v>
      </c>
      <c r="BH344">
        <v>7.4069266069083636E-2</v>
      </c>
      <c r="BI344">
        <v>3.7034633034541818E-2</v>
      </c>
      <c r="BJ344">
        <v>0</v>
      </c>
    </row>
    <row r="345" spans="1:62" x14ac:dyDescent="0.3">
      <c r="A345" s="2" t="s">
        <v>277</v>
      </c>
      <c r="B345" s="18" t="s">
        <v>976</v>
      </c>
      <c r="C345" s="13"/>
      <c r="F345" s="2">
        <v>3.22</v>
      </c>
      <c r="G345" s="2" t="s">
        <v>269</v>
      </c>
      <c r="H345" s="9">
        <v>-1</v>
      </c>
      <c r="I345">
        <v>-1</v>
      </c>
      <c r="J345"/>
      <c r="K345" s="2">
        <v>2</v>
      </c>
      <c r="L345" s="25">
        <v>0</v>
      </c>
      <c r="M345">
        <v>0</v>
      </c>
      <c r="N345">
        <v>0</v>
      </c>
      <c r="O345" s="2">
        <v>3.9</v>
      </c>
      <c r="P345" s="2">
        <v>3.9</v>
      </c>
      <c r="Q345" s="2">
        <v>31.44</v>
      </c>
      <c r="R345" s="2" t="s">
        <v>519</v>
      </c>
      <c r="T345" s="25">
        <v>0</v>
      </c>
      <c r="U345" s="25"/>
      <c r="V345" s="25"/>
      <c r="W345">
        <v>0</v>
      </c>
      <c r="X345"/>
      <c r="Y345"/>
      <c r="Z345">
        <v>0</v>
      </c>
      <c r="AA345"/>
      <c r="AB345"/>
      <c r="AD345">
        <v>40</v>
      </c>
      <c r="AE345" s="55">
        <f t="shared" si="19"/>
        <v>478.20240000000001</v>
      </c>
      <c r="AF345" s="57">
        <v>0</v>
      </c>
      <c r="AG345" s="55">
        <v>0</v>
      </c>
      <c r="AH345" s="55">
        <v>0</v>
      </c>
      <c r="AI345" s="52">
        <f t="shared" si="21"/>
        <v>0.16729317962435988</v>
      </c>
      <c r="AJ345" s="51"/>
      <c r="AK345" s="52"/>
      <c r="AL345" s="52"/>
      <c r="AM345" s="28">
        <v>1.75</v>
      </c>
      <c r="AN345" s="28">
        <v>2.65625</v>
      </c>
      <c r="AO345" s="28">
        <v>0.375</v>
      </c>
      <c r="AP345" s="28">
        <v>0</v>
      </c>
      <c r="AQ345" s="28">
        <v>0.36601307189542481</v>
      </c>
      <c r="AR345" s="28">
        <v>0.55555555555555558</v>
      </c>
      <c r="AS345" s="28">
        <v>7.8431372549019607E-2</v>
      </c>
      <c r="AT345" s="28">
        <v>0</v>
      </c>
      <c r="AU345" s="25">
        <v>0.95</v>
      </c>
      <c r="AV345" s="25">
        <v>3.44</v>
      </c>
      <c r="AW345" s="25">
        <v>2.4900000000000002</v>
      </c>
      <c r="AX345" s="25">
        <v>2.8778125000000001</v>
      </c>
      <c r="AY345">
        <v>2.8778125000000001</v>
      </c>
      <c r="AZ345">
        <v>6.7946490392267176</v>
      </c>
      <c r="BD345">
        <v>8.3646589812179942E-2</v>
      </c>
      <c r="BH345">
        <v>0.16729317962435991</v>
      </c>
      <c r="BI345">
        <v>8.3646589812179942E-2</v>
      </c>
      <c r="BJ345">
        <v>0</v>
      </c>
    </row>
    <row r="346" spans="1:62" x14ac:dyDescent="0.3">
      <c r="A346" s="2" t="s">
        <v>278</v>
      </c>
      <c r="B346" s="18" t="s">
        <v>984</v>
      </c>
      <c r="C346" s="13"/>
      <c r="F346" s="2">
        <v>3.25</v>
      </c>
      <c r="G346" s="2" t="s">
        <v>269</v>
      </c>
      <c r="H346" s="9">
        <v>-1</v>
      </c>
      <c r="I346">
        <v>-1</v>
      </c>
      <c r="J346"/>
      <c r="K346" s="2">
        <v>1</v>
      </c>
      <c r="L346" s="25">
        <v>0</v>
      </c>
      <c r="M346">
        <v>0</v>
      </c>
      <c r="N346">
        <v>0</v>
      </c>
      <c r="O346" s="2">
        <v>3.91</v>
      </c>
      <c r="P346" s="2">
        <v>3.91</v>
      </c>
      <c r="Q346" s="2">
        <v>18.2</v>
      </c>
      <c r="R346" s="2" t="s">
        <v>519</v>
      </c>
      <c r="T346" s="25">
        <v>0</v>
      </c>
      <c r="U346" s="25"/>
      <c r="V346" s="25"/>
      <c r="W346">
        <v>0</v>
      </c>
      <c r="X346"/>
      <c r="Y346"/>
      <c r="Z346">
        <v>0</v>
      </c>
      <c r="AA346"/>
      <c r="AB346"/>
      <c r="AD346">
        <v>40</v>
      </c>
      <c r="AE346" s="55">
        <f t="shared" si="19"/>
        <v>278.24342000000001</v>
      </c>
      <c r="AF346" s="57">
        <v>0</v>
      </c>
      <c r="AG346" s="55">
        <v>0</v>
      </c>
      <c r="AH346" s="55">
        <v>0</v>
      </c>
      <c r="AI346" s="52">
        <f t="shared" si="21"/>
        <v>0.14375901503798363</v>
      </c>
      <c r="AJ346" s="51"/>
      <c r="AK346" s="52"/>
      <c r="AL346" s="52"/>
      <c r="AM346" s="28">
        <v>1.714285714285714</v>
      </c>
      <c r="AN346" s="28">
        <v>2.4857142857142862</v>
      </c>
      <c r="AO346" s="28">
        <v>0.34285714285714292</v>
      </c>
      <c r="AP346" s="28">
        <v>0</v>
      </c>
      <c r="AQ346" s="28">
        <v>0.37735849056603771</v>
      </c>
      <c r="AR346" s="28">
        <v>0.54716981132075471</v>
      </c>
      <c r="AS346" s="28">
        <v>7.5471698113207544E-2</v>
      </c>
      <c r="AT346" s="28">
        <v>0</v>
      </c>
      <c r="AU346" s="25">
        <v>0.95</v>
      </c>
      <c r="AV346" s="25">
        <v>3.44</v>
      </c>
      <c r="AW346" s="25">
        <v>2.4900000000000002</v>
      </c>
      <c r="AX346" s="25">
        <v>2.8297142857142861</v>
      </c>
      <c r="AY346">
        <v>2.8297142857142861</v>
      </c>
      <c r="AZ346">
        <v>6.8012286474559138</v>
      </c>
      <c r="BD346">
        <v>7.1879507518991817E-2</v>
      </c>
      <c r="BH346">
        <v>0.14375901503798361</v>
      </c>
      <c r="BI346">
        <v>7.1879507518991817E-2</v>
      </c>
      <c r="BJ346">
        <v>0</v>
      </c>
    </row>
    <row r="347" spans="1:62" x14ac:dyDescent="0.3">
      <c r="A347" s="2" t="s">
        <v>279</v>
      </c>
      <c r="B347" s="18" t="s">
        <v>985</v>
      </c>
      <c r="C347" s="13"/>
      <c r="F347" s="2">
        <v>3.27</v>
      </c>
      <c r="G347" s="2" t="s">
        <v>269</v>
      </c>
      <c r="H347" s="9">
        <v>-1</v>
      </c>
      <c r="I347">
        <v>-1</v>
      </c>
      <c r="J347"/>
      <c r="K347" s="2">
        <v>1</v>
      </c>
      <c r="L347" s="25">
        <v>0</v>
      </c>
      <c r="M347">
        <v>0</v>
      </c>
      <c r="N347">
        <v>0</v>
      </c>
      <c r="O347" s="2">
        <v>3.9</v>
      </c>
      <c r="P347" s="2">
        <v>3.9</v>
      </c>
      <c r="Q347" s="2">
        <v>20.25</v>
      </c>
      <c r="R347" s="2" t="s">
        <v>519</v>
      </c>
      <c r="T347" s="25">
        <v>0</v>
      </c>
      <c r="U347" s="25"/>
      <c r="V347" s="25"/>
      <c r="W347">
        <v>0</v>
      </c>
      <c r="X347"/>
      <c r="Y347"/>
      <c r="Z347">
        <v>0</v>
      </c>
      <c r="AA347"/>
      <c r="AB347"/>
      <c r="AD347">
        <v>40</v>
      </c>
      <c r="AE347" s="55">
        <f t="shared" si="19"/>
        <v>308.0025</v>
      </c>
      <c r="AF347" s="57">
        <v>0</v>
      </c>
      <c r="AG347" s="55">
        <v>0</v>
      </c>
      <c r="AH347" s="55">
        <v>0</v>
      </c>
      <c r="AI347" s="52">
        <f t="shared" si="21"/>
        <v>0.12986907573802162</v>
      </c>
      <c r="AJ347" s="51"/>
      <c r="AK347" s="52"/>
      <c r="AL347" s="52"/>
      <c r="AM347" s="28">
        <v>1.6842105263157889</v>
      </c>
      <c r="AN347" s="28">
        <v>2.3421052631578951</v>
      </c>
      <c r="AO347" s="28">
        <v>0.31578947368421051</v>
      </c>
      <c r="AP347" s="28">
        <v>0</v>
      </c>
      <c r="AQ347" s="28">
        <v>0.38787878787878788</v>
      </c>
      <c r="AR347" s="28">
        <v>0.53939393939393943</v>
      </c>
      <c r="AS347" s="28">
        <v>7.2727272727272724E-2</v>
      </c>
      <c r="AT347" s="28">
        <v>0</v>
      </c>
      <c r="AU347" s="25">
        <v>0.95</v>
      </c>
      <c r="AV347" s="25">
        <v>3.44</v>
      </c>
      <c r="AW347" s="25">
        <v>2.4900000000000002</v>
      </c>
      <c r="AX347" s="25">
        <v>2.7892105263157898</v>
      </c>
      <c r="AY347">
        <v>2.7892105263157889</v>
      </c>
      <c r="AZ347">
        <v>6.8067693701752354</v>
      </c>
      <c r="BD347">
        <v>6.4934537869010808E-2</v>
      </c>
      <c r="BH347">
        <v>0.12986907573802159</v>
      </c>
      <c r="BI347">
        <v>6.4934537869010808E-2</v>
      </c>
      <c r="BJ347">
        <v>0</v>
      </c>
    </row>
    <row r="348" spans="1:62" x14ac:dyDescent="0.3">
      <c r="A348" s="2" t="s">
        <v>280</v>
      </c>
      <c r="B348" s="18" t="s">
        <v>986</v>
      </c>
      <c r="C348" s="13"/>
      <c r="F348" s="2">
        <v>3.3</v>
      </c>
      <c r="G348" s="2" t="s">
        <v>269</v>
      </c>
      <c r="H348" s="9">
        <v>-1</v>
      </c>
      <c r="I348">
        <v>-1</v>
      </c>
      <c r="J348"/>
      <c r="K348" s="2">
        <v>1</v>
      </c>
      <c r="L348" s="25">
        <v>0</v>
      </c>
      <c r="M348">
        <v>0</v>
      </c>
      <c r="N348">
        <v>0</v>
      </c>
      <c r="O348" s="2">
        <v>3.9</v>
      </c>
      <c r="P348" s="2">
        <v>3.9</v>
      </c>
      <c r="Q348" s="2">
        <v>22.01</v>
      </c>
      <c r="R348" s="2" t="s">
        <v>519</v>
      </c>
      <c r="T348" s="25">
        <v>0</v>
      </c>
      <c r="U348" s="25"/>
      <c r="V348" s="25"/>
      <c r="W348">
        <v>0</v>
      </c>
      <c r="X348"/>
      <c r="Y348"/>
      <c r="Z348">
        <v>0</v>
      </c>
      <c r="AA348"/>
      <c r="AB348"/>
      <c r="AD348">
        <v>40</v>
      </c>
      <c r="AE348" s="55">
        <f t="shared" si="19"/>
        <v>334.77210000000002</v>
      </c>
      <c r="AF348" s="57">
        <v>0</v>
      </c>
      <c r="AG348" s="55">
        <v>0</v>
      </c>
      <c r="AH348" s="55">
        <v>0</v>
      </c>
      <c r="AI348" s="52">
        <f t="shared" si="21"/>
        <v>0.11948427004520387</v>
      </c>
      <c r="AJ348" s="51"/>
      <c r="AK348" s="52"/>
      <c r="AL348" s="52"/>
      <c r="AM348" s="28">
        <v>1.658536585365854</v>
      </c>
      <c r="AN348" s="28">
        <v>2.219512195121951</v>
      </c>
      <c r="AO348" s="28">
        <v>0.29268292682926828</v>
      </c>
      <c r="AP348" s="28">
        <v>0</v>
      </c>
      <c r="AQ348" s="28">
        <v>0.39766081871345033</v>
      </c>
      <c r="AR348" s="28">
        <v>0.53216374269005851</v>
      </c>
      <c r="AS348" s="28">
        <v>7.0175438596491224E-2</v>
      </c>
      <c r="AT348" s="28">
        <v>0</v>
      </c>
      <c r="AU348" s="25">
        <v>0.95</v>
      </c>
      <c r="AV348" s="25">
        <v>3.44</v>
      </c>
      <c r="AW348" s="25">
        <v>2.4900000000000002</v>
      </c>
      <c r="AX348" s="25">
        <v>2.7546341463414641</v>
      </c>
      <c r="AY348">
        <v>2.7546341463414632</v>
      </c>
      <c r="AZ348">
        <v>6.8114992554234393</v>
      </c>
      <c r="BD348">
        <v>5.9742135022601943E-2</v>
      </c>
      <c r="BH348">
        <v>0.1194842700452039</v>
      </c>
      <c r="BI348">
        <v>5.9742135022601943E-2</v>
      </c>
      <c r="BJ348">
        <v>0</v>
      </c>
    </row>
    <row r="349" spans="1:62" x14ac:dyDescent="0.3">
      <c r="A349" s="2" t="s">
        <v>281</v>
      </c>
      <c r="B349" s="18" t="s">
        <v>987</v>
      </c>
      <c r="C349" s="13"/>
      <c r="F349" s="2">
        <v>3.3</v>
      </c>
      <c r="G349" s="2" t="s">
        <v>269</v>
      </c>
      <c r="H349" s="9">
        <v>-1</v>
      </c>
      <c r="I349">
        <v>-1</v>
      </c>
      <c r="J349"/>
      <c r="K349" s="2">
        <v>1</v>
      </c>
      <c r="L349" s="25">
        <v>0</v>
      </c>
      <c r="M349">
        <v>0</v>
      </c>
      <c r="N349">
        <v>0</v>
      </c>
      <c r="O349" s="2">
        <v>3.9</v>
      </c>
      <c r="P349" s="2">
        <v>3.9</v>
      </c>
      <c r="Q349" s="2">
        <v>25.65</v>
      </c>
      <c r="R349" s="2" t="s">
        <v>519</v>
      </c>
      <c r="T349" s="25">
        <v>0</v>
      </c>
      <c r="U349" s="25"/>
      <c r="V349" s="25"/>
      <c r="W349">
        <v>0</v>
      </c>
      <c r="X349"/>
      <c r="Y349"/>
      <c r="Z349">
        <v>0</v>
      </c>
      <c r="AA349"/>
      <c r="AB349"/>
      <c r="AD349">
        <v>40</v>
      </c>
      <c r="AE349" s="55">
        <f t="shared" si="19"/>
        <v>390.13649999999996</v>
      </c>
      <c r="AF349" s="57">
        <v>0</v>
      </c>
      <c r="AG349" s="55">
        <v>0</v>
      </c>
      <c r="AH349" s="55">
        <v>0</v>
      </c>
      <c r="AI349" s="52">
        <f t="shared" si="21"/>
        <v>0.1025282176879118</v>
      </c>
      <c r="AJ349" s="51"/>
      <c r="AK349" s="52"/>
      <c r="AL349" s="52"/>
      <c r="AM349" s="28">
        <v>1.617021276595745</v>
      </c>
      <c r="AN349" s="28">
        <v>2.021276595744681</v>
      </c>
      <c r="AO349" s="28">
        <v>0.25531914893617019</v>
      </c>
      <c r="AP349" s="28">
        <v>0</v>
      </c>
      <c r="AQ349" s="28">
        <v>0.41530054644808739</v>
      </c>
      <c r="AR349" s="28">
        <v>0.51912568306010931</v>
      </c>
      <c r="AS349" s="28">
        <v>6.5573770491803268E-2</v>
      </c>
      <c r="AT349" s="28">
        <v>0</v>
      </c>
      <c r="AU349" s="25">
        <v>0.95</v>
      </c>
      <c r="AV349" s="25">
        <v>3.44</v>
      </c>
      <c r="AW349" s="25">
        <v>2.4900000000000002</v>
      </c>
      <c r="AX349" s="25">
        <v>2.6987234042553192</v>
      </c>
      <c r="AY349">
        <v>2.6987234042553192</v>
      </c>
      <c r="AZ349">
        <v>6.8191475805056392</v>
      </c>
      <c r="BD349">
        <v>5.1264108843955901E-2</v>
      </c>
      <c r="BH349">
        <v>0.1025282176879118</v>
      </c>
      <c r="BI349">
        <v>5.1264108843955901E-2</v>
      </c>
      <c r="BJ349">
        <v>0</v>
      </c>
    </row>
    <row r="350" spans="1:62" x14ac:dyDescent="0.3">
      <c r="A350" s="2" t="s">
        <v>276</v>
      </c>
      <c r="B350" s="18" t="s">
        <v>988</v>
      </c>
      <c r="C350" s="13"/>
      <c r="F350" s="2">
        <v>3.34</v>
      </c>
      <c r="G350" s="2" t="s">
        <v>269</v>
      </c>
      <c r="H350" s="9">
        <v>-1</v>
      </c>
      <c r="I350">
        <v>-1</v>
      </c>
      <c r="J350"/>
      <c r="K350" s="2">
        <v>1</v>
      </c>
      <c r="L350" s="25">
        <v>0</v>
      </c>
      <c r="M350">
        <v>0</v>
      </c>
      <c r="N350">
        <v>0</v>
      </c>
      <c r="O350" s="2">
        <v>3.89</v>
      </c>
      <c r="P350" s="2">
        <v>3.89</v>
      </c>
      <c r="Q350" s="2">
        <v>33.799999999999997</v>
      </c>
      <c r="R350" s="2" t="s">
        <v>519</v>
      </c>
      <c r="T350" s="25">
        <v>0</v>
      </c>
      <c r="U350" s="25"/>
      <c r="V350" s="25"/>
      <c r="W350">
        <v>0</v>
      </c>
      <c r="X350"/>
      <c r="Y350"/>
      <c r="Z350">
        <v>0</v>
      </c>
      <c r="AA350"/>
      <c r="AB350"/>
      <c r="AD350">
        <v>40</v>
      </c>
      <c r="AE350" s="55">
        <f t="shared" si="19"/>
        <v>511.46498000000003</v>
      </c>
      <c r="AF350" s="57">
        <v>0</v>
      </c>
      <c r="AG350" s="55">
        <v>0</v>
      </c>
      <c r="AH350" s="55">
        <v>0</v>
      </c>
      <c r="AI350" s="52">
        <f t="shared" si="21"/>
        <v>7.8206722970554116E-2</v>
      </c>
      <c r="AJ350" s="51"/>
      <c r="AK350" s="52"/>
      <c r="AL350" s="52"/>
      <c r="AM350" s="28">
        <v>1.584905660377359</v>
      </c>
      <c r="AN350" s="28">
        <v>1.867924528301887</v>
      </c>
      <c r="AO350" s="28">
        <v>0.22641509433962259</v>
      </c>
      <c r="AP350" s="28">
        <v>0</v>
      </c>
      <c r="AQ350" s="28">
        <v>0.43076923076923079</v>
      </c>
      <c r="AR350" s="28">
        <v>0.50769230769230778</v>
      </c>
      <c r="AS350" s="28">
        <v>6.1538461538461542E-2</v>
      </c>
      <c r="AT350" s="28">
        <v>0</v>
      </c>
      <c r="AU350" s="25">
        <v>0.95</v>
      </c>
      <c r="AV350" s="25">
        <v>3.44</v>
      </c>
      <c r="AW350" s="25">
        <v>2.4900000000000002</v>
      </c>
      <c r="AX350" s="25">
        <v>2.655471698113208</v>
      </c>
      <c r="AY350">
        <v>2.655471698113208</v>
      </c>
      <c r="AZ350">
        <v>6.8250642093428109</v>
      </c>
      <c r="BD350">
        <v>3.9103361485277058E-2</v>
      </c>
      <c r="BH350">
        <v>7.8206722970554116E-2</v>
      </c>
      <c r="BI350">
        <v>3.9103361485277058E-2</v>
      </c>
      <c r="BJ350">
        <v>0</v>
      </c>
    </row>
    <row r="351" spans="1:62" x14ac:dyDescent="0.3">
      <c r="A351" s="2" t="s">
        <v>282</v>
      </c>
      <c r="B351" s="13" t="s">
        <v>821</v>
      </c>
      <c r="C351" s="13"/>
      <c r="F351" s="2">
        <v>3.5</v>
      </c>
      <c r="G351" s="2" t="s">
        <v>283</v>
      </c>
      <c r="H351" s="9" t="s">
        <v>597</v>
      </c>
      <c r="I351">
        <v>-1</v>
      </c>
      <c r="J351"/>
      <c r="L351" s="25">
        <v>1</v>
      </c>
      <c r="M351">
        <v>0</v>
      </c>
      <c r="N351">
        <v>0</v>
      </c>
      <c r="T351" s="25">
        <v>13.656835900000001</v>
      </c>
      <c r="U351" s="25">
        <v>13.656835900000001</v>
      </c>
      <c r="V351" s="25">
        <v>13.656835900000001</v>
      </c>
      <c r="W351">
        <v>0</v>
      </c>
      <c r="X351"/>
      <c r="Y351"/>
      <c r="Z351">
        <v>0</v>
      </c>
      <c r="AA351"/>
      <c r="AB351"/>
      <c r="AD351">
        <v>20</v>
      </c>
      <c r="AE351" s="55">
        <f t="shared" si="19"/>
        <v>0</v>
      </c>
      <c r="AF351" s="57">
        <v>201.0880346354428</v>
      </c>
      <c r="AG351" s="55">
        <v>0</v>
      </c>
      <c r="AH351" s="55">
        <v>0</v>
      </c>
      <c r="AI351" s="52"/>
      <c r="AJ351" s="51">
        <v>9.9458926217357829E-2</v>
      </c>
      <c r="AK351" s="52"/>
      <c r="AL351" s="52"/>
      <c r="AM351" s="28">
        <v>1.882352941176471</v>
      </c>
      <c r="AN351" s="28">
        <v>2.3529411764705879</v>
      </c>
      <c r="AO351" s="28">
        <v>0.47058823529411759</v>
      </c>
      <c r="AP351" s="28">
        <v>0</v>
      </c>
      <c r="AQ351" s="28">
        <v>0.4</v>
      </c>
      <c r="AR351" s="28">
        <v>0.5</v>
      </c>
      <c r="AS351" s="28">
        <v>9.9999999999999992E-2</v>
      </c>
      <c r="AT351" s="28">
        <v>0</v>
      </c>
      <c r="AU351" s="25">
        <v>0.98</v>
      </c>
      <c r="AV351" s="25">
        <v>3.44</v>
      </c>
      <c r="AW351" s="25">
        <v>2.46</v>
      </c>
      <c r="AX351" s="25">
        <v>2.54</v>
      </c>
      <c r="AY351">
        <v>2.54</v>
      </c>
      <c r="AZ351">
        <v>5.758559377411764</v>
      </c>
      <c r="BA351" s="75">
        <v>0.53996993008785332</v>
      </c>
      <c r="BE351">
        <v>4.9729463108678908E-2</v>
      </c>
      <c r="BH351">
        <v>9.9458926217357829E-2</v>
      </c>
      <c r="BI351">
        <v>4.9729463108678908E-2</v>
      </c>
      <c r="BJ351">
        <v>0.53996993008785332</v>
      </c>
    </row>
    <row r="352" spans="1:62" x14ac:dyDescent="0.3">
      <c r="A352" s="2" t="s">
        <v>284</v>
      </c>
      <c r="B352" s="13" t="s">
        <v>822</v>
      </c>
      <c r="C352" s="13"/>
      <c r="F352" s="2">
        <v>3.3</v>
      </c>
      <c r="G352" s="2" t="s">
        <v>283</v>
      </c>
      <c r="H352" s="9" t="s">
        <v>598</v>
      </c>
      <c r="I352" t="s">
        <v>670</v>
      </c>
      <c r="J352"/>
      <c r="L352" s="25">
        <v>1</v>
      </c>
      <c r="M352">
        <v>2</v>
      </c>
      <c r="N352">
        <v>0</v>
      </c>
      <c r="T352" s="25">
        <v>14.696413339999999</v>
      </c>
      <c r="U352" s="25">
        <v>14.696413339999999</v>
      </c>
      <c r="V352" s="25">
        <v>14.696413339999999</v>
      </c>
      <c r="W352">
        <v>3.83528</v>
      </c>
      <c r="X352">
        <v>3.83528</v>
      </c>
      <c r="Y352">
        <v>28.573699999999999</v>
      </c>
      <c r="Z352">
        <v>0</v>
      </c>
      <c r="AA352"/>
      <c r="AB352"/>
      <c r="AD352">
        <v>20</v>
      </c>
      <c r="AE352" s="55">
        <f t="shared" si="19"/>
        <v>0</v>
      </c>
      <c r="AF352" s="57">
        <v>216.40687730768099</v>
      </c>
      <c r="AG352" s="55">
        <v>420.30120210079798</v>
      </c>
      <c r="AH352" s="55">
        <v>0</v>
      </c>
      <c r="AI352" s="52"/>
      <c r="AJ352" s="51">
        <v>9.2418504665009241E-2</v>
      </c>
      <c r="AK352" s="52">
        <v>9.516984438794697E-2</v>
      </c>
      <c r="AL352" s="52"/>
      <c r="AM352" s="28">
        <v>1.882352941176471</v>
      </c>
      <c r="AN352" s="28">
        <v>2.3529411764705879</v>
      </c>
      <c r="AO352" s="28">
        <v>0.47058823529411759</v>
      </c>
      <c r="AP352" s="28">
        <v>0</v>
      </c>
      <c r="AQ352" s="28">
        <v>0.4</v>
      </c>
      <c r="AR352" s="28">
        <v>0.5</v>
      </c>
      <c r="AS352" s="28">
        <v>9.9999999999999992E-2</v>
      </c>
      <c r="AT352" s="28">
        <v>0</v>
      </c>
      <c r="AU352" s="25">
        <v>0.93</v>
      </c>
      <c r="AV352" s="25">
        <v>3.44</v>
      </c>
      <c r="AW352" s="25">
        <v>2.5099999999999998</v>
      </c>
      <c r="AX352" s="25">
        <v>2.534117647058824</v>
      </c>
      <c r="AY352">
        <v>2.534117647058824</v>
      </c>
      <c r="AZ352">
        <v>5.7395734358823516</v>
      </c>
      <c r="BA352" s="75">
        <v>0.5339514578906801</v>
      </c>
      <c r="BB352" s="75">
        <v>0.54984742874132453</v>
      </c>
      <c r="BE352">
        <v>4.6209252332504627E-2</v>
      </c>
      <c r="BF352">
        <v>4.7584922193973492E-2</v>
      </c>
      <c r="BH352">
        <v>9.3794174526478105E-2</v>
      </c>
      <c r="BI352">
        <v>4.689708726323906E-2</v>
      </c>
      <c r="BJ352">
        <v>0.54189944331600226</v>
      </c>
    </row>
    <row r="353" spans="1:62" x14ac:dyDescent="0.3">
      <c r="A353" s="2" t="s">
        <v>44</v>
      </c>
      <c r="B353" s="13" t="s">
        <v>720</v>
      </c>
      <c r="C353" s="13"/>
      <c r="F353" s="2">
        <v>3.2</v>
      </c>
      <c r="G353" s="2" t="s">
        <v>283</v>
      </c>
      <c r="H353" s="9" t="s">
        <v>549</v>
      </c>
      <c r="I353">
        <v>-1</v>
      </c>
      <c r="J353"/>
      <c r="L353" s="25">
        <v>1</v>
      </c>
      <c r="M353">
        <v>0</v>
      </c>
      <c r="N353">
        <v>0</v>
      </c>
      <c r="T353" s="25">
        <v>15.28115725</v>
      </c>
      <c r="U353" s="25">
        <v>15.28115725</v>
      </c>
      <c r="V353" s="25">
        <v>15.28115725</v>
      </c>
      <c r="W353">
        <v>0</v>
      </c>
      <c r="X353"/>
      <c r="Y353"/>
      <c r="Z353">
        <v>0</v>
      </c>
      <c r="AA353"/>
      <c r="AB353"/>
      <c r="AD353">
        <v>20</v>
      </c>
      <c r="AE353" s="55">
        <f t="shared" si="19"/>
        <v>0</v>
      </c>
      <c r="AF353" s="57">
        <v>229.90248606119221</v>
      </c>
      <c r="AG353" s="55">
        <v>0</v>
      </c>
      <c r="AH353" s="55">
        <v>0</v>
      </c>
      <c r="AI353" s="52"/>
      <c r="AJ353" s="51">
        <v>8.6993404650164072E-2</v>
      </c>
      <c r="AK353" s="52"/>
      <c r="AL353" s="52"/>
      <c r="AM353" s="28">
        <v>1.882352941176471</v>
      </c>
      <c r="AN353" s="28">
        <v>2.3529411764705879</v>
      </c>
      <c r="AO353" s="28">
        <v>0.47058823529411759</v>
      </c>
      <c r="AP353" s="28">
        <v>0</v>
      </c>
      <c r="AQ353" s="28">
        <v>0.4</v>
      </c>
      <c r="AR353" s="28">
        <v>0.5</v>
      </c>
      <c r="AS353" s="28">
        <v>9.9999999999999992E-2</v>
      </c>
      <c r="AT353" s="28">
        <v>0</v>
      </c>
      <c r="AU353" s="25">
        <v>0.82</v>
      </c>
      <c r="AV353" s="25">
        <v>3.44</v>
      </c>
      <c r="AW353" s="25">
        <v>2.62</v>
      </c>
      <c r="AX353" s="25">
        <v>2.5211764705882351</v>
      </c>
      <c r="AY353">
        <v>2.521176470588236</v>
      </c>
      <c r="AZ353">
        <v>5.6898745917647062</v>
      </c>
      <c r="BA353" s="75">
        <v>0.57369840599679445</v>
      </c>
      <c r="BE353">
        <v>4.3496702325082043E-2</v>
      </c>
      <c r="BH353">
        <v>8.6993404650164072E-2</v>
      </c>
      <c r="BI353">
        <v>4.3496702325082043E-2</v>
      </c>
      <c r="BJ353">
        <v>0.57369840599679445</v>
      </c>
    </row>
    <row r="354" spans="1:62" x14ac:dyDescent="0.3">
      <c r="A354" s="5" t="s">
        <v>285</v>
      </c>
      <c r="B354" s="39" t="s">
        <v>823</v>
      </c>
      <c r="C354" s="39"/>
      <c r="D354" s="5"/>
      <c r="E354" s="5"/>
      <c r="F354" s="5">
        <v>3.6</v>
      </c>
      <c r="G354" s="5" t="s">
        <v>283</v>
      </c>
      <c r="H354" s="40">
        <v>-2</v>
      </c>
      <c r="I354" s="5">
        <v>-1</v>
      </c>
      <c r="J354" s="5"/>
      <c r="K354" s="5"/>
      <c r="L354" s="41">
        <v>0</v>
      </c>
      <c r="M354">
        <v>0</v>
      </c>
      <c r="N354">
        <v>0</v>
      </c>
      <c r="O354" s="5">
        <v>-1</v>
      </c>
      <c r="P354" s="5"/>
      <c r="Q354" s="5"/>
      <c r="R354" s="5"/>
      <c r="S354" s="5"/>
      <c r="T354" s="41">
        <v>0</v>
      </c>
      <c r="U354" s="41"/>
      <c r="V354" s="41"/>
      <c r="W354">
        <v>0</v>
      </c>
      <c r="X354"/>
      <c r="Y354"/>
      <c r="Z354">
        <v>0</v>
      </c>
      <c r="AA354"/>
      <c r="AB354"/>
      <c r="AC354" s="5"/>
      <c r="AD354" s="5">
        <v>20</v>
      </c>
      <c r="AE354" s="55">
        <f t="shared" si="19"/>
        <v>0</v>
      </c>
      <c r="AF354" s="57">
        <v>0</v>
      </c>
      <c r="AG354" s="55">
        <v>0</v>
      </c>
      <c r="AH354" s="55">
        <v>0</v>
      </c>
      <c r="AI354" s="52"/>
      <c r="AJ354" s="51"/>
      <c r="AK354" s="52"/>
      <c r="AL354" s="52"/>
      <c r="AM354" s="5">
        <v>1.882352941176471</v>
      </c>
      <c r="AN354" s="5">
        <v>2.3529411764705879</v>
      </c>
      <c r="AO354" s="5">
        <v>0.35294117647058831</v>
      </c>
      <c r="AP354" s="5">
        <v>0.47058823529411759</v>
      </c>
      <c r="AQ354" s="5">
        <v>0.37209302325581389</v>
      </c>
      <c r="AR354" s="5">
        <v>0.46511627906976749</v>
      </c>
      <c r="AS354" s="5">
        <v>6.9767441860465129E-2</v>
      </c>
      <c r="AT354" s="5">
        <v>9.3023255813953487E-2</v>
      </c>
      <c r="AU354" s="41">
        <v>0.98</v>
      </c>
      <c r="AV354" s="41">
        <v>3.44</v>
      </c>
      <c r="AW354" s="41">
        <v>2.46</v>
      </c>
      <c r="AX354" s="41">
        <v>2.5447058823529409</v>
      </c>
      <c r="AY354" s="5">
        <v>2.5447058823529409</v>
      </c>
      <c r="AZ354" s="5">
        <v>5.7284445009411762</v>
      </c>
      <c r="BH354">
        <v>0</v>
      </c>
      <c r="BI354">
        <v>0</v>
      </c>
      <c r="BJ354">
        <v>0</v>
      </c>
    </row>
    <row r="355" spans="1:62" x14ac:dyDescent="0.3">
      <c r="A355" s="2" t="s">
        <v>286</v>
      </c>
      <c r="B355" s="13" t="s">
        <v>824</v>
      </c>
      <c r="C355" s="13"/>
      <c r="F355" s="2">
        <v>3.4</v>
      </c>
      <c r="G355" s="2" t="s">
        <v>283</v>
      </c>
      <c r="H355" s="9" t="s">
        <v>599</v>
      </c>
      <c r="I355">
        <v>-1</v>
      </c>
      <c r="J355"/>
      <c r="L355" s="25">
        <v>1</v>
      </c>
      <c r="M355">
        <v>0</v>
      </c>
      <c r="N355">
        <v>0</v>
      </c>
      <c r="T355" s="25">
        <v>14.64115209</v>
      </c>
      <c r="U355" s="25">
        <v>14.64115209</v>
      </c>
      <c r="V355" s="25">
        <v>14.64115209</v>
      </c>
      <c r="W355">
        <v>0</v>
      </c>
      <c r="X355"/>
      <c r="Y355"/>
      <c r="Z355">
        <v>0</v>
      </c>
      <c r="AA355"/>
      <c r="AB355"/>
      <c r="AD355">
        <v>20</v>
      </c>
      <c r="AE355" s="55">
        <f t="shared" si="19"/>
        <v>0</v>
      </c>
      <c r="AF355" s="57">
        <v>213.3423200442661</v>
      </c>
      <c r="AG355" s="55">
        <v>0</v>
      </c>
      <c r="AH355" s="55">
        <v>0</v>
      </c>
      <c r="AI355" s="52"/>
      <c r="AJ355" s="51">
        <v>9.374605092815258E-2</v>
      </c>
      <c r="AK355" s="52"/>
      <c r="AL355" s="52"/>
      <c r="AM355" s="28">
        <v>1.882352941176471</v>
      </c>
      <c r="AN355" s="28">
        <v>2.3529411764705879</v>
      </c>
      <c r="AO355" s="28">
        <v>0.35294117647058831</v>
      </c>
      <c r="AP355" s="28">
        <v>0.47058823529411759</v>
      </c>
      <c r="AQ355" s="28">
        <v>0.37209302325581389</v>
      </c>
      <c r="AR355" s="28">
        <v>0.46511627906976749</v>
      </c>
      <c r="AS355" s="28">
        <v>6.9767441860465129E-2</v>
      </c>
      <c r="AT355" s="28">
        <v>9.3023255813953487E-2</v>
      </c>
      <c r="AU355" s="25">
        <v>0.93</v>
      </c>
      <c r="AV355" s="25">
        <v>3.44</v>
      </c>
      <c r="AW355" s="25">
        <v>2.5099999999999998</v>
      </c>
      <c r="AX355" s="25">
        <v>2.538823529411764</v>
      </c>
      <c r="AY355">
        <v>2.5388235294117649</v>
      </c>
      <c r="AZ355">
        <v>5.7094585594117646</v>
      </c>
      <c r="BA355" s="75">
        <v>0.53401936473899148</v>
      </c>
      <c r="BE355">
        <v>4.6873025464076297E-2</v>
      </c>
      <c r="BH355">
        <v>9.374605092815258E-2</v>
      </c>
      <c r="BI355">
        <v>4.6873025464076297E-2</v>
      </c>
      <c r="BJ355">
        <v>0.53401936473899148</v>
      </c>
    </row>
    <row r="356" spans="1:62" x14ac:dyDescent="0.3">
      <c r="A356" s="2" t="s">
        <v>287</v>
      </c>
      <c r="B356" s="13" t="s">
        <v>825</v>
      </c>
      <c r="C356" s="13"/>
      <c r="F356" s="2">
        <v>3.3</v>
      </c>
      <c r="G356" s="2" t="s">
        <v>283</v>
      </c>
      <c r="H356" s="9" t="s">
        <v>600</v>
      </c>
      <c r="I356" t="s">
        <v>671</v>
      </c>
      <c r="J356"/>
      <c r="L356" s="25">
        <v>1</v>
      </c>
      <c r="M356">
        <v>2</v>
      </c>
      <c r="N356">
        <v>0</v>
      </c>
      <c r="T356" s="25">
        <v>15.19820412</v>
      </c>
      <c r="U356" s="25">
        <v>15.194836840000001</v>
      </c>
      <c r="V356" s="25">
        <v>3.9043439100000001</v>
      </c>
      <c r="W356">
        <v>3.8588</v>
      </c>
      <c r="X356">
        <v>3.8588</v>
      </c>
      <c r="Y356">
        <v>29.656099999999999</v>
      </c>
      <c r="Z356">
        <v>0</v>
      </c>
      <c r="AA356"/>
      <c r="AB356"/>
      <c r="AD356">
        <v>20</v>
      </c>
      <c r="AE356" s="55">
        <f t="shared" si="19"/>
        <v>0</v>
      </c>
      <c r="AF356" s="57">
        <v>227.79419475650769</v>
      </c>
      <c r="AG356" s="55">
        <v>441.58933615438389</v>
      </c>
      <c r="AH356" s="55">
        <v>0</v>
      </c>
      <c r="AI356" s="52"/>
      <c r="AJ356" s="51">
        <v>8.7798550008608742E-2</v>
      </c>
      <c r="AK356" s="52">
        <v>9.0581897534807332E-2</v>
      </c>
      <c r="AL356" s="52"/>
      <c r="AM356" s="28">
        <v>1.882352941176471</v>
      </c>
      <c r="AN356" s="28">
        <v>2.3529411764705879</v>
      </c>
      <c r="AO356" s="28">
        <v>0.35294117647058831</v>
      </c>
      <c r="AP356" s="28">
        <v>0.47058823529411759</v>
      </c>
      <c r="AQ356" s="28">
        <v>0.37209302325581389</v>
      </c>
      <c r="AR356" s="28">
        <v>0.46511627906976749</v>
      </c>
      <c r="AS356" s="28">
        <v>6.9767441860465129E-2</v>
      </c>
      <c r="AT356" s="28">
        <v>9.3023255813953487E-2</v>
      </c>
      <c r="AU356" s="25">
        <v>0.82</v>
      </c>
      <c r="AV356" s="25">
        <v>3.44</v>
      </c>
      <c r="AW356" s="25">
        <v>2.62</v>
      </c>
      <c r="AX356" s="25">
        <v>2.525882352941176</v>
      </c>
      <c r="AY356">
        <v>2.525882352941176</v>
      </c>
      <c r="AZ356">
        <v>5.6597597152941184</v>
      </c>
      <c r="BA356" s="75">
        <v>0.57188837719605823</v>
      </c>
      <c r="BB356" s="75">
        <v>0</v>
      </c>
      <c r="BE356">
        <v>4.3899275004304371E-2</v>
      </c>
      <c r="BF356">
        <v>4.5290948767403673E-2</v>
      </c>
      <c r="BH356">
        <v>8.9190223771708044E-2</v>
      </c>
      <c r="BI356">
        <v>4.4595111885854022E-2</v>
      </c>
      <c r="BJ356">
        <v>0.28594418859802911</v>
      </c>
    </row>
    <row r="357" spans="1:62" x14ac:dyDescent="0.3">
      <c r="A357" s="2" t="s">
        <v>4</v>
      </c>
      <c r="B357" s="13" t="s">
        <v>689</v>
      </c>
      <c r="C357" s="13"/>
      <c r="F357" s="2">
        <v>3.26</v>
      </c>
      <c r="G357" s="2" t="s">
        <v>290</v>
      </c>
      <c r="H357" s="9" t="s">
        <v>527</v>
      </c>
      <c r="I357" t="s">
        <v>609</v>
      </c>
      <c r="J357"/>
      <c r="L357" s="25">
        <v>4</v>
      </c>
      <c r="M357">
        <v>4</v>
      </c>
      <c r="N357">
        <v>0</v>
      </c>
      <c r="T357" s="25">
        <v>7.8084429999999996</v>
      </c>
      <c r="U357" s="25">
        <v>7.8548809999999998</v>
      </c>
      <c r="V357" s="25">
        <v>15.19056011</v>
      </c>
      <c r="W357">
        <v>3.8801999999999999</v>
      </c>
      <c r="X357">
        <v>29.507999999999999</v>
      </c>
      <c r="Y357">
        <v>7.7140000000000004</v>
      </c>
      <c r="Z357">
        <v>0</v>
      </c>
      <c r="AA357"/>
      <c r="AB357"/>
      <c r="AD357">
        <v>20</v>
      </c>
      <c r="AE357" s="55">
        <f t="shared" si="19"/>
        <v>0</v>
      </c>
      <c r="AF357" s="57">
        <v>924.74694800021894</v>
      </c>
      <c r="AG357" s="55">
        <v>883.22940750240002</v>
      </c>
      <c r="AH357" s="55">
        <v>0</v>
      </c>
      <c r="AI357" s="52"/>
      <c r="AJ357" s="51">
        <v>8.6510153045653584E-2</v>
      </c>
      <c r="AK357" s="52">
        <v>9.0576694254581439E-2</v>
      </c>
      <c r="AL357" s="52"/>
      <c r="AM357" s="28">
        <v>1.75</v>
      </c>
      <c r="AN357" s="28">
        <v>2.5</v>
      </c>
      <c r="AO357" s="28">
        <v>0.75</v>
      </c>
      <c r="AP357" s="28">
        <v>0</v>
      </c>
      <c r="AQ357" s="28">
        <v>0.35</v>
      </c>
      <c r="AR357" s="28">
        <v>0.5</v>
      </c>
      <c r="AS357" s="28">
        <v>0.15</v>
      </c>
      <c r="AT357" s="28">
        <v>0</v>
      </c>
      <c r="AU357" s="25">
        <v>0.82</v>
      </c>
      <c r="AV357" s="25">
        <v>3.44</v>
      </c>
      <c r="AW357" s="25">
        <v>2.62</v>
      </c>
      <c r="AX357" s="25">
        <v>2.6262500000000002</v>
      </c>
      <c r="AY357">
        <v>2.6262500000000002</v>
      </c>
      <c r="AZ357">
        <v>5.96680968125</v>
      </c>
      <c r="BA357" s="75">
        <v>0.50555206026575039</v>
      </c>
      <c r="BB357" s="75">
        <v>0</v>
      </c>
      <c r="BE357">
        <v>4.3255076522826792E-2</v>
      </c>
      <c r="BF357">
        <v>4.5288347127290719E-2</v>
      </c>
      <c r="BH357">
        <v>8.8543423650117511E-2</v>
      </c>
      <c r="BI357">
        <v>4.4271711825058763E-2</v>
      </c>
      <c r="BJ357">
        <v>0.2527760301328752</v>
      </c>
    </row>
    <row r="358" spans="1:62" x14ac:dyDescent="0.3">
      <c r="A358" s="1" t="s">
        <v>288</v>
      </c>
      <c r="B358" s="13" t="s">
        <v>689</v>
      </c>
      <c r="C358" s="15"/>
      <c r="D358" s="1" t="s">
        <v>676</v>
      </c>
      <c r="E358" s="1" t="s">
        <v>1067</v>
      </c>
      <c r="F358" s="1">
        <v>2.4700000000000002</v>
      </c>
      <c r="G358" s="1" t="s">
        <v>290</v>
      </c>
      <c r="H358" s="9" t="s">
        <v>527</v>
      </c>
      <c r="I358" t="s">
        <v>609</v>
      </c>
      <c r="J358"/>
      <c r="K358" s="1"/>
      <c r="L358" s="25">
        <v>4</v>
      </c>
      <c r="M358">
        <v>4</v>
      </c>
      <c r="N358">
        <v>0</v>
      </c>
      <c r="O358" s="1"/>
      <c r="P358" s="1"/>
      <c r="Q358" s="1"/>
      <c r="R358" s="1"/>
      <c r="S358" s="1"/>
      <c r="T358" s="25">
        <v>7.8084429999999996</v>
      </c>
      <c r="U358" s="25">
        <v>7.8548809999999998</v>
      </c>
      <c r="V358" s="25">
        <v>15.19056011</v>
      </c>
      <c r="W358">
        <v>3.8801999999999999</v>
      </c>
      <c r="X358">
        <v>29.507999999999999</v>
      </c>
      <c r="Y358">
        <v>7.7140000000000004</v>
      </c>
      <c r="Z358">
        <v>0</v>
      </c>
      <c r="AA358"/>
      <c r="AB358"/>
      <c r="AC358" s="1"/>
      <c r="AD358">
        <v>20</v>
      </c>
      <c r="AE358" s="55">
        <f t="shared" si="19"/>
        <v>0</v>
      </c>
      <c r="AF358" s="57">
        <v>924.74694800021894</v>
      </c>
      <c r="AG358" s="55">
        <v>883.22940750240002</v>
      </c>
      <c r="AH358" s="55">
        <v>0</v>
      </c>
      <c r="AI358" s="52"/>
      <c r="AJ358" s="51">
        <v>8.6510153045653584E-2</v>
      </c>
      <c r="AK358" s="52">
        <v>9.0576694254581439E-2</v>
      </c>
      <c r="AL358" s="52"/>
      <c r="AM358" s="28">
        <v>1.75</v>
      </c>
      <c r="AN358" s="28">
        <v>2.5</v>
      </c>
      <c r="AO358" s="28">
        <v>0.75</v>
      </c>
      <c r="AP358" s="28">
        <v>0</v>
      </c>
      <c r="AQ358" s="28">
        <v>0.35</v>
      </c>
      <c r="AR358" s="28">
        <v>0.5</v>
      </c>
      <c r="AS358" s="28">
        <v>0.15</v>
      </c>
      <c r="AT358" s="28">
        <v>0</v>
      </c>
      <c r="AU358" s="25">
        <v>0.82</v>
      </c>
      <c r="AV358" s="25">
        <v>3.44</v>
      </c>
      <c r="AW358" s="25">
        <v>2.62</v>
      </c>
      <c r="AX358" s="25">
        <v>2.6262500000000002</v>
      </c>
      <c r="AY358">
        <v>2.6262500000000002</v>
      </c>
      <c r="AZ358">
        <v>5.96680968125</v>
      </c>
      <c r="BA358" s="75">
        <v>0.50555206026575039</v>
      </c>
      <c r="BB358" s="75">
        <v>0</v>
      </c>
      <c r="BE358">
        <v>4.3255076522826792E-2</v>
      </c>
      <c r="BF358">
        <v>4.5288347127290719E-2</v>
      </c>
      <c r="BH358">
        <v>8.8543423650117511E-2</v>
      </c>
      <c r="BI358">
        <v>4.4271711825058763E-2</v>
      </c>
      <c r="BJ358">
        <v>0.2527760301328752</v>
      </c>
    </row>
    <row r="359" spans="1:62" x14ac:dyDescent="0.3">
      <c r="A359" s="1" t="s">
        <v>289</v>
      </c>
      <c r="B359" s="13" t="s">
        <v>689</v>
      </c>
      <c r="C359" s="15"/>
      <c r="D359" s="1" t="s">
        <v>946</v>
      </c>
      <c r="E359" s="1" t="s">
        <v>1067</v>
      </c>
      <c r="F359" s="1">
        <v>2.4700000000000002</v>
      </c>
      <c r="G359" s="1" t="s">
        <v>290</v>
      </c>
      <c r="H359" s="9" t="s">
        <v>527</v>
      </c>
      <c r="I359" t="s">
        <v>609</v>
      </c>
      <c r="J359"/>
      <c r="K359" s="1"/>
      <c r="L359" s="25">
        <v>4</v>
      </c>
      <c r="M359">
        <v>4</v>
      </c>
      <c r="N359">
        <v>0</v>
      </c>
      <c r="O359" s="1"/>
      <c r="P359" s="1"/>
      <c r="Q359" s="1"/>
      <c r="R359" s="1"/>
      <c r="S359" s="1"/>
      <c r="T359" s="25">
        <v>7.8084429999999996</v>
      </c>
      <c r="U359" s="25">
        <v>7.8548809999999998</v>
      </c>
      <c r="V359" s="25">
        <v>15.19056011</v>
      </c>
      <c r="W359">
        <v>3.8801999999999999</v>
      </c>
      <c r="X359">
        <v>29.507999999999999</v>
      </c>
      <c r="Y359">
        <v>7.7140000000000004</v>
      </c>
      <c r="Z359">
        <v>0</v>
      </c>
      <c r="AA359"/>
      <c r="AB359"/>
      <c r="AC359" s="1"/>
      <c r="AD359">
        <v>20</v>
      </c>
      <c r="AE359" s="55">
        <f t="shared" si="19"/>
        <v>0</v>
      </c>
      <c r="AF359" s="57">
        <v>924.74694800021894</v>
      </c>
      <c r="AG359" s="55">
        <v>883.22940750240002</v>
      </c>
      <c r="AH359" s="55">
        <v>0</v>
      </c>
      <c r="AI359" s="52"/>
      <c r="AJ359" s="51">
        <v>8.6510153045653584E-2</v>
      </c>
      <c r="AK359" s="52">
        <v>9.0576694254581439E-2</v>
      </c>
      <c r="AL359" s="52"/>
      <c r="AM359" s="28">
        <v>1.75</v>
      </c>
      <c r="AN359" s="28">
        <v>2.5</v>
      </c>
      <c r="AO359" s="28">
        <v>0.75</v>
      </c>
      <c r="AP359" s="28">
        <v>0</v>
      </c>
      <c r="AQ359" s="28">
        <v>0.35</v>
      </c>
      <c r="AR359" s="28">
        <v>0.5</v>
      </c>
      <c r="AS359" s="28">
        <v>0.15</v>
      </c>
      <c r="AT359" s="28">
        <v>0</v>
      </c>
      <c r="AU359" s="25">
        <v>0.82</v>
      </c>
      <c r="AV359" s="25">
        <v>3.44</v>
      </c>
      <c r="AW359" s="25">
        <v>2.62</v>
      </c>
      <c r="AX359" s="25">
        <v>2.6262500000000002</v>
      </c>
      <c r="AY359">
        <v>2.6262500000000002</v>
      </c>
      <c r="AZ359">
        <v>5.96680968125</v>
      </c>
      <c r="BA359" s="75">
        <v>0.50555206026575039</v>
      </c>
      <c r="BB359" s="75">
        <v>0</v>
      </c>
      <c r="BE359">
        <v>4.3255076522826792E-2</v>
      </c>
      <c r="BF359">
        <v>4.5288347127290719E-2</v>
      </c>
      <c r="BH359">
        <v>8.8543423650117511E-2</v>
      </c>
      <c r="BI359">
        <v>4.4271711825058763E-2</v>
      </c>
      <c r="BJ359">
        <v>0.2527760301328752</v>
      </c>
    </row>
    <row r="360" spans="1:62" x14ac:dyDescent="0.3">
      <c r="A360" s="2" t="s">
        <v>10</v>
      </c>
      <c r="B360" s="13" t="s">
        <v>695</v>
      </c>
      <c r="C360" s="13"/>
      <c r="F360" s="2">
        <v>4.26</v>
      </c>
      <c r="G360" s="2" t="s">
        <v>291</v>
      </c>
      <c r="H360" s="9" t="s">
        <v>531</v>
      </c>
      <c r="I360">
        <v>-1</v>
      </c>
      <c r="J360"/>
      <c r="L360" s="25">
        <v>1</v>
      </c>
      <c r="M360">
        <v>0</v>
      </c>
      <c r="N360">
        <v>0</v>
      </c>
      <c r="T360" s="25">
        <v>3.9103940000000001</v>
      </c>
      <c r="U360" s="25">
        <v>3.9103940000000001</v>
      </c>
      <c r="V360" s="25">
        <v>11.314458</v>
      </c>
      <c r="W360">
        <v>0</v>
      </c>
      <c r="X360"/>
      <c r="Y360"/>
      <c r="Z360">
        <v>0</v>
      </c>
      <c r="AA360"/>
      <c r="AB360"/>
      <c r="AD360">
        <v>14</v>
      </c>
      <c r="AE360" s="55">
        <f t="shared" si="19"/>
        <v>0</v>
      </c>
      <c r="AF360" s="57">
        <v>173.0114278564659</v>
      </c>
      <c r="AG360" s="55">
        <v>0</v>
      </c>
      <c r="AH360" s="55">
        <v>0</v>
      </c>
      <c r="AI360" s="52"/>
      <c r="AJ360" s="51">
        <v>8.0919510193365449E-2</v>
      </c>
      <c r="AK360" s="52"/>
      <c r="AL360" s="52"/>
      <c r="AM360" s="28">
        <v>1.9090909090909089</v>
      </c>
      <c r="AN360" s="28">
        <v>2.545454545454545</v>
      </c>
      <c r="AO360" s="28">
        <v>0.63636363636363635</v>
      </c>
      <c r="AP360" s="28">
        <v>2.545454545454545</v>
      </c>
      <c r="AQ360" s="28">
        <v>0.25</v>
      </c>
      <c r="AR360" s="28">
        <v>0.33333333333333331</v>
      </c>
      <c r="AS360" s="28">
        <v>8.3333333333333329E-2</v>
      </c>
      <c r="AT360" s="28">
        <v>0.33333333333333331</v>
      </c>
      <c r="AU360" s="25">
        <v>0.82</v>
      </c>
      <c r="AV360" s="25">
        <v>3.44</v>
      </c>
      <c r="AW360" s="25">
        <v>2.62</v>
      </c>
      <c r="AX360" s="25">
        <v>2.6363636363636358</v>
      </c>
      <c r="AY360">
        <v>2.6363636363636371</v>
      </c>
      <c r="AZ360">
        <v>6.0044088459090901</v>
      </c>
      <c r="BA360" s="75">
        <v>0.5117218936152963</v>
      </c>
      <c r="BE360">
        <v>4.0459755096682717E-2</v>
      </c>
      <c r="BH360">
        <v>8.0919510193365449E-2</v>
      </c>
      <c r="BI360">
        <v>4.0459755096682717E-2</v>
      </c>
      <c r="BJ360">
        <v>0.5117218936152963</v>
      </c>
    </row>
    <row r="361" spans="1:62" x14ac:dyDescent="0.3">
      <c r="A361" s="2" t="s">
        <v>10</v>
      </c>
      <c r="B361" s="13" t="s">
        <v>695</v>
      </c>
      <c r="C361" s="13"/>
      <c r="D361" s="2" t="s">
        <v>676</v>
      </c>
      <c r="E361" s="2">
        <v>0.3</v>
      </c>
      <c r="F361" s="2">
        <v>2.16</v>
      </c>
      <c r="G361" s="2" t="s">
        <v>291</v>
      </c>
      <c r="H361" s="9" t="s">
        <v>531</v>
      </c>
      <c r="I361">
        <v>-1</v>
      </c>
      <c r="J361"/>
      <c r="L361" s="25">
        <v>1</v>
      </c>
      <c r="M361">
        <v>0</v>
      </c>
      <c r="N361">
        <v>0</v>
      </c>
      <c r="T361" s="25">
        <v>3.9103940000000001</v>
      </c>
      <c r="U361" s="25">
        <v>3.9103940000000001</v>
      </c>
      <c r="V361" s="25">
        <v>11.314458</v>
      </c>
      <c r="W361">
        <v>0</v>
      </c>
      <c r="X361"/>
      <c r="Y361"/>
      <c r="Z361">
        <v>0</v>
      </c>
      <c r="AA361"/>
      <c r="AB361"/>
      <c r="AD361">
        <v>14</v>
      </c>
      <c r="AE361" s="55">
        <f t="shared" si="19"/>
        <v>0</v>
      </c>
      <c r="AF361" s="57">
        <v>173.0114278564659</v>
      </c>
      <c r="AG361" s="55">
        <v>0</v>
      </c>
      <c r="AH361" s="55">
        <v>0</v>
      </c>
      <c r="AI361" s="52"/>
      <c r="AJ361" s="51">
        <v>8.0919510193365449E-2</v>
      </c>
      <c r="AK361" s="52"/>
      <c r="AL361" s="52"/>
      <c r="AM361" s="28">
        <v>1.9090909090909089</v>
      </c>
      <c r="AN361" s="28">
        <v>2.545454545454545</v>
      </c>
      <c r="AO361" s="28">
        <v>0.63636363636363635</v>
      </c>
      <c r="AP361" s="28">
        <v>2.545454545454545</v>
      </c>
      <c r="AQ361" s="28">
        <v>0.25</v>
      </c>
      <c r="AR361" s="28">
        <v>0.33333333333333331</v>
      </c>
      <c r="AS361" s="28">
        <v>8.3333333333333329E-2</v>
      </c>
      <c r="AT361" s="28">
        <v>0.33333333333333331</v>
      </c>
      <c r="AU361" s="25">
        <v>0.82</v>
      </c>
      <c r="AV361" s="25">
        <v>3.44</v>
      </c>
      <c r="AW361" s="25">
        <v>2.62</v>
      </c>
      <c r="AX361" s="25">
        <v>2.6363636363636358</v>
      </c>
      <c r="AY361">
        <v>2.6363636363636371</v>
      </c>
      <c r="AZ361">
        <v>6.0044088459090901</v>
      </c>
      <c r="BA361" s="75">
        <v>0.5117218936152963</v>
      </c>
      <c r="BE361">
        <v>4.0459755096682717E-2</v>
      </c>
      <c r="BH361">
        <v>8.0919510193365449E-2</v>
      </c>
      <c r="BI361">
        <v>4.0459755096682717E-2</v>
      </c>
      <c r="BJ361">
        <v>0.5117218936152963</v>
      </c>
    </row>
    <row r="362" spans="1:62" x14ac:dyDescent="0.3">
      <c r="A362" s="2" t="s">
        <v>4</v>
      </c>
      <c r="B362" s="13" t="s">
        <v>689</v>
      </c>
      <c r="C362" s="13"/>
      <c r="F362" s="2">
        <v>3.22</v>
      </c>
      <c r="G362" s="2" t="s">
        <v>292</v>
      </c>
      <c r="H362" s="70" t="s">
        <v>527</v>
      </c>
      <c r="I362">
        <v>-1</v>
      </c>
      <c r="J362"/>
      <c r="K362" s="2">
        <v>4</v>
      </c>
      <c r="L362" s="25">
        <v>4</v>
      </c>
      <c r="M362">
        <v>0</v>
      </c>
      <c r="N362">
        <v>0</v>
      </c>
      <c r="O362" s="2">
        <v>-1</v>
      </c>
      <c r="T362" s="25">
        <v>7.8084429999999996</v>
      </c>
      <c r="U362" s="25">
        <v>7.8548809999999998</v>
      </c>
      <c r="V362" s="25">
        <v>15.19056011</v>
      </c>
      <c r="W362">
        <v>0</v>
      </c>
      <c r="X362"/>
      <c r="Y362"/>
      <c r="Z362">
        <v>0</v>
      </c>
      <c r="AA362"/>
      <c r="AB362"/>
      <c r="AD362">
        <v>20</v>
      </c>
      <c r="AE362" s="55">
        <v>850</v>
      </c>
      <c r="AF362" s="57">
        <v>924.74694795000005</v>
      </c>
      <c r="AG362" s="55">
        <v>0</v>
      </c>
      <c r="AH362" s="55">
        <v>0</v>
      </c>
      <c r="AI362" s="52">
        <f t="shared" ref="AI362:AI373" si="22">K362*AD362/AE362</f>
        <v>9.4117647058823528E-2</v>
      </c>
      <c r="AJ362" s="51">
        <f>L362*AD362/AF362</f>
        <v>8.6510153050351563E-2</v>
      </c>
      <c r="AK362" s="52"/>
      <c r="AL362" s="52"/>
      <c r="AM362" s="28">
        <v>1.75</v>
      </c>
      <c r="AN362" s="28">
        <v>2.5</v>
      </c>
      <c r="AO362" s="28">
        <v>0.75</v>
      </c>
      <c r="AP362" s="28">
        <v>0</v>
      </c>
      <c r="AQ362" s="28">
        <v>0.35</v>
      </c>
      <c r="AR362" s="28">
        <v>0.5</v>
      </c>
      <c r="AS362" s="28">
        <v>0.15</v>
      </c>
      <c r="AT362" s="28">
        <v>0</v>
      </c>
      <c r="AU362" s="25">
        <v>0.82</v>
      </c>
      <c r="AV362" s="25">
        <v>3.44</v>
      </c>
      <c r="AW362" s="25">
        <v>2.62</v>
      </c>
      <c r="AX362" s="25">
        <v>2.6262500000000002</v>
      </c>
      <c r="AY362">
        <v>2.6262500000000002</v>
      </c>
      <c r="AZ362">
        <v>5.96680968125</v>
      </c>
      <c r="BA362" s="75">
        <v>0.50555206026575039</v>
      </c>
      <c r="BD362">
        <v>4.7058823529411757E-2</v>
      </c>
      <c r="BE362">
        <v>4.3255076525175781E-2</v>
      </c>
      <c r="BH362">
        <v>9.0313900054587545E-2</v>
      </c>
      <c r="BI362">
        <v>4.5156950027293773E-2</v>
      </c>
      <c r="BJ362">
        <v>0.50555206026575039</v>
      </c>
    </row>
    <row r="363" spans="1:62" x14ac:dyDescent="0.3">
      <c r="A363" s="42" t="s">
        <v>991</v>
      </c>
      <c r="B363" s="18" t="s">
        <v>693</v>
      </c>
      <c r="C363" s="13"/>
      <c r="F363" s="2">
        <v>3.1</v>
      </c>
      <c r="G363" s="2" t="s">
        <v>292</v>
      </c>
      <c r="H363" s="9">
        <v>-1</v>
      </c>
      <c r="I363">
        <v>-1</v>
      </c>
      <c r="J363"/>
      <c r="K363" s="2">
        <v>4</v>
      </c>
      <c r="L363" s="25">
        <v>0</v>
      </c>
      <c r="M363">
        <v>0</v>
      </c>
      <c r="N363">
        <v>0</v>
      </c>
      <c r="O363" s="2">
        <v>3.8759999999999999</v>
      </c>
      <c r="P363" s="2">
        <v>3.8849999999999998</v>
      </c>
      <c r="Q363" s="2">
        <v>37.359000000000002</v>
      </c>
      <c r="R363" s="2" t="s">
        <v>1175</v>
      </c>
      <c r="T363" s="25">
        <v>0</v>
      </c>
      <c r="U363" s="25"/>
      <c r="V363" s="25"/>
      <c r="W363">
        <v>0</v>
      </c>
      <c r="X363"/>
      <c r="Y363"/>
      <c r="Z363">
        <v>0</v>
      </c>
      <c r="AA363"/>
      <c r="AB363"/>
      <c r="AD363">
        <v>26</v>
      </c>
      <c r="AE363" s="55">
        <v>1100</v>
      </c>
      <c r="AF363" s="57">
        <v>0</v>
      </c>
      <c r="AG363" s="55">
        <v>0</v>
      </c>
      <c r="AH363" s="55">
        <v>0</v>
      </c>
      <c r="AI363" s="52">
        <f t="shared" si="22"/>
        <v>9.4545454545454544E-2</v>
      </c>
      <c r="AJ363" s="51"/>
      <c r="AK363" s="52"/>
      <c r="AL363" s="52"/>
      <c r="AM363" s="28">
        <v>1.714285714285714</v>
      </c>
      <c r="AN363" s="28">
        <v>2.4761904761904758</v>
      </c>
      <c r="AO363" s="28">
        <v>0.76190476190476186</v>
      </c>
      <c r="AP363" s="28">
        <v>0</v>
      </c>
      <c r="AQ363" s="28">
        <v>0.34615384615384609</v>
      </c>
      <c r="AR363" s="28">
        <v>0.5</v>
      </c>
      <c r="AS363" s="28">
        <v>0.1538461538461538</v>
      </c>
      <c r="AT363" s="28">
        <v>0</v>
      </c>
      <c r="AU363" s="25">
        <v>0.82</v>
      </c>
      <c r="AV363" s="25">
        <v>3.44</v>
      </c>
      <c r="AW363" s="25">
        <v>2.62</v>
      </c>
      <c r="AX363" s="25">
        <v>2.612857142857143</v>
      </c>
      <c r="AY363">
        <v>2.612857142857143</v>
      </c>
      <c r="AZ363">
        <v>5.9413964502380949</v>
      </c>
      <c r="BD363">
        <v>4.7272727272727272E-2</v>
      </c>
      <c r="BH363">
        <v>9.4545454545454544E-2</v>
      </c>
      <c r="BI363">
        <v>4.7272727272727272E-2</v>
      </c>
      <c r="BJ363">
        <v>0</v>
      </c>
    </row>
    <row r="364" spans="1:62" x14ac:dyDescent="0.3">
      <c r="A364" s="5" t="s">
        <v>992</v>
      </c>
      <c r="B364" s="43" t="s">
        <v>989</v>
      </c>
      <c r="C364" s="39"/>
      <c r="D364" s="5"/>
      <c r="E364" s="5"/>
      <c r="F364" s="5">
        <v>3.08</v>
      </c>
      <c r="G364" s="5" t="s">
        <v>292</v>
      </c>
      <c r="H364" s="40">
        <v>-2</v>
      </c>
      <c r="I364" s="5">
        <v>-1</v>
      </c>
      <c r="J364" s="5"/>
      <c r="K364" s="5">
        <v>4</v>
      </c>
      <c r="L364" s="41">
        <v>0</v>
      </c>
      <c r="M364">
        <v>0</v>
      </c>
      <c r="N364">
        <v>0</v>
      </c>
      <c r="O364" s="5">
        <v>-1</v>
      </c>
      <c r="P364" s="5"/>
      <c r="Q364" s="5"/>
      <c r="R364" s="5"/>
      <c r="S364" s="5"/>
      <c r="T364" s="41">
        <v>0</v>
      </c>
      <c r="U364" s="41"/>
      <c r="V364" s="41"/>
      <c r="W364">
        <v>0</v>
      </c>
      <c r="X364"/>
      <c r="Y364"/>
      <c r="Z364">
        <v>0</v>
      </c>
      <c r="AA364"/>
      <c r="AB364"/>
      <c r="AC364" s="5"/>
      <c r="AD364" s="5">
        <v>32</v>
      </c>
      <c r="AE364" s="55">
        <v>1350</v>
      </c>
      <c r="AF364" s="57">
        <v>0</v>
      </c>
      <c r="AG364" s="55">
        <v>0</v>
      </c>
      <c r="AH364" s="55">
        <v>0</v>
      </c>
      <c r="AI364" s="52">
        <f t="shared" si="22"/>
        <v>9.481481481481481E-2</v>
      </c>
      <c r="AJ364" s="51"/>
      <c r="AK364" s="52"/>
      <c r="AL364" s="52"/>
      <c r="AM364" s="5">
        <v>1.6923076923076921</v>
      </c>
      <c r="AN364" s="5">
        <v>2.4615384615384621</v>
      </c>
      <c r="AO364" s="5">
        <v>0.76923076923076927</v>
      </c>
      <c r="AP364" s="5">
        <v>0</v>
      </c>
      <c r="AQ364" s="5">
        <v>0.34375</v>
      </c>
      <c r="AR364" s="5">
        <v>0.5</v>
      </c>
      <c r="AS364" s="5">
        <v>0.15625</v>
      </c>
      <c r="AT364" s="5">
        <v>0</v>
      </c>
      <c r="AU364" s="41">
        <v>0.82</v>
      </c>
      <c r="AV364" s="41">
        <v>3.44</v>
      </c>
      <c r="AW364" s="41">
        <v>2.62</v>
      </c>
      <c r="AX364" s="41">
        <v>2.6046153846153852</v>
      </c>
      <c r="AY364" s="5">
        <v>2.6046153846153852</v>
      </c>
      <c r="AZ364" s="5">
        <v>5.9257575388461543</v>
      </c>
      <c r="BD364">
        <v>4.7407407407407412E-2</v>
      </c>
      <c r="BH364">
        <v>9.481481481481481E-2</v>
      </c>
      <c r="BI364">
        <v>4.7407407407407412E-2</v>
      </c>
      <c r="BJ364">
        <v>0</v>
      </c>
    </row>
    <row r="365" spans="1:62" x14ac:dyDescent="0.3">
      <c r="A365" s="5" t="s">
        <v>993</v>
      </c>
      <c r="B365" s="43" t="s">
        <v>990</v>
      </c>
      <c r="C365" s="39"/>
      <c r="D365" s="5"/>
      <c r="E365" s="5"/>
      <c r="F365" s="5">
        <v>3.06</v>
      </c>
      <c r="G365" s="5" t="s">
        <v>292</v>
      </c>
      <c r="H365" s="40">
        <v>-2</v>
      </c>
      <c r="I365" s="5">
        <v>-1</v>
      </c>
      <c r="J365" s="5"/>
      <c r="K365" s="5">
        <v>4</v>
      </c>
      <c r="L365" s="41">
        <v>0</v>
      </c>
      <c r="M365">
        <v>0</v>
      </c>
      <c r="N365">
        <v>0</v>
      </c>
      <c r="O365" s="5">
        <v>-1</v>
      </c>
      <c r="P365" s="5"/>
      <c r="Q365" s="5"/>
      <c r="R365" s="5"/>
      <c r="S365" s="5"/>
      <c r="T365" s="41">
        <v>0</v>
      </c>
      <c r="U365" s="41"/>
      <c r="V365" s="41"/>
      <c r="W365">
        <v>0</v>
      </c>
      <c r="X365"/>
      <c r="Y365"/>
      <c r="Z365">
        <v>0</v>
      </c>
      <c r="AA365"/>
      <c r="AB365"/>
      <c r="AC365" s="5"/>
      <c r="AD365" s="5">
        <v>38</v>
      </c>
      <c r="AE365" s="55">
        <v>1600</v>
      </c>
      <c r="AF365" s="57">
        <v>0</v>
      </c>
      <c r="AG365" s="55">
        <v>0</v>
      </c>
      <c r="AH365" s="55">
        <v>0</v>
      </c>
      <c r="AI365" s="52">
        <f t="shared" si="22"/>
        <v>9.5000000000000001E-2</v>
      </c>
      <c r="AJ365" s="51"/>
      <c r="AK365" s="52"/>
      <c r="AL365" s="52"/>
      <c r="AM365" s="5">
        <v>1.67741935483871</v>
      </c>
      <c r="AN365" s="5">
        <v>2.4516129032258061</v>
      </c>
      <c r="AO365" s="5">
        <v>0.77419354838709675</v>
      </c>
      <c r="AP365" s="5">
        <v>0</v>
      </c>
      <c r="AQ365" s="5">
        <v>0.34210526315789469</v>
      </c>
      <c r="AR365" s="5">
        <v>0.5</v>
      </c>
      <c r="AS365" s="5">
        <v>0.15789473684210531</v>
      </c>
      <c r="AT365" s="5">
        <v>0</v>
      </c>
      <c r="AU365" s="41">
        <v>0.82</v>
      </c>
      <c r="AV365" s="41">
        <v>3.44</v>
      </c>
      <c r="AW365" s="41">
        <v>2.62</v>
      </c>
      <c r="AX365" s="41">
        <v>2.5990322580645162</v>
      </c>
      <c r="AY365" s="5">
        <v>2.5990322580645162</v>
      </c>
      <c r="AZ365" s="5">
        <v>5.9151634375806452</v>
      </c>
      <c r="BD365">
        <v>4.7500000000000001E-2</v>
      </c>
      <c r="BH365">
        <v>9.5000000000000001E-2</v>
      </c>
      <c r="BI365">
        <v>4.7500000000000001E-2</v>
      </c>
      <c r="BJ365">
        <v>0</v>
      </c>
    </row>
    <row r="366" spans="1:62" x14ac:dyDescent="0.3">
      <c r="A366" s="44" t="s">
        <v>63</v>
      </c>
      <c r="B366" s="13" t="s">
        <v>773</v>
      </c>
      <c r="C366" s="13"/>
      <c r="F366" s="2">
        <v>3.59</v>
      </c>
      <c r="G366" s="2" t="s">
        <v>295</v>
      </c>
      <c r="H366" s="9">
        <v>-1</v>
      </c>
      <c r="I366">
        <v>-1</v>
      </c>
      <c r="J366" t="s">
        <v>1179</v>
      </c>
      <c r="K366" s="2">
        <v>1</v>
      </c>
      <c r="L366" s="25">
        <v>1</v>
      </c>
      <c r="M366">
        <v>0</v>
      </c>
      <c r="N366">
        <v>1</v>
      </c>
      <c r="O366" s="25">
        <v>3.86</v>
      </c>
      <c r="P366" s="25">
        <v>3.86</v>
      </c>
      <c r="Q366" s="2">
        <v>14.995541551467477</v>
      </c>
      <c r="T366" s="25">
        <v>3.86</v>
      </c>
      <c r="U366" s="25">
        <v>3.86</v>
      </c>
      <c r="V366" s="25">
        <v>14.97</v>
      </c>
      <c r="W366">
        <v>3.8504999999999998</v>
      </c>
      <c r="X366">
        <v>3.8504999999999998</v>
      </c>
      <c r="Y366">
        <v>14.379</v>
      </c>
      <c r="Z366"/>
      <c r="AA366"/>
      <c r="AB366"/>
      <c r="AD366">
        <v>20</v>
      </c>
      <c r="AE366" s="55">
        <f t="shared" si="19"/>
        <v>223.4275709002448</v>
      </c>
      <c r="AF366" s="57">
        <v>0</v>
      </c>
      <c r="AG366" s="55"/>
      <c r="AH366" s="55">
        <v>213.2</v>
      </c>
      <c r="AI366" s="52">
        <f t="shared" si="22"/>
        <v>8.9514467348031701E-2</v>
      </c>
      <c r="AJ366" s="51"/>
      <c r="AK366" s="52"/>
      <c r="AL366" s="67">
        <f>N366*AD366/AH366</f>
        <v>9.3808630393996256E-2</v>
      </c>
      <c r="AM366" s="28">
        <v>1.75</v>
      </c>
      <c r="AN366" s="28">
        <v>2.5</v>
      </c>
      <c r="AO366" s="28">
        <v>0.75</v>
      </c>
      <c r="AP366" s="28">
        <v>0</v>
      </c>
      <c r="AQ366" s="28">
        <v>0.35</v>
      </c>
      <c r="AR366" s="28">
        <v>0.5</v>
      </c>
      <c r="AS366" s="28">
        <v>0.15</v>
      </c>
      <c r="AT366" s="28">
        <v>0</v>
      </c>
      <c r="AU366" s="25">
        <v>1</v>
      </c>
      <c r="AV366" s="25">
        <v>3.44</v>
      </c>
      <c r="AW366" s="25">
        <v>2.44</v>
      </c>
      <c r="AX366" s="25">
        <v>2.7124999999999999</v>
      </c>
      <c r="AY366">
        <v>2.7124999999999999</v>
      </c>
      <c r="AZ366">
        <v>6.264025610615688</v>
      </c>
      <c r="BC366" s="75">
        <v>0</v>
      </c>
      <c r="BD366">
        <v>4.4757233674015851E-2</v>
      </c>
      <c r="BE366" t="s">
        <v>459</v>
      </c>
      <c r="BG366">
        <v>4.6904315196998128E-2</v>
      </c>
      <c r="BH366">
        <v>9.1661548871013979E-2</v>
      </c>
      <c r="BI366" t="s">
        <v>459</v>
      </c>
      <c r="BJ366">
        <v>0</v>
      </c>
    </row>
    <row r="367" spans="1:62" x14ac:dyDescent="0.3">
      <c r="A367" s="2" t="s">
        <v>296</v>
      </c>
      <c r="B367" s="17" t="s">
        <v>947</v>
      </c>
      <c r="C367" s="13"/>
      <c r="F367" s="2">
        <v>3.55</v>
      </c>
      <c r="G367" s="2" t="s">
        <v>295</v>
      </c>
      <c r="H367" s="9">
        <v>-1</v>
      </c>
      <c r="I367">
        <v>-1</v>
      </c>
      <c r="J367"/>
      <c r="K367" s="2">
        <v>1</v>
      </c>
      <c r="L367" s="25">
        <v>1</v>
      </c>
      <c r="M367">
        <v>0</v>
      </c>
      <c r="N367">
        <v>0</v>
      </c>
      <c r="O367" s="25">
        <v>3.86</v>
      </c>
      <c r="P367" s="25">
        <v>3.86</v>
      </c>
      <c r="Q367" s="2">
        <v>15.615511227317649</v>
      </c>
      <c r="T367" s="25">
        <v>3.86</v>
      </c>
      <c r="U367" s="25">
        <v>3.86</v>
      </c>
      <c r="V367" s="25">
        <f>(V366+V368)/2</f>
        <v>15.342750000000001</v>
      </c>
      <c r="W367">
        <v>0</v>
      </c>
      <c r="X367"/>
      <c r="Y367"/>
      <c r="Z367"/>
      <c r="AA367"/>
      <c r="AB367"/>
      <c r="AD367">
        <v>20</v>
      </c>
      <c r="AE367" s="55">
        <f t="shared" si="19"/>
        <v>232.66487108254202</v>
      </c>
      <c r="AF367" s="57">
        <v>0</v>
      </c>
      <c r="AG367" s="55"/>
      <c r="AH367" s="55"/>
      <c r="AI367" s="52">
        <f t="shared" si="22"/>
        <v>8.5960548779642126E-2</v>
      </c>
      <c r="AJ367" s="51"/>
      <c r="AK367" s="52"/>
      <c r="AL367" s="52"/>
      <c r="AM367" s="28">
        <v>1.75</v>
      </c>
      <c r="AN367" s="28">
        <v>2.5</v>
      </c>
      <c r="AO367" s="28">
        <v>0.75</v>
      </c>
      <c r="AP367" s="28">
        <v>0</v>
      </c>
      <c r="AQ367" s="28">
        <v>0.35</v>
      </c>
      <c r="AR367" s="28">
        <v>0.5</v>
      </c>
      <c r="AS367" s="28">
        <v>0.15</v>
      </c>
      <c r="AT367" s="28">
        <v>0</v>
      </c>
      <c r="AU367" s="25">
        <v>0.95</v>
      </c>
      <c r="AV367" s="25">
        <v>3.44</v>
      </c>
      <c r="AW367" s="25">
        <v>2.4900000000000002</v>
      </c>
      <c r="AX367" s="25">
        <v>2.7109375</v>
      </c>
      <c r="AY367">
        <v>2.7109375</v>
      </c>
      <c r="AZ367">
        <v>6.2579197821781882</v>
      </c>
      <c r="BD367">
        <v>4.2980274389821063E-2</v>
      </c>
      <c r="BE367" t="s">
        <v>459</v>
      </c>
      <c r="BH367">
        <v>8.5960548779642126E-2</v>
      </c>
      <c r="BI367" t="s">
        <v>459</v>
      </c>
      <c r="BJ367">
        <v>0</v>
      </c>
    </row>
    <row r="368" spans="1:62" x14ac:dyDescent="0.3">
      <c r="A368" s="2" t="s">
        <v>297</v>
      </c>
      <c r="B368" s="13" t="s">
        <v>827</v>
      </c>
      <c r="C368" s="13"/>
      <c r="F368" s="2">
        <v>3.5</v>
      </c>
      <c r="G368" s="2" t="s">
        <v>295</v>
      </c>
      <c r="H368" s="9">
        <v>-1</v>
      </c>
      <c r="I368">
        <v>-1</v>
      </c>
      <c r="J368"/>
      <c r="K368" s="2">
        <v>1</v>
      </c>
      <c r="L368" s="25">
        <v>1</v>
      </c>
      <c r="M368">
        <v>0</v>
      </c>
      <c r="N368">
        <v>0</v>
      </c>
      <c r="O368" s="25">
        <v>3.86</v>
      </c>
      <c r="P368" s="25">
        <v>3.86</v>
      </c>
      <c r="Q368" s="2">
        <v>15.994210692250023</v>
      </c>
      <c r="T368" s="25">
        <v>3.86</v>
      </c>
      <c r="U368" s="25">
        <v>3.86</v>
      </c>
      <c r="V368" s="25">
        <v>15.7155</v>
      </c>
      <c r="W368">
        <v>0</v>
      </c>
      <c r="X368"/>
      <c r="Y368"/>
      <c r="Z368">
        <v>0</v>
      </c>
      <c r="AA368"/>
      <c r="AB368"/>
      <c r="AD368">
        <v>20</v>
      </c>
      <c r="AE368" s="55">
        <f t="shared" si="19"/>
        <v>238.30734163024843</v>
      </c>
      <c r="AF368" s="57">
        <v>0</v>
      </c>
      <c r="AG368" s="55"/>
      <c r="AH368" s="55">
        <v>0</v>
      </c>
      <c r="AI368" s="52">
        <f t="shared" si="22"/>
        <v>8.3925236474801893E-2</v>
      </c>
      <c r="AJ368" s="51"/>
      <c r="AK368" s="52"/>
      <c r="AL368" s="52"/>
      <c r="AM368" s="28">
        <v>1.75</v>
      </c>
      <c r="AN368" s="28">
        <v>2.5</v>
      </c>
      <c r="AO368" s="28">
        <v>0.75</v>
      </c>
      <c r="AP368" s="28">
        <v>0</v>
      </c>
      <c r="AQ368" s="28">
        <v>0.35</v>
      </c>
      <c r="AR368" s="28">
        <v>0.5</v>
      </c>
      <c r="AS368" s="28">
        <v>0.15</v>
      </c>
      <c r="AT368" s="28">
        <v>0</v>
      </c>
      <c r="AU368" s="25">
        <v>0.95</v>
      </c>
      <c r="AV368" s="25">
        <v>3.44</v>
      </c>
      <c r="AW368" s="25">
        <v>2.4900000000000002</v>
      </c>
      <c r="AX368" s="25">
        <v>2.7093750000000001</v>
      </c>
      <c r="AY368">
        <v>2.7093750000000001</v>
      </c>
      <c r="AZ368">
        <v>6.2518139537406876</v>
      </c>
      <c r="BD368">
        <v>4.1962618237400953E-2</v>
      </c>
      <c r="BE368" t="s">
        <v>459</v>
      </c>
      <c r="BH368">
        <v>8.3925236474801893E-2</v>
      </c>
      <c r="BI368" t="s">
        <v>459</v>
      </c>
      <c r="BJ368">
        <v>0</v>
      </c>
    </row>
    <row r="369" spans="1:62" x14ac:dyDescent="0.3">
      <c r="A369" s="2" t="s">
        <v>298</v>
      </c>
      <c r="B369" s="17" t="s">
        <v>948</v>
      </c>
      <c r="C369" s="13"/>
      <c r="F369" s="2">
        <v>3.45</v>
      </c>
      <c r="G369" s="2" t="s">
        <v>295</v>
      </c>
      <c r="H369" s="9">
        <v>-1</v>
      </c>
      <c r="I369">
        <v>-1</v>
      </c>
      <c r="J369"/>
      <c r="K369" s="2">
        <v>1</v>
      </c>
      <c r="L369" s="25">
        <v>1</v>
      </c>
      <c r="M369">
        <v>0</v>
      </c>
      <c r="N369">
        <v>0</v>
      </c>
      <c r="O369" s="25">
        <v>3.86</v>
      </c>
      <c r="P369" s="25">
        <v>3.86</v>
      </c>
      <c r="Q369" s="2">
        <v>16.28902613653251</v>
      </c>
      <c r="T369" s="25">
        <v>3.86</v>
      </c>
      <c r="U369" s="25">
        <v>3.86</v>
      </c>
      <c r="V369" s="25">
        <v>16.312000000000001</v>
      </c>
      <c r="W369">
        <v>0</v>
      </c>
      <c r="X369"/>
      <c r="Y369"/>
      <c r="Z369">
        <v>0</v>
      </c>
      <c r="AA369"/>
      <c r="AB369"/>
      <c r="AD369">
        <v>20</v>
      </c>
      <c r="AE369" s="55">
        <f t="shared" si="19"/>
        <v>242.69997382387976</v>
      </c>
      <c r="AF369" s="57">
        <v>0</v>
      </c>
      <c r="AG369" s="55"/>
      <c r="AH369" s="55">
        <v>0</v>
      </c>
      <c r="AI369" s="52">
        <f t="shared" si="22"/>
        <v>8.2406271763809144E-2</v>
      </c>
      <c r="AJ369" s="51"/>
      <c r="AK369" s="52"/>
      <c r="AL369" s="52"/>
      <c r="AM369" s="28">
        <v>1.75</v>
      </c>
      <c r="AN369" s="28">
        <v>2.5</v>
      </c>
      <c r="AO369" s="28">
        <v>0.75</v>
      </c>
      <c r="AP369" s="28">
        <v>0</v>
      </c>
      <c r="AQ369" s="28">
        <v>0.35</v>
      </c>
      <c r="AR369" s="28">
        <v>0.5</v>
      </c>
      <c r="AS369" s="28">
        <v>0.15</v>
      </c>
      <c r="AT369" s="28">
        <v>0</v>
      </c>
      <c r="AU369" s="25">
        <v>0.95</v>
      </c>
      <c r="AV369" s="25">
        <v>3.44</v>
      </c>
      <c r="AW369" s="25">
        <v>2.4900000000000002</v>
      </c>
      <c r="AX369" s="25">
        <v>2.7078125000000002</v>
      </c>
      <c r="AY369">
        <v>2.7078125000000002</v>
      </c>
      <c r="AZ369">
        <v>6.245708125303187</v>
      </c>
      <c r="BD369">
        <v>4.1203135881904572E-2</v>
      </c>
      <c r="BE369" t="s">
        <v>459</v>
      </c>
      <c r="BH369">
        <v>8.2406271763809144E-2</v>
      </c>
      <c r="BI369" t="s">
        <v>459</v>
      </c>
      <c r="BJ369">
        <v>0</v>
      </c>
    </row>
    <row r="370" spans="1:62" x14ac:dyDescent="0.3">
      <c r="A370" s="2" t="s">
        <v>151</v>
      </c>
      <c r="B370" s="13" t="s">
        <v>774</v>
      </c>
      <c r="C370" s="13"/>
      <c r="F370" s="2">
        <v>3.4</v>
      </c>
      <c r="G370" s="2" t="s">
        <v>295</v>
      </c>
      <c r="H370" s="9">
        <v>-1</v>
      </c>
      <c r="I370">
        <v>-1</v>
      </c>
      <c r="J370"/>
      <c r="K370" s="2">
        <v>1</v>
      </c>
      <c r="L370" s="25">
        <v>1</v>
      </c>
      <c r="M370">
        <v>0</v>
      </c>
      <c r="N370">
        <v>0</v>
      </c>
      <c r="O370" s="25">
        <v>3.86</v>
      </c>
      <c r="P370" s="25">
        <v>3.86</v>
      </c>
      <c r="Q370" s="2">
        <v>17.505628149549622</v>
      </c>
      <c r="T370" s="25">
        <v>3.86</v>
      </c>
      <c r="U370" s="25">
        <v>3.86</v>
      </c>
      <c r="V370" s="25">
        <v>17.599</v>
      </c>
      <c r="W370">
        <v>0</v>
      </c>
      <c r="X370"/>
      <c r="Y370"/>
      <c r="Z370">
        <v>0</v>
      </c>
      <c r="AA370"/>
      <c r="AB370"/>
      <c r="AD370">
        <v>20</v>
      </c>
      <c r="AE370" s="55">
        <f t="shared" si="19"/>
        <v>260.82685717702952</v>
      </c>
      <c r="AF370" s="57">
        <v>0</v>
      </c>
      <c r="AG370" s="55"/>
      <c r="AH370" s="55">
        <v>0</v>
      </c>
      <c r="AI370" s="52">
        <f t="shared" si="22"/>
        <v>7.667922014037655E-2</v>
      </c>
      <c r="AJ370" s="51"/>
      <c r="AK370" s="52"/>
      <c r="AL370" s="52"/>
      <c r="AM370" s="28">
        <v>1.75</v>
      </c>
      <c r="AN370" s="28">
        <v>2.5</v>
      </c>
      <c r="AO370" s="28">
        <v>0.75</v>
      </c>
      <c r="AP370" s="28">
        <v>0</v>
      </c>
      <c r="AQ370" s="28">
        <v>0.35</v>
      </c>
      <c r="AR370" s="28">
        <v>0.5</v>
      </c>
      <c r="AS370" s="28">
        <v>0.15</v>
      </c>
      <c r="AT370" s="28">
        <v>0</v>
      </c>
      <c r="AU370" s="25">
        <v>0.95</v>
      </c>
      <c r="AV370" s="25">
        <v>3.44</v>
      </c>
      <c r="AW370" s="25">
        <v>2.4900000000000002</v>
      </c>
      <c r="AX370" s="25">
        <v>2.7062499999999998</v>
      </c>
      <c r="AY370">
        <v>2.7062499999999998</v>
      </c>
      <c r="AZ370">
        <v>6.2396022968656872</v>
      </c>
      <c r="BD370">
        <v>3.8339610070188268E-2</v>
      </c>
      <c r="BE370" t="s">
        <v>459</v>
      </c>
      <c r="BH370">
        <v>7.667922014037655E-2</v>
      </c>
      <c r="BI370" t="s">
        <v>459</v>
      </c>
      <c r="BJ370">
        <v>0</v>
      </c>
    </row>
    <row r="371" spans="1:62" x14ac:dyDescent="0.3">
      <c r="A371" s="2" t="s">
        <v>299</v>
      </c>
      <c r="B371" s="17" t="s">
        <v>949</v>
      </c>
      <c r="C371" s="13"/>
      <c r="F371" s="2">
        <v>3.65</v>
      </c>
      <c r="G371" s="2" t="s">
        <v>295</v>
      </c>
      <c r="H371" s="9">
        <v>-1</v>
      </c>
      <c r="I371">
        <v>-1</v>
      </c>
      <c r="J371"/>
      <c r="K371" s="2">
        <v>1</v>
      </c>
      <c r="L371" s="25">
        <v>1</v>
      </c>
      <c r="M371">
        <v>0</v>
      </c>
      <c r="N371">
        <v>0</v>
      </c>
      <c r="O371" s="25">
        <v>3.86</v>
      </c>
      <c r="P371" s="25">
        <v>3.86</v>
      </c>
      <c r="Q371" s="2">
        <v>14.582394405034421</v>
      </c>
      <c r="T371" s="25">
        <v>3.86</v>
      </c>
      <c r="U371" s="25">
        <v>3.86</v>
      </c>
      <c r="V371" s="25">
        <v>14.85</v>
      </c>
      <c r="W371">
        <v>0</v>
      </c>
      <c r="X371"/>
      <c r="Y371"/>
      <c r="Z371">
        <v>0</v>
      </c>
      <c r="AA371"/>
      <c r="AB371"/>
      <c r="AD371">
        <v>20</v>
      </c>
      <c r="AE371" s="55">
        <f t="shared" si="19"/>
        <v>217.27184367725084</v>
      </c>
      <c r="AF371" s="57">
        <v>0</v>
      </c>
      <c r="AG371" s="55"/>
      <c r="AH371" s="55">
        <v>0</v>
      </c>
      <c r="AI371" s="52">
        <f t="shared" si="22"/>
        <v>9.2050583552414869E-2</v>
      </c>
      <c r="AJ371" s="51"/>
      <c r="AK371" s="52"/>
      <c r="AL371" s="52"/>
      <c r="AM371" s="28">
        <v>1.76875</v>
      </c>
      <c r="AN371" s="28">
        <v>2.5</v>
      </c>
      <c r="AO371" s="28">
        <v>0.73125000000000007</v>
      </c>
      <c r="AP371" s="28">
        <v>0.26250000000000001</v>
      </c>
      <c r="AQ371" s="28">
        <v>0.33610451306413303</v>
      </c>
      <c r="AR371" s="28">
        <v>0.47505938242280282</v>
      </c>
      <c r="AS371" s="28">
        <v>0.13895486935866991</v>
      </c>
      <c r="AT371" s="28">
        <v>4.9881235154394299E-2</v>
      </c>
      <c r="AU371" s="25">
        <v>1</v>
      </c>
      <c r="AV371" s="25">
        <v>3.44</v>
      </c>
      <c r="AW371" s="25">
        <v>2.44</v>
      </c>
      <c r="AX371" s="25">
        <v>2.7106249999999998</v>
      </c>
      <c r="AY371">
        <v>2.7106249999999998</v>
      </c>
      <c r="AZ371">
        <v>6.2658671793656886</v>
      </c>
      <c r="BD371">
        <v>4.6025291776207428E-2</v>
      </c>
      <c r="BE371" t="s">
        <v>459</v>
      </c>
      <c r="BH371">
        <v>9.2050583552414869E-2</v>
      </c>
      <c r="BI371" t="s">
        <v>459</v>
      </c>
      <c r="BJ371">
        <v>0</v>
      </c>
    </row>
    <row r="372" spans="1:62" x14ac:dyDescent="0.3">
      <c r="A372" s="2" t="s">
        <v>300</v>
      </c>
      <c r="B372" s="13" t="s">
        <v>809</v>
      </c>
      <c r="C372" s="13"/>
      <c r="F372" s="2">
        <v>3.26</v>
      </c>
      <c r="G372" s="2" t="s">
        <v>295</v>
      </c>
      <c r="H372" s="9">
        <v>-1</v>
      </c>
      <c r="I372">
        <v>-1</v>
      </c>
      <c r="J372"/>
      <c r="K372" s="2">
        <v>1</v>
      </c>
      <c r="L372" s="25">
        <v>1</v>
      </c>
      <c r="M372">
        <v>0</v>
      </c>
      <c r="N372">
        <v>0</v>
      </c>
      <c r="O372" s="25">
        <v>3.86</v>
      </c>
      <c r="P372" s="25">
        <v>3.86</v>
      </c>
      <c r="Q372" s="2">
        <v>14.909538142748223</v>
      </c>
      <c r="T372" s="25">
        <v>3.86</v>
      </c>
      <c r="U372" s="25">
        <v>3.86</v>
      </c>
      <c r="V372" s="25">
        <v>15.022</v>
      </c>
      <c r="W372">
        <v>0</v>
      </c>
      <c r="X372"/>
      <c r="Y372"/>
      <c r="Z372">
        <v>0</v>
      </c>
      <c r="AA372"/>
      <c r="AB372"/>
      <c r="AD372">
        <v>20</v>
      </c>
      <c r="AE372" s="55">
        <f t="shared" si="19"/>
        <v>222.14615451169144</v>
      </c>
      <c r="AF372" s="57">
        <v>0</v>
      </c>
      <c r="AG372" s="55"/>
      <c r="AH372" s="55">
        <v>0</v>
      </c>
      <c r="AI372" s="52">
        <f t="shared" si="22"/>
        <v>9.0030817971901517E-2</v>
      </c>
      <c r="AJ372" s="51"/>
      <c r="AK372" s="52"/>
      <c r="AL372" s="52"/>
      <c r="AM372" s="28">
        <v>1.8125</v>
      </c>
      <c r="AN372" s="28">
        <v>2.5</v>
      </c>
      <c r="AO372" s="28">
        <v>0.6875</v>
      </c>
      <c r="AP372" s="28">
        <v>0.875</v>
      </c>
      <c r="AQ372" s="28">
        <v>0.30851063829787229</v>
      </c>
      <c r="AR372" s="28">
        <v>0.42553191489361702</v>
      </c>
      <c r="AS372" s="28">
        <v>0.1170212765957447</v>
      </c>
      <c r="AT372" s="28">
        <v>0.14893617021276601</v>
      </c>
      <c r="AU372" s="25">
        <v>1</v>
      </c>
      <c r="AV372" s="25">
        <v>3.44</v>
      </c>
      <c r="AW372" s="25">
        <v>2.44</v>
      </c>
      <c r="AX372" s="25">
        <v>2.7062499999999998</v>
      </c>
      <c r="AY372">
        <v>2.7062499999999998</v>
      </c>
      <c r="AZ372">
        <v>6.2701641731156874</v>
      </c>
      <c r="BD372">
        <v>4.5015408985950758E-2</v>
      </c>
      <c r="BE372" t="s">
        <v>459</v>
      </c>
      <c r="BH372">
        <v>9.0030817971901517E-2</v>
      </c>
      <c r="BI372" t="s">
        <v>459</v>
      </c>
      <c r="BJ372">
        <v>0</v>
      </c>
    </row>
    <row r="373" spans="1:62" x14ac:dyDescent="0.3">
      <c r="A373" s="2" t="s">
        <v>301</v>
      </c>
      <c r="B373" s="17" t="s">
        <v>950</v>
      </c>
      <c r="C373" s="13"/>
      <c r="F373" s="2">
        <v>3.2</v>
      </c>
      <c r="G373" s="2" t="s">
        <v>295</v>
      </c>
      <c r="H373" s="9">
        <v>-1</v>
      </c>
      <c r="I373">
        <v>-1</v>
      </c>
      <c r="J373"/>
      <c r="K373" s="2">
        <v>1</v>
      </c>
      <c r="L373" s="25">
        <v>1</v>
      </c>
      <c r="M373">
        <v>0</v>
      </c>
      <c r="N373">
        <v>0</v>
      </c>
      <c r="O373" s="25">
        <v>3.86</v>
      </c>
      <c r="P373" s="25">
        <v>3.86</v>
      </c>
      <c r="Q373" s="2">
        <v>15.013371612679299</v>
      </c>
      <c r="T373" s="25">
        <v>3.86</v>
      </c>
      <c r="U373" s="25">
        <v>3.86</v>
      </c>
      <c r="V373" s="45">
        <v>15.380100000000001</v>
      </c>
      <c r="W373">
        <v>0</v>
      </c>
      <c r="X373"/>
      <c r="Y373"/>
      <c r="Z373">
        <v>0</v>
      </c>
      <c r="AA373"/>
      <c r="AB373"/>
      <c r="AD373">
        <v>20</v>
      </c>
      <c r="AE373" s="55">
        <f t="shared" si="19"/>
        <v>223.69323168027648</v>
      </c>
      <c r="AF373" s="57">
        <v>0</v>
      </c>
      <c r="AG373" s="55"/>
      <c r="AH373" s="55">
        <v>0</v>
      </c>
      <c r="AI373" s="52">
        <f t="shared" si="22"/>
        <v>8.9408158886925521E-2</v>
      </c>
      <c r="AJ373" s="51"/>
      <c r="AK373" s="52"/>
      <c r="AL373" s="52"/>
      <c r="AM373" s="28">
        <v>1.84375</v>
      </c>
      <c r="AN373" s="28">
        <v>2.5</v>
      </c>
      <c r="AO373" s="28">
        <v>0.65625</v>
      </c>
      <c r="AP373" s="28">
        <v>1.3125</v>
      </c>
      <c r="AQ373" s="28">
        <v>0.29207920792079212</v>
      </c>
      <c r="AR373" s="28">
        <v>0.39603960396039611</v>
      </c>
      <c r="AS373" s="28">
        <v>0.103960396039604</v>
      </c>
      <c r="AT373" s="28">
        <v>0.20792079207920791</v>
      </c>
      <c r="AU373" s="25">
        <v>1</v>
      </c>
      <c r="AV373" s="25">
        <v>3.44</v>
      </c>
      <c r="AW373" s="25">
        <v>2.44</v>
      </c>
      <c r="AX373" s="25">
        <v>2.703125</v>
      </c>
      <c r="AY373">
        <v>2.703125</v>
      </c>
      <c r="AZ373">
        <v>6.2732334543656876</v>
      </c>
      <c r="BD373">
        <v>4.470407944346276E-2</v>
      </c>
      <c r="BE373" t="s">
        <v>459</v>
      </c>
      <c r="BH373">
        <v>8.9408158886925521E-2</v>
      </c>
      <c r="BI373" t="s">
        <v>459</v>
      </c>
      <c r="BJ373">
        <v>0</v>
      </c>
    </row>
    <row r="374" spans="1:62" x14ac:dyDescent="0.3">
      <c r="A374" s="2" t="s">
        <v>4</v>
      </c>
      <c r="B374" s="13" t="s">
        <v>689</v>
      </c>
      <c r="C374" s="13"/>
      <c r="F374" s="2">
        <v>3.5</v>
      </c>
      <c r="G374" s="2" t="s">
        <v>302</v>
      </c>
      <c r="H374" s="9" t="s">
        <v>527</v>
      </c>
      <c r="I374" t="s">
        <v>609</v>
      </c>
      <c r="J374"/>
      <c r="L374" s="25">
        <v>4</v>
      </c>
      <c r="M374">
        <v>4</v>
      </c>
      <c r="N374">
        <v>0</v>
      </c>
      <c r="T374" s="25">
        <v>3.86</v>
      </c>
      <c r="U374" s="25">
        <v>3.86</v>
      </c>
      <c r="V374" s="25">
        <v>15.19056011</v>
      </c>
      <c r="W374">
        <v>3.8801999999999999</v>
      </c>
      <c r="X374">
        <v>29.507999999999999</v>
      </c>
      <c r="Y374">
        <v>7.7140000000000004</v>
      </c>
      <c r="Z374">
        <v>0</v>
      </c>
      <c r="AA374"/>
      <c r="AB374"/>
      <c r="AD374">
        <v>20</v>
      </c>
      <c r="AE374" s="55">
        <f t="shared" si="19"/>
        <v>0</v>
      </c>
      <c r="AF374" s="57">
        <v>924.74694800021894</v>
      </c>
      <c r="AG374" s="55">
        <v>883.22940750240002</v>
      </c>
      <c r="AH374" s="55">
        <v>0</v>
      </c>
      <c r="AI374" s="52"/>
      <c r="AJ374" s="51">
        <v>8.6510153045653584E-2</v>
      </c>
      <c r="AK374" s="52">
        <v>9.0576694254581439E-2</v>
      </c>
      <c r="AL374" s="52"/>
      <c r="AM374" s="28">
        <v>1.75</v>
      </c>
      <c r="AN374" s="28">
        <v>2.5</v>
      </c>
      <c r="AO374" s="28">
        <v>0.75</v>
      </c>
      <c r="AP374" s="28">
        <v>0</v>
      </c>
      <c r="AQ374" s="28">
        <v>0.35</v>
      </c>
      <c r="AR374" s="28">
        <v>0.5</v>
      </c>
      <c r="AS374" s="28">
        <v>0.15</v>
      </c>
      <c r="AT374" s="28">
        <v>0</v>
      </c>
      <c r="AU374" s="25">
        <v>0.82</v>
      </c>
      <c r="AV374" s="25">
        <v>3.44</v>
      </c>
      <c r="AW374" s="25">
        <v>2.62</v>
      </c>
      <c r="AX374" s="25">
        <v>2.6262500000000002</v>
      </c>
      <c r="AY374">
        <v>2.6262500000000002</v>
      </c>
      <c r="AZ374">
        <v>5.96680968125</v>
      </c>
      <c r="BA374" s="75">
        <v>0.50555206026575039</v>
      </c>
      <c r="BB374" s="75">
        <v>0</v>
      </c>
      <c r="BE374">
        <v>4.3255076522826792E-2</v>
      </c>
      <c r="BF374">
        <v>4.5288347127290719E-2</v>
      </c>
      <c r="BH374">
        <v>8.8543423650117511E-2</v>
      </c>
      <c r="BI374">
        <v>4.4271711825058763E-2</v>
      </c>
      <c r="BJ374">
        <v>0.2527760301328752</v>
      </c>
    </row>
    <row r="375" spans="1:62" x14ac:dyDescent="0.3">
      <c r="A375" s="2" t="s">
        <v>303</v>
      </c>
      <c r="B375" s="13" t="s">
        <v>828</v>
      </c>
      <c r="C375" s="13"/>
      <c r="F375" s="2">
        <v>3.4</v>
      </c>
      <c r="G375" s="2" t="s">
        <v>302</v>
      </c>
      <c r="H375" s="32" t="s">
        <v>527</v>
      </c>
      <c r="I375" s="1" t="s">
        <v>609</v>
      </c>
      <c r="J375"/>
      <c r="L375" s="25">
        <v>0</v>
      </c>
      <c r="M375">
        <v>4</v>
      </c>
      <c r="N375">
        <v>0</v>
      </c>
      <c r="O375" s="2">
        <v>-1</v>
      </c>
      <c r="T375" s="36">
        <v>3.86</v>
      </c>
      <c r="U375" s="36">
        <v>3.86</v>
      </c>
      <c r="V375" s="36">
        <v>15.19056011</v>
      </c>
      <c r="W375">
        <v>3.8801999999999999</v>
      </c>
      <c r="X375">
        <v>29.507999999999999</v>
      </c>
      <c r="Y375">
        <v>7.7140000000000004</v>
      </c>
      <c r="Z375">
        <v>0</v>
      </c>
      <c r="AA375"/>
      <c r="AB375"/>
      <c r="AD375">
        <v>20</v>
      </c>
      <c r="AE375" s="55">
        <f t="shared" si="19"/>
        <v>0</v>
      </c>
      <c r="AF375" s="57">
        <v>0</v>
      </c>
      <c r="AG375" s="55">
        <v>883.22940750240002</v>
      </c>
      <c r="AH375" s="55">
        <v>0</v>
      </c>
      <c r="AI375" s="52"/>
      <c r="AJ375" s="51"/>
      <c r="AK375" s="52">
        <v>9.0576694254581439E-2</v>
      </c>
      <c r="AL375" s="52"/>
      <c r="AM375" s="28">
        <v>1.75</v>
      </c>
      <c r="AN375" s="28">
        <v>2.5</v>
      </c>
      <c r="AO375" s="28">
        <v>0.75</v>
      </c>
      <c r="AP375" s="28">
        <v>0</v>
      </c>
      <c r="AQ375" s="28">
        <v>0.35</v>
      </c>
      <c r="AR375" s="28">
        <v>0.5</v>
      </c>
      <c r="AS375" s="28">
        <v>0.15</v>
      </c>
      <c r="AT375" s="28">
        <v>0</v>
      </c>
      <c r="AU375" s="25">
        <v>0.82</v>
      </c>
      <c r="AV375" s="25">
        <v>3.44</v>
      </c>
      <c r="AW375" s="25">
        <v>2.62</v>
      </c>
      <c r="AX375" s="25">
        <v>2.6231249999999999</v>
      </c>
      <c r="AY375">
        <v>2.6231249999999999</v>
      </c>
      <c r="AZ375">
        <v>5.9545980243750014</v>
      </c>
      <c r="BA375" s="75">
        <v>0.50555206026575039</v>
      </c>
      <c r="BB375" s="75">
        <v>0</v>
      </c>
      <c r="BF375">
        <v>4.5288347127290719E-2</v>
      </c>
      <c r="BH375">
        <v>9.0576694254581439E-2</v>
      </c>
      <c r="BI375">
        <v>4.5288347127290719E-2</v>
      </c>
      <c r="BJ375">
        <v>0.2527760301328752</v>
      </c>
    </row>
    <row r="376" spans="1:62" x14ac:dyDescent="0.3">
      <c r="A376" s="2" t="s">
        <v>7</v>
      </c>
      <c r="B376" s="13" t="s">
        <v>692</v>
      </c>
      <c r="C376" s="13"/>
      <c r="F376" s="2">
        <v>3.3</v>
      </c>
      <c r="G376" s="2" t="s">
        <v>302</v>
      </c>
      <c r="H376" s="32" t="s">
        <v>527</v>
      </c>
      <c r="I376" s="1" t="s">
        <v>609</v>
      </c>
      <c r="J376"/>
      <c r="L376" s="25">
        <v>0</v>
      </c>
      <c r="M376">
        <v>4</v>
      </c>
      <c r="N376">
        <v>0</v>
      </c>
      <c r="O376" s="2">
        <v>-1</v>
      </c>
      <c r="T376" s="36">
        <v>3.86</v>
      </c>
      <c r="U376" s="36">
        <v>3.86</v>
      </c>
      <c r="V376" s="36">
        <v>15.19056011</v>
      </c>
      <c r="W376">
        <v>3.8801999999999999</v>
      </c>
      <c r="X376">
        <v>29.507999999999999</v>
      </c>
      <c r="Y376">
        <v>7.7140000000000004</v>
      </c>
      <c r="Z376">
        <v>0</v>
      </c>
      <c r="AA376"/>
      <c r="AB376"/>
      <c r="AD376">
        <v>20</v>
      </c>
      <c r="AE376" s="55">
        <f t="shared" si="19"/>
        <v>0</v>
      </c>
      <c r="AF376" s="57">
        <v>0</v>
      </c>
      <c r="AG376" s="55">
        <v>883.22940750240002</v>
      </c>
      <c r="AH376" s="55">
        <v>0</v>
      </c>
      <c r="AI376" s="52"/>
      <c r="AJ376" s="51"/>
      <c r="AK376" s="52">
        <v>9.0576694254581439E-2</v>
      </c>
      <c r="AL376" s="52"/>
      <c r="AM376" s="28">
        <v>1.75</v>
      </c>
      <c r="AN376" s="28">
        <v>2.5</v>
      </c>
      <c r="AO376" s="28">
        <v>0.75</v>
      </c>
      <c r="AP376" s="28">
        <v>0</v>
      </c>
      <c r="AQ376" s="28">
        <v>0.35</v>
      </c>
      <c r="AR376" s="28">
        <v>0.5</v>
      </c>
      <c r="AS376" s="28">
        <v>0.15</v>
      </c>
      <c r="AT376" s="28">
        <v>0</v>
      </c>
      <c r="AU376" s="25">
        <v>0.82</v>
      </c>
      <c r="AV376" s="25">
        <v>3.44</v>
      </c>
      <c r="AW376" s="25">
        <v>2.62</v>
      </c>
      <c r="AX376" s="25">
        <v>2.62</v>
      </c>
      <c r="AY376">
        <v>2.62</v>
      </c>
      <c r="AZ376">
        <v>5.9423863675000002</v>
      </c>
      <c r="BA376" s="75">
        <v>0.50555206026575039</v>
      </c>
      <c r="BB376" s="75">
        <v>0</v>
      </c>
      <c r="BF376">
        <v>4.5288347127290719E-2</v>
      </c>
      <c r="BH376">
        <v>9.0576694254581439E-2</v>
      </c>
      <c r="BI376">
        <v>4.5288347127290719E-2</v>
      </c>
      <c r="BJ376">
        <v>0.2527760301328752</v>
      </c>
    </row>
    <row r="377" spans="1:62" x14ac:dyDescent="0.3">
      <c r="A377" s="2" t="s">
        <v>63</v>
      </c>
      <c r="B377" s="13" t="s">
        <v>773</v>
      </c>
      <c r="C377" s="13"/>
      <c r="F377" s="2">
        <v>3.5</v>
      </c>
      <c r="G377" s="2" t="s">
        <v>305</v>
      </c>
      <c r="H377" s="9">
        <v>-1</v>
      </c>
      <c r="I377">
        <v>-1</v>
      </c>
      <c r="J377" t="s">
        <v>1179</v>
      </c>
      <c r="K377" s="2">
        <v>1</v>
      </c>
      <c r="L377" s="25">
        <v>0</v>
      </c>
      <c r="M377">
        <v>0</v>
      </c>
      <c r="N377">
        <v>1</v>
      </c>
      <c r="O377" s="2">
        <v>-1</v>
      </c>
      <c r="T377" s="25">
        <v>3.84</v>
      </c>
      <c r="U377" s="25">
        <v>3.84</v>
      </c>
      <c r="V377" s="25">
        <v>13.97</v>
      </c>
      <c r="W377">
        <v>3.8504999999999998</v>
      </c>
      <c r="X377">
        <v>3.8504999999999998</v>
      </c>
      <c r="Y377">
        <v>14.379</v>
      </c>
      <c r="Z377"/>
      <c r="AA377"/>
      <c r="AB377"/>
      <c r="AD377">
        <v>20</v>
      </c>
      <c r="AE377" s="55">
        <f t="shared" si="19"/>
        <v>0</v>
      </c>
      <c r="AF377" s="57">
        <v>0</v>
      </c>
      <c r="AG377" s="55">
        <v>0</v>
      </c>
      <c r="AH377" s="55">
        <v>213.2</v>
      </c>
      <c r="AI377" s="52"/>
      <c r="AJ377" s="51"/>
      <c r="AK377" s="52"/>
      <c r="AL377" s="67">
        <f>N377*AD377/AH377</f>
        <v>9.3808630393996256E-2</v>
      </c>
      <c r="AM377" s="28">
        <v>1.75</v>
      </c>
      <c r="AN377" s="28">
        <v>2.5</v>
      </c>
      <c r="AO377" s="28">
        <v>0.75</v>
      </c>
      <c r="AP377" s="28">
        <v>0</v>
      </c>
      <c r="AQ377" s="28">
        <v>0.35</v>
      </c>
      <c r="AR377" s="28">
        <v>0.5</v>
      </c>
      <c r="AS377" s="28">
        <v>0.15</v>
      </c>
      <c r="AT377" s="28">
        <v>0</v>
      </c>
      <c r="AU377" s="25">
        <v>1</v>
      </c>
      <c r="AV377" s="25">
        <v>3.44</v>
      </c>
      <c r="AW377" s="25">
        <v>2.44</v>
      </c>
      <c r="AX377" s="25">
        <v>2.7124999999999999</v>
      </c>
      <c r="AY377">
        <v>2.7124999999999999</v>
      </c>
      <c r="AZ377">
        <v>6.264025610615688</v>
      </c>
      <c r="BC377" s="75">
        <v>0</v>
      </c>
      <c r="BD377" t="s">
        <v>459</v>
      </c>
      <c r="BG377">
        <v>4.6904315196998128E-2</v>
      </c>
      <c r="BH377">
        <v>9.3808630393996256E-2</v>
      </c>
      <c r="BI377" t="s">
        <v>459</v>
      </c>
      <c r="BJ377">
        <v>0</v>
      </c>
    </row>
    <row r="378" spans="1:62" x14ac:dyDescent="0.3">
      <c r="A378" s="2" t="s">
        <v>304</v>
      </c>
      <c r="B378" s="34" t="s">
        <v>829</v>
      </c>
      <c r="C378" s="34"/>
      <c r="F378" s="2">
        <v>3.33</v>
      </c>
      <c r="G378" s="2" t="s">
        <v>305</v>
      </c>
      <c r="H378" s="35">
        <v>-1</v>
      </c>
      <c r="I378" s="2">
        <v>-1</v>
      </c>
      <c r="K378" s="2">
        <v>4</v>
      </c>
      <c r="L378" s="29">
        <v>0</v>
      </c>
      <c r="M378">
        <v>0</v>
      </c>
      <c r="N378">
        <v>0</v>
      </c>
      <c r="O378" s="2">
        <v>6.47</v>
      </c>
      <c r="P378" s="2">
        <v>6.47</v>
      </c>
      <c r="Q378" s="2">
        <v>30.69</v>
      </c>
      <c r="T378" s="29">
        <v>0</v>
      </c>
      <c r="U378" s="29"/>
      <c r="V378" s="29"/>
      <c r="W378">
        <v>0</v>
      </c>
      <c r="X378"/>
      <c r="Y378"/>
      <c r="Z378">
        <v>0</v>
      </c>
      <c r="AA378"/>
      <c r="AB378"/>
      <c r="AD378" s="2">
        <v>34</v>
      </c>
      <c r="AE378" s="55">
        <f t="shared" si="19"/>
        <v>1284.7110209999998</v>
      </c>
      <c r="AF378" s="57">
        <v>0</v>
      </c>
      <c r="AG378" s="55">
        <v>0</v>
      </c>
      <c r="AH378" s="55">
        <v>0</v>
      </c>
      <c r="AI378" s="52">
        <f t="shared" ref="AI378:AI380" si="23">K378*AD378/AE378</f>
        <v>0.1058603824338174</v>
      </c>
      <c r="AJ378" s="51"/>
      <c r="AK378" s="52"/>
      <c r="AL378" s="52"/>
      <c r="AM378" s="2">
        <v>1.62962962962963</v>
      </c>
      <c r="AN378" s="2">
        <v>2.518518518518519</v>
      </c>
      <c r="AO378" s="2">
        <v>0.88888888888888884</v>
      </c>
      <c r="AP378" s="2">
        <v>0</v>
      </c>
      <c r="AQ378" s="2">
        <v>0.32352941176470579</v>
      </c>
      <c r="AR378" s="2">
        <v>0.5</v>
      </c>
      <c r="AS378" s="2">
        <v>0.1764705882352941</v>
      </c>
      <c r="AT378" s="2">
        <v>0</v>
      </c>
      <c r="AU378" s="29">
        <v>1.6</v>
      </c>
      <c r="AV378" s="29">
        <v>3.44</v>
      </c>
      <c r="AW378" s="29">
        <v>1.84</v>
      </c>
      <c r="AX378" s="29">
        <v>2.8474074074074069</v>
      </c>
      <c r="AY378" s="2">
        <v>2.8474074074074069</v>
      </c>
      <c r="AZ378" s="2">
        <v>6.6632481018297778</v>
      </c>
      <c r="BD378">
        <v>5.2930191216908701E-2</v>
      </c>
      <c r="BH378">
        <v>0.1058603824338174</v>
      </c>
      <c r="BI378">
        <v>5.2930191216908701E-2</v>
      </c>
      <c r="BJ378">
        <v>0</v>
      </c>
    </row>
    <row r="379" spans="1:62" x14ac:dyDescent="0.3">
      <c r="A379" s="2" t="s">
        <v>299</v>
      </c>
      <c r="B379" s="33" t="s">
        <v>949</v>
      </c>
      <c r="C379" s="34"/>
      <c r="F379" s="2">
        <v>3.65</v>
      </c>
      <c r="G379" s="2" t="s">
        <v>306</v>
      </c>
      <c r="H379" s="35">
        <v>-1</v>
      </c>
      <c r="I379" s="2">
        <v>-1</v>
      </c>
      <c r="K379" s="2">
        <v>1</v>
      </c>
      <c r="L379" s="29">
        <v>0</v>
      </c>
      <c r="M379">
        <v>0</v>
      </c>
      <c r="N379">
        <v>0</v>
      </c>
      <c r="O379" s="2">
        <v>3.8531</v>
      </c>
      <c r="P379" s="2">
        <v>3.8531</v>
      </c>
      <c r="Q379" s="2">
        <v>16.2151</v>
      </c>
      <c r="T379" s="29">
        <v>0</v>
      </c>
      <c r="U379" s="29"/>
      <c r="V379" s="29"/>
      <c r="W379">
        <v>0</v>
      </c>
      <c r="X379"/>
      <c r="Y379"/>
      <c r="Z379">
        <v>0</v>
      </c>
      <c r="AA379"/>
      <c r="AB379"/>
      <c r="AD379" s="2">
        <v>20</v>
      </c>
      <c r="AE379" s="55">
        <f t="shared" si="19"/>
        <v>240.73553001411099</v>
      </c>
      <c r="AF379" s="57">
        <v>0</v>
      </c>
      <c r="AG379" s="55">
        <v>0</v>
      </c>
      <c r="AH379" s="55">
        <v>0</v>
      </c>
      <c r="AI379" s="52">
        <f t="shared" si="23"/>
        <v>8.3078721279022161E-2</v>
      </c>
      <c r="AJ379" s="51"/>
      <c r="AK379" s="52"/>
      <c r="AL379" s="52"/>
      <c r="AM379" s="2">
        <v>1.76875</v>
      </c>
      <c r="AN379" s="2">
        <v>2.5</v>
      </c>
      <c r="AO379" s="2">
        <v>0.73125000000000007</v>
      </c>
      <c r="AP379" s="2">
        <v>0.26250000000000001</v>
      </c>
      <c r="AQ379" s="2">
        <v>0.33610451306413303</v>
      </c>
      <c r="AR379" s="2">
        <v>0.47505938242280282</v>
      </c>
      <c r="AS379" s="2">
        <v>0.13895486935866991</v>
      </c>
      <c r="AT379" s="2">
        <v>4.9881235154394299E-2</v>
      </c>
      <c r="AU379" s="29">
        <v>1</v>
      </c>
      <c r="AV379" s="29">
        <v>3.44</v>
      </c>
      <c r="AW379" s="29">
        <v>2.44</v>
      </c>
      <c r="AX379" s="29">
        <v>2.7106249999999998</v>
      </c>
      <c r="AY379" s="2">
        <v>2.7106249999999998</v>
      </c>
      <c r="AZ379" s="2">
        <v>6.2658671793656886</v>
      </c>
      <c r="BD379">
        <v>4.153936063951108E-2</v>
      </c>
      <c r="BH379">
        <v>8.3078721279022161E-2</v>
      </c>
      <c r="BI379">
        <v>4.153936063951108E-2</v>
      </c>
      <c r="BJ379">
        <v>0</v>
      </c>
    </row>
    <row r="380" spans="1:62" x14ac:dyDescent="0.3">
      <c r="A380" s="2" t="s">
        <v>301</v>
      </c>
      <c r="B380" s="33" t="s">
        <v>950</v>
      </c>
      <c r="C380" s="34"/>
      <c r="F380" s="2">
        <v>3.8</v>
      </c>
      <c r="G380" s="2" t="s">
        <v>306</v>
      </c>
      <c r="H380" s="35">
        <v>-1</v>
      </c>
      <c r="I380" s="2">
        <v>-1</v>
      </c>
      <c r="K380" s="2">
        <v>1</v>
      </c>
      <c r="L380" s="29">
        <v>0</v>
      </c>
      <c r="M380">
        <v>0</v>
      </c>
      <c r="N380">
        <v>0</v>
      </c>
      <c r="O380" s="2">
        <v>3.8531</v>
      </c>
      <c r="P380" s="2">
        <v>3.8531</v>
      </c>
      <c r="Q380" s="2">
        <v>16.2151</v>
      </c>
      <c r="T380" s="29">
        <v>0</v>
      </c>
      <c r="U380" s="29"/>
      <c r="V380" s="29"/>
      <c r="W380">
        <v>0</v>
      </c>
      <c r="X380"/>
      <c r="Y380"/>
      <c r="Z380">
        <v>0</v>
      </c>
      <c r="AA380"/>
      <c r="AB380"/>
      <c r="AD380" s="2">
        <v>20</v>
      </c>
      <c r="AE380" s="55">
        <f t="shared" si="19"/>
        <v>240.73553001411099</v>
      </c>
      <c r="AF380" s="57">
        <v>0</v>
      </c>
      <c r="AG380" s="55">
        <v>0</v>
      </c>
      <c r="AH380" s="55">
        <v>0</v>
      </c>
      <c r="AI380" s="52">
        <f t="shared" si="23"/>
        <v>8.3078721279022161E-2</v>
      </c>
      <c r="AJ380" s="51"/>
      <c r="AK380" s="52"/>
      <c r="AL380" s="52"/>
      <c r="AM380" s="2">
        <v>1.84375</v>
      </c>
      <c r="AN380" s="2">
        <v>2.5</v>
      </c>
      <c r="AO380" s="2">
        <v>0.65625</v>
      </c>
      <c r="AP380" s="2">
        <v>1.3125</v>
      </c>
      <c r="AQ380" s="2">
        <v>0.29207920792079212</v>
      </c>
      <c r="AR380" s="2">
        <v>0.39603960396039611</v>
      </c>
      <c r="AS380" s="2">
        <v>0.103960396039604</v>
      </c>
      <c r="AT380" s="2">
        <v>0.20792079207920791</v>
      </c>
      <c r="AU380" s="29">
        <v>1</v>
      </c>
      <c r="AV380" s="29">
        <v>3.44</v>
      </c>
      <c r="AW380" s="29">
        <v>2.44</v>
      </c>
      <c r="AX380" s="29">
        <v>2.703125</v>
      </c>
      <c r="AY380" s="2">
        <v>2.703125</v>
      </c>
      <c r="AZ380" s="2">
        <v>6.2732334543656876</v>
      </c>
      <c r="BD380">
        <v>4.153936063951108E-2</v>
      </c>
      <c r="BH380">
        <v>8.3078721279022161E-2</v>
      </c>
      <c r="BI380">
        <v>4.153936063951108E-2</v>
      </c>
      <c r="BJ380">
        <v>0</v>
      </c>
    </row>
    <row r="381" spans="1:62" x14ac:dyDescent="0.3">
      <c r="A381" s="2" t="s">
        <v>46</v>
      </c>
      <c r="B381" s="34" t="s">
        <v>722</v>
      </c>
      <c r="C381" s="34"/>
      <c r="F381" s="2">
        <v>3.34</v>
      </c>
      <c r="G381" s="2" t="s">
        <v>307</v>
      </c>
      <c r="H381" s="35" t="s">
        <v>551</v>
      </c>
      <c r="I381" s="2" t="s">
        <v>629</v>
      </c>
      <c r="L381" s="29">
        <v>2</v>
      </c>
      <c r="M381">
        <v>4</v>
      </c>
      <c r="N381">
        <v>0</v>
      </c>
      <c r="T381" s="29">
        <v>7.41544296</v>
      </c>
      <c r="U381" s="29">
        <v>7.4154429599999991</v>
      </c>
      <c r="V381" s="29">
        <v>7.41544296</v>
      </c>
      <c r="W381">
        <v>7.8</v>
      </c>
      <c r="X381">
        <v>13.010999999999999</v>
      </c>
      <c r="Y381">
        <v>5.5460000000000003</v>
      </c>
      <c r="Z381">
        <v>0</v>
      </c>
      <c r="AA381"/>
      <c r="AB381"/>
      <c r="AD381" s="2" t="s">
        <v>1241</v>
      </c>
      <c r="AE381" s="55">
        <f t="shared" si="19"/>
        <v>0</v>
      </c>
      <c r="AF381" s="57">
        <v>288.33429290182369</v>
      </c>
      <c r="AG381" s="55">
        <v>556.51188553357167</v>
      </c>
      <c r="AH381" s="55">
        <v>0</v>
      </c>
      <c r="AI381" s="52"/>
      <c r="AJ381" s="51">
        <v>9.7109503410799117E-2</v>
      </c>
      <c r="AK381" s="52">
        <v>0.10062678166578309</v>
      </c>
      <c r="AL381" s="52"/>
      <c r="AM381" s="2">
        <v>2</v>
      </c>
      <c r="AN381" s="2">
        <v>2.545454545454545</v>
      </c>
      <c r="AO381" s="2">
        <v>0.54545454545454541</v>
      </c>
      <c r="AP381" s="2">
        <v>0</v>
      </c>
      <c r="AQ381" s="2">
        <v>0.39285714285714279</v>
      </c>
      <c r="AR381" s="2">
        <v>0.5</v>
      </c>
      <c r="AS381" s="2">
        <v>0.1071428571428571</v>
      </c>
      <c r="AT381" s="2">
        <v>0</v>
      </c>
      <c r="AU381" s="29">
        <v>1.1000000000000001</v>
      </c>
      <c r="AV381" s="29">
        <v>3.44</v>
      </c>
      <c r="AW381" s="29">
        <v>2.34</v>
      </c>
      <c r="AX381" s="29">
        <v>2.669090909090909</v>
      </c>
      <c r="AY381" s="2">
        <v>2.669090909090909</v>
      </c>
      <c r="AZ381" s="2">
        <v>5.9831974772727277</v>
      </c>
      <c r="BA381" s="75">
        <v>0.52442413903612473</v>
      </c>
      <c r="BB381" s="75">
        <v>0.54341863036636606</v>
      </c>
      <c r="BE381">
        <v>4.8554751705399558E-2</v>
      </c>
      <c r="BF381">
        <v>5.0313390832891547E-2</v>
      </c>
      <c r="BH381">
        <v>9.8868142538291098E-2</v>
      </c>
      <c r="BI381">
        <v>4.9434071269145549E-2</v>
      </c>
      <c r="BJ381">
        <v>0.53392138470124539</v>
      </c>
    </row>
    <row r="382" spans="1:62" x14ac:dyDescent="0.3">
      <c r="A382" s="2" t="s">
        <v>891</v>
      </c>
      <c r="B382" s="34" t="s">
        <v>722</v>
      </c>
      <c r="C382" s="34"/>
      <c r="D382" s="2" t="s">
        <v>676</v>
      </c>
      <c r="E382" s="2">
        <v>0.22</v>
      </c>
      <c r="F382" s="2">
        <v>3.17</v>
      </c>
      <c r="G382" s="2" t="s">
        <v>307</v>
      </c>
      <c r="H382" s="35" t="s">
        <v>551</v>
      </c>
      <c r="I382" s="2" t="s">
        <v>629</v>
      </c>
      <c r="L382" s="29">
        <v>2</v>
      </c>
      <c r="M382">
        <v>4</v>
      </c>
      <c r="N382">
        <v>0</v>
      </c>
      <c r="T382" s="29">
        <v>7.41544296</v>
      </c>
      <c r="U382" s="29">
        <v>7.4154429599999991</v>
      </c>
      <c r="V382" s="29">
        <v>7.41544296</v>
      </c>
      <c r="W382">
        <v>7.8</v>
      </c>
      <c r="X382">
        <v>13.010999999999999</v>
      </c>
      <c r="Y382">
        <v>5.5460000000000003</v>
      </c>
      <c r="Z382">
        <v>0</v>
      </c>
      <c r="AA382"/>
      <c r="AB382"/>
      <c r="AD382" s="2">
        <v>14</v>
      </c>
      <c r="AE382" s="55">
        <f t="shared" si="19"/>
        <v>0</v>
      </c>
      <c r="AF382" s="57">
        <v>288.33429290182369</v>
      </c>
      <c r="AG382" s="55">
        <v>556.51188553357167</v>
      </c>
      <c r="AH382" s="55">
        <v>0</v>
      </c>
      <c r="AI382" s="52"/>
      <c r="AJ382" s="51">
        <v>9.7109503410799117E-2</v>
      </c>
      <c r="AK382" s="52">
        <v>0.10062678166578309</v>
      </c>
      <c r="AL382" s="52"/>
      <c r="AM382" s="2">
        <v>2</v>
      </c>
      <c r="AN382" s="2">
        <v>2.545454545454545</v>
      </c>
      <c r="AO382" s="2">
        <v>0.54545454545454541</v>
      </c>
      <c r="AP382" s="2">
        <v>0</v>
      </c>
      <c r="AQ382" s="2">
        <v>0.39285714285714279</v>
      </c>
      <c r="AR382" s="2">
        <v>0.5</v>
      </c>
      <c r="AS382" s="2">
        <v>0.1071428571428571</v>
      </c>
      <c r="AT382" s="2">
        <v>0</v>
      </c>
      <c r="AU382" s="29">
        <v>1.1000000000000001</v>
      </c>
      <c r="AV382" s="29">
        <v>3.44</v>
      </c>
      <c r="AW382" s="29">
        <v>2.34</v>
      </c>
      <c r="AX382" s="29">
        <v>2.669090909090909</v>
      </c>
      <c r="AY382" s="2">
        <v>2.669090909090909</v>
      </c>
      <c r="AZ382" s="2">
        <v>5.9831974772727277</v>
      </c>
      <c r="BA382" s="75">
        <v>0.52442413903612473</v>
      </c>
      <c r="BB382" s="75">
        <v>0.54341863036636606</v>
      </c>
      <c r="BE382">
        <v>4.8554751705399558E-2</v>
      </c>
      <c r="BF382">
        <v>5.0313390832891547E-2</v>
      </c>
      <c r="BH382">
        <v>9.8868142538291098E-2</v>
      </c>
      <c r="BI382">
        <v>4.9434071269145549E-2</v>
      </c>
      <c r="BJ382">
        <v>0.53392138470124539</v>
      </c>
    </row>
    <row r="383" spans="1:62" x14ac:dyDescent="0.3">
      <c r="A383" s="2" t="s">
        <v>308</v>
      </c>
      <c r="B383" s="34" t="s">
        <v>830</v>
      </c>
      <c r="C383" s="34"/>
      <c r="F383" s="2">
        <v>3.44</v>
      </c>
      <c r="G383" s="2" t="s">
        <v>309</v>
      </c>
      <c r="H383" s="35" t="s">
        <v>601</v>
      </c>
      <c r="I383" s="2" t="s">
        <v>672</v>
      </c>
      <c r="L383" s="29">
        <v>1</v>
      </c>
      <c r="M383">
        <v>2</v>
      </c>
      <c r="N383">
        <v>0</v>
      </c>
      <c r="T383" s="29">
        <v>3.9408639999999999</v>
      </c>
      <c r="U383" s="29">
        <v>3.9455239999999989</v>
      </c>
      <c r="V383" s="29">
        <v>15.25730117</v>
      </c>
      <c r="W383">
        <v>3.8656999999999999</v>
      </c>
      <c r="X383">
        <v>29.777000000000001</v>
      </c>
      <c r="Y383">
        <v>3.8519999999999999</v>
      </c>
      <c r="Z383">
        <v>0</v>
      </c>
      <c r="AA383"/>
      <c r="AB383"/>
      <c r="AD383" s="2">
        <v>20</v>
      </c>
      <c r="AE383" s="55">
        <f t="shared" si="19"/>
        <v>0</v>
      </c>
      <c r="AF383" s="57">
        <v>235.24089263777751</v>
      </c>
      <c r="AG383" s="55">
        <v>443.39967116280002</v>
      </c>
      <c r="AH383" s="55">
        <v>0</v>
      </c>
      <c r="AI383" s="52"/>
      <c r="AJ383" s="51">
        <v>8.5019231884976218E-2</v>
      </c>
      <c r="AK383" s="52">
        <v>9.0212065099420147E-2</v>
      </c>
      <c r="AL383" s="52"/>
      <c r="AM383" s="2">
        <v>1.9375</v>
      </c>
      <c r="AN383" s="2">
        <v>2.5</v>
      </c>
      <c r="AO383" s="2">
        <v>0.5625</v>
      </c>
      <c r="AP383" s="2">
        <v>2.625</v>
      </c>
      <c r="AQ383" s="2">
        <v>0.25409836065573771</v>
      </c>
      <c r="AR383" s="2">
        <v>0.32786885245901642</v>
      </c>
      <c r="AS383" s="2">
        <v>7.3770491803278687E-2</v>
      </c>
      <c r="AT383" s="2">
        <v>0.34426229508196721</v>
      </c>
      <c r="AU383" s="29">
        <v>0.82</v>
      </c>
      <c r="AV383" s="29">
        <v>3.44</v>
      </c>
      <c r="AW383" s="29">
        <v>2.62</v>
      </c>
      <c r="AX383" s="29">
        <v>2.6074999999999999</v>
      </c>
      <c r="AY383" s="2">
        <v>2.6074999999999999</v>
      </c>
      <c r="AZ383" s="2">
        <v>5.9852253687500001</v>
      </c>
      <c r="BA383" s="75">
        <v>0.49683934576995548</v>
      </c>
      <c r="BB383" s="75">
        <v>0</v>
      </c>
      <c r="BE383">
        <v>4.2509615942488109E-2</v>
      </c>
      <c r="BF383">
        <v>4.5106032549710073E-2</v>
      </c>
      <c r="BH383">
        <v>8.7615648492198189E-2</v>
      </c>
      <c r="BI383">
        <v>4.3807824246099088E-2</v>
      </c>
      <c r="BJ383">
        <v>0.24841967288497771</v>
      </c>
    </row>
    <row r="384" spans="1:62" x14ac:dyDescent="0.3">
      <c r="A384" s="2" t="s">
        <v>63</v>
      </c>
      <c r="B384" s="34" t="s">
        <v>773</v>
      </c>
      <c r="C384" s="34"/>
      <c r="F384" s="2">
        <v>3.4</v>
      </c>
      <c r="G384" s="2" t="s">
        <v>310</v>
      </c>
      <c r="H384" s="35">
        <v>-1</v>
      </c>
      <c r="I384" s="2">
        <v>-1</v>
      </c>
      <c r="K384" s="2">
        <v>1</v>
      </c>
      <c r="L384" s="29">
        <v>0</v>
      </c>
      <c r="M384">
        <v>0</v>
      </c>
      <c r="N384">
        <v>0</v>
      </c>
      <c r="O384" s="2">
        <v>3.8531</v>
      </c>
      <c r="P384" s="2">
        <v>3.8531</v>
      </c>
      <c r="Q384" s="2">
        <v>16.2151</v>
      </c>
      <c r="T384" s="29">
        <v>0</v>
      </c>
      <c r="U384" s="29"/>
      <c r="V384" s="29"/>
      <c r="W384">
        <v>0</v>
      </c>
      <c r="X384"/>
      <c r="Y384"/>
      <c r="Z384">
        <v>0</v>
      </c>
      <c r="AA384"/>
      <c r="AB384"/>
      <c r="AD384" s="2">
        <v>20</v>
      </c>
      <c r="AE384" s="55">
        <f t="shared" si="19"/>
        <v>240.73553001411099</v>
      </c>
      <c r="AF384" s="57">
        <v>0</v>
      </c>
      <c r="AG384" s="55">
        <v>0</v>
      </c>
      <c r="AH384" s="55">
        <v>0</v>
      </c>
      <c r="AI384" s="52">
        <f t="shared" ref="AI384:AI386" si="24">K384*AD384/AE384</f>
        <v>8.3078721279022161E-2</v>
      </c>
      <c r="AJ384" s="51"/>
      <c r="AK384" s="52"/>
      <c r="AL384" s="52"/>
      <c r="AM384" s="2">
        <v>1.75</v>
      </c>
      <c r="AN384" s="2">
        <v>2.5</v>
      </c>
      <c r="AO384" s="2">
        <v>0.75</v>
      </c>
      <c r="AP384" s="2">
        <v>0</v>
      </c>
      <c r="AQ384" s="2">
        <v>0.35</v>
      </c>
      <c r="AR384" s="2">
        <v>0.5</v>
      </c>
      <c r="AS384" s="2">
        <v>0.15</v>
      </c>
      <c r="AT384" s="2">
        <v>0</v>
      </c>
      <c r="AU384" s="29">
        <v>1</v>
      </c>
      <c r="AV384" s="29">
        <v>3.44</v>
      </c>
      <c r="AW384" s="29">
        <v>2.44</v>
      </c>
      <c r="AX384" s="29">
        <v>2.7124999999999999</v>
      </c>
      <c r="AY384" s="2">
        <v>2.7124999999999999</v>
      </c>
      <c r="AZ384" s="2">
        <v>6.264025610615688</v>
      </c>
      <c r="BD384">
        <v>4.153936063951108E-2</v>
      </c>
      <c r="BH384">
        <v>8.3078721279022161E-2</v>
      </c>
      <c r="BI384">
        <v>4.153936063951108E-2</v>
      </c>
      <c r="BJ384">
        <v>0</v>
      </c>
    </row>
    <row r="385" spans="1:62" x14ac:dyDescent="0.3">
      <c r="A385" s="2" t="s">
        <v>63</v>
      </c>
      <c r="B385" s="34" t="s">
        <v>773</v>
      </c>
      <c r="C385" s="34"/>
      <c r="D385" s="2" t="s">
        <v>246</v>
      </c>
      <c r="E385" s="2">
        <v>0.7</v>
      </c>
      <c r="F385" s="2">
        <v>2.15</v>
      </c>
      <c r="G385" s="2" t="s">
        <v>310</v>
      </c>
      <c r="H385" s="35">
        <v>-1</v>
      </c>
      <c r="I385" s="2">
        <v>-1</v>
      </c>
      <c r="K385" s="2">
        <v>1</v>
      </c>
      <c r="L385" s="29">
        <v>0</v>
      </c>
      <c r="M385">
        <v>0</v>
      </c>
      <c r="N385">
        <v>0</v>
      </c>
      <c r="O385" s="2">
        <v>3.8531</v>
      </c>
      <c r="P385" s="2">
        <v>3.8531</v>
      </c>
      <c r="Q385" s="2">
        <v>16.2151</v>
      </c>
      <c r="T385" s="29">
        <v>0</v>
      </c>
      <c r="U385" s="29"/>
      <c r="V385" s="29"/>
      <c r="W385">
        <v>0</v>
      </c>
      <c r="X385"/>
      <c r="Y385"/>
      <c r="Z385">
        <v>0</v>
      </c>
      <c r="AA385"/>
      <c r="AB385"/>
      <c r="AD385" s="2">
        <v>20</v>
      </c>
      <c r="AE385" s="55">
        <f t="shared" si="19"/>
        <v>240.73553001411099</v>
      </c>
      <c r="AF385" s="57">
        <v>0</v>
      </c>
      <c r="AG385" s="55">
        <v>0</v>
      </c>
      <c r="AH385" s="55">
        <v>0</v>
      </c>
      <c r="AI385" s="52">
        <f t="shared" si="24"/>
        <v>8.3078721279022161E-2</v>
      </c>
      <c r="AJ385" s="51"/>
      <c r="AK385" s="52"/>
      <c r="AL385" s="52"/>
      <c r="AM385" s="2">
        <v>1.75</v>
      </c>
      <c r="AN385" s="2">
        <v>2.5</v>
      </c>
      <c r="AO385" s="2">
        <v>0.75</v>
      </c>
      <c r="AP385" s="2">
        <v>0</v>
      </c>
      <c r="AQ385" s="2">
        <v>0.35</v>
      </c>
      <c r="AR385" s="2">
        <v>0.5</v>
      </c>
      <c r="AS385" s="2">
        <v>0.15</v>
      </c>
      <c r="AT385" s="2">
        <v>0</v>
      </c>
      <c r="AU385" s="29">
        <v>1</v>
      </c>
      <c r="AV385" s="29">
        <v>3.44</v>
      </c>
      <c r="AW385" s="29">
        <v>2.44</v>
      </c>
      <c r="AX385" s="29">
        <v>2.7124999999999999</v>
      </c>
      <c r="AY385" s="2">
        <v>2.7124999999999999</v>
      </c>
      <c r="AZ385" s="2">
        <v>6.264025610615688</v>
      </c>
      <c r="BD385">
        <v>4.153936063951108E-2</v>
      </c>
      <c r="BH385">
        <v>8.3078721279022161E-2</v>
      </c>
      <c r="BI385">
        <v>4.153936063951108E-2</v>
      </c>
      <c r="BJ385">
        <v>0</v>
      </c>
    </row>
    <row r="386" spans="1:62" x14ac:dyDescent="0.3">
      <c r="A386" s="2" t="s">
        <v>311</v>
      </c>
      <c r="B386" s="13" t="s">
        <v>831</v>
      </c>
      <c r="C386" s="13"/>
      <c r="F386" s="2">
        <v>3.54</v>
      </c>
      <c r="G386" s="2" t="s">
        <v>312</v>
      </c>
      <c r="H386" s="9">
        <v>-1</v>
      </c>
      <c r="I386">
        <v>-1</v>
      </c>
      <c r="J386"/>
      <c r="K386" s="2">
        <v>1</v>
      </c>
      <c r="L386" s="25">
        <v>0</v>
      </c>
      <c r="M386">
        <v>0</v>
      </c>
      <c r="N386">
        <v>0</v>
      </c>
      <c r="O386" s="2">
        <v>3.9647999999999999</v>
      </c>
      <c r="P386" s="2">
        <v>3.9647999999999999</v>
      </c>
      <c r="Q386" s="2">
        <v>15.7392</v>
      </c>
      <c r="R386" s="2" t="s">
        <v>439</v>
      </c>
      <c r="T386" s="25">
        <v>0</v>
      </c>
      <c r="U386" s="25"/>
      <c r="V386" s="25"/>
      <c r="W386">
        <v>0</v>
      </c>
      <c r="X386"/>
      <c r="Y386"/>
      <c r="Z386">
        <v>0</v>
      </c>
      <c r="AA386"/>
      <c r="AB386"/>
      <c r="AD386">
        <v>20</v>
      </c>
      <c r="AE386" s="55">
        <f t="shared" si="19"/>
        <v>247.41454277836797</v>
      </c>
      <c r="AF386" s="57">
        <v>0</v>
      </c>
      <c r="AG386" s="55">
        <v>0</v>
      </c>
      <c r="AH386" s="55">
        <v>0</v>
      </c>
      <c r="AI386" s="52">
        <f t="shared" si="24"/>
        <v>8.0835991997106837E-2</v>
      </c>
      <c r="AJ386" s="51"/>
      <c r="AK386" s="52"/>
      <c r="AL386" s="52"/>
      <c r="AM386" s="28">
        <v>1.9375</v>
      </c>
      <c r="AN386" s="28">
        <v>2.5</v>
      </c>
      <c r="AO386" s="28">
        <v>0.5625</v>
      </c>
      <c r="AP386" s="28">
        <v>2.625</v>
      </c>
      <c r="AQ386" s="28">
        <v>0.25409836065573771</v>
      </c>
      <c r="AR386" s="28">
        <v>0.32786885245901642</v>
      </c>
      <c r="AS386" s="28">
        <v>7.3770491803278687E-2</v>
      </c>
      <c r="AT386" s="28">
        <v>0.34426229508196721</v>
      </c>
      <c r="AU386" s="25">
        <v>0.79</v>
      </c>
      <c r="AV386" s="25">
        <v>3.44</v>
      </c>
      <c r="AW386" s="25">
        <v>2.65</v>
      </c>
      <c r="AX386" s="25">
        <v>2.5918749999999999</v>
      </c>
      <c r="AY386">
        <v>2.5918749999999999</v>
      </c>
      <c r="AZ386">
        <v>5.9214935367946877</v>
      </c>
      <c r="BD386">
        <v>4.0417995998553419E-2</v>
      </c>
      <c r="BH386">
        <v>8.0835991997106837E-2</v>
      </c>
      <c r="BI386">
        <v>4.0417995998553419E-2</v>
      </c>
      <c r="BJ386">
        <v>0</v>
      </c>
    </row>
    <row r="387" spans="1:62" x14ac:dyDescent="0.3">
      <c r="A387" s="2" t="s">
        <v>313</v>
      </c>
      <c r="B387" s="13" t="s">
        <v>720</v>
      </c>
      <c r="C387" s="13"/>
      <c r="F387" s="2">
        <v>3.5</v>
      </c>
      <c r="G387" s="2" t="s">
        <v>314</v>
      </c>
      <c r="H387" s="9" t="s">
        <v>549</v>
      </c>
      <c r="I387">
        <v>-1</v>
      </c>
      <c r="J387"/>
      <c r="L387" s="25">
        <v>1</v>
      </c>
      <c r="M387">
        <v>0</v>
      </c>
      <c r="N387">
        <v>0</v>
      </c>
      <c r="O387" s="2">
        <v>-1</v>
      </c>
      <c r="T387" s="25">
        <v>15.28115725</v>
      </c>
      <c r="U387" s="25">
        <v>15.28115725</v>
      </c>
      <c r="V387" s="25">
        <v>15.28115725</v>
      </c>
      <c r="W387">
        <v>0</v>
      </c>
      <c r="X387"/>
      <c r="Y387"/>
      <c r="Z387">
        <v>0</v>
      </c>
      <c r="AA387"/>
      <c r="AB387"/>
      <c r="AD387">
        <v>20</v>
      </c>
      <c r="AE387" s="55">
        <f t="shared" ref="AE387:AE450" si="25">O387*P387*Q387</f>
        <v>0</v>
      </c>
      <c r="AF387" s="57">
        <v>229.90248606119221</v>
      </c>
      <c r="AG387" s="55">
        <v>0</v>
      </c>
      <c r="AH387" s="55">
        <v>0</v>
      </c>
      <c r="AI387" s="52"/>
      <c r="AJ387" s="51">
        <v>8.6993404650164072E-2</v>
      </c>
      <c r="AK387" s="52"/>
      <c r="AL387" s="52"/>
      <c r="AM387" s="28">
        <v>1.882352941176471</v>
      </c>
      <c r="AN387" s="28">
        <v>2.3529411764705879</v>
      </c>
      <c r="AO387" s="28">
        <v>0.47058823529411759</v>
      </c>
      <c r="AP387" s="28">
        <v>0</v>
      </c>
      <c r="AQ387" s="28">
        <v>0.4</v>
      </c>
      <c r="AR387" s="28">
        <v>0.5</v>
      </c>
      <c r="AS387" s="28">
        <v>9.9999999999999992E-2</v>
      </c>
      <c r="AT387" s="28">
        <v>0</v>
      </c>
      <c r="AU387" s="25">
        <v>0.82</v>
      </c>
      <c r="AV387" s="25">
        <v>3.44</v>
      </c>
      <c r="AW387" s="25">
        <v>2.62</v>
      </c>
      <c r="AX387" s="25">
        <v>2.5211764705882351</v>
      </c>
      <c r="AY387">
        <v>2.521176470588236</v>
      </c>
      <c r="AZ387">
        <v>5.6898745917647062</v>
      </c>
      <c r="BA387" s="75">
        <v>0.57369840599679445</v>
      </c>
      <c r="BE387">
        <v>4.3496702325082043E-2</v>
      </c>
      <c r="BH387">
        <v>8.6993404650164072E-2</v>
      </c>
      <c r="BI387">
        <v>4.3496702325082043E-2</v>
      </c>
      <c r="BJ387">
        <v>0.57369840599679445</v>
      </c>
    </row>
    <row r="388" spans="1:62" x14ac:dyDescent="0.3">
      <c r="A388" s="2" t="s">
        <v>44</v>
      </c>
      <c r="B388" s="13" t="s">
        <v>720</v>
      </c>
      <c r="C388" s="13"/>
      <c r="D388" s="2" t="s">
        <v>246</v>
      </c>
      <c r="E388" s="2" t="s">
        <v>1067</v>
      </c>
      <c r="F388" s="2">
        <v>2.2599999999999998</v>
      </c>
      <c r="G388" s="2" t="s">
        <v>314</v>
      </c>
      <c r="H388" s="9" t="s">
        <v>549</v>
      </c>
      <c r="I388">
        <v>-1</v>
      </c>
      <c r="J388"/>
      <c r="L388" s="25">
        <v>1</v>
      </c>
      <c r="M388">
        <v>0</v>
      </c>
      <c r="N388">
        <v>0</v>
      </c>
      <c r="O388" s="2">
        <v>-1</v>
      </c>
      <c r="T388" s="25">
        <v>15.28115725</v>
      </c>
      <c r="U388" s="25">
        <v>15.28115725</v>
      </c>
      <c r="V388" s="25">
        <v>15.28115725</v>
      </c>
      <c r="W388">
        <v>0</v>
      </c>
      <c r="X388"/>
      <c r="Y388"/>
      <c r="Z388">
        <v>0</v>
      </c>
      <c r="AA388"/>
      <c r="AB388"/>
      <c r="AD388">
        <v>20</v>
      </c>
      <c r="AE388" s="55">
        <f t="shared" si="25"/>
        <v>0</v>
      </c>
      <c r="AF388" s="57">
        <v>229.90248606119221</v>
      </c>
      <c r="AG388" s="55">
        <v>0</v>
      </c>
      <c r="AH388" s="55">
        <v>0</v>
      </c>
      <c r="AI388" s="52"/>
      <c r="AJ388" s="51">
        <v>8.6993404650164072E-2</v>
      </c>
      <c r="AK388" s="52"/>
      <c r="AL388" s="52"/>
      <c r="AM388" s="28">
        <v>1.882352941176471</v>
      </c>
      <c r="AN388" s="28">
        <v>2.3529411764705879</v>
      </c>
      <c r="AO388" s="28">
        <v>0.47058823529411759</v>
      </c>
      <c r="AP388" s="28">
        <v>0</v>
      </c>
      <c r="AQ388" s="28">
        <v>0.4</v>
      </c>
      <c r="AR388" s="28">
        <v>0.5</v>
      </c>
      <c r="AS388" s="28">
        <v>9.9999999999999992E-2</v>
      </c>
      <c r="AT388" s="28">
        <v>0</v>
      </c>
      <c r="AU388" s="25">
        <v>0.82</v>
      </c>
      <c r="AV388" s="25">
        <v>3.44</v>
      </c>
      <c r="AW388" s="25">
        <v>2.62</v>
      </c>
      <c r="AX388" s="25">
        <v>2.5211764705882351</v>
      </c>
      <c r="AY388">
        <v>2.521176470588236</v>
      </c>
      <c r="AZ388">
        <v>5.6898745917647062</v>
      </c>
      <c r="BA388" s="75">
        <v>0.57369840599679445</v>
      </c>
      <c r="BE388">
        <v>4.3496702325082043E-2</v>
      </c>
      <c r="BH388">
        <v>8.6993404650164072E-2</v>
      </c>
      <c r="BI388">
        <v>4.3496702325082043E-2</v>
      </c>
      <c r="BJ388">
        <v>0.57369840599679445</v>
      </c>
    </row>
    <row r="389" spans="1:62" ht="15" x14ac:dyDescent="0.35">
      <c r="A389" s="2" t="s">
        <v>69</v>
      </c>
      <c r="B389" s="13" t="s">
        <v>738</v>
      </c>
      <c r="C389" s="13"/>
      <c r="F389" s="2">
        <v>2.82</v>
      </c>
      <c r="G389" s="8" t="s">
        <v>315</v>
      </c>
      <c r="H389" s="9" t="s">
        <v>560</v>
      </c>
      <c r="I389" t="s">
        <v>638</v>
      </c>
      <c r="J389"/>
      <c r="K389" s="8"/>
      <c r="L389" s="25">
        <v>2</v>
      </c>
      <c r="M389">
        <v>4</v>
      </c>
      <c r="N389">
        <v>0</v>
      </c>
      <c r="O389" s="2">
        <v>-1</v>
      </c>
      <c r="T389" s="25">
        <v>8.3195821399999996</v>
      </c>
      <c r="U389" s="25">
        <v>8.3195821399999996</v>
      </c>
      <c r="V389" s="25">
        <v>8.2425581700000006</v>
      </c>
      <c r="W389">
        <v>5.5339970000000003</v>
      </c>
      <c r="X389">
        <v>5.4998300000000002</v>
      </c>
      <c r="Y389">
        <v>16.550709999999999</v>
      </c>
      <c r="Z389">
        <v>0</v>
      </c>
      <c r="AA389"/>
      <c r="AB389"/>
      <c r="AD389">
        <v>12</v>
      </c>
      <c r="AE389" s="55">
        <f t="shared" si="25"/>
        <v>0</v>
      </c>
      <c r="AF389" s="57">
        <v>248.80917443900231</v>
      </c>
      <c r="AG389" s="55">
        <v>503.73811661477208</v>
      </c>
      <c r="AH389" s="55">
        <v>0</v>
      </c>
      <c r="AI389" s="52"/>
      <c r="AJ389" s="51">
        <v>9.6459465588893734E-2</v>
      </c>
      <c r="AK389" s="52">
        <v>9.5287607621536111E-2</v>
      </c>
      <c r="AL389" s="52"/>
      <c r="AM389" s="28">
        <v>2</v>
      </c>
      <c r="AN389" s="28">
        <v>3.333333333333333</v>
      </c>
      <c r="AO389" s="28">
        <v>2.666666666666667</v>
      </c>
      <c r="AP389" s="28">
        <v>4.666666666666667</v>
      </c>
      <c r="AQ389" s="28">
        <v>0.15789473684210531</v>
      </c>
      <c r="AR389" s="28">
        <v>0.26315789473684209</v>
      </c>
      <c r="AS389" s="28">
        <v>0.2105263157894737</v>
      </c>
      <c r="AT389" s="28">
        <v>0.36842105263157898</v>
      </c>
      <c r="AU389" s="25">
        <v>2.02</v>
      </c>
      <c r="AV389" s="25">
        <v>3.44</v>
      </c>
      <c r="AW389" s="25">
        <v>1.42</v>
      </c>
      <c r="AX389" s="25">
        <v>3.0044444444444438</v>
      </c>
      <c r="AY389">
        <v>3.0044444444444438</v>
      </c>
      <c r="AZ389">
        <v>6.4228342255555546</v>
      </c>
      <c r="BA389" s="75">
        <v>0.52562348257484404</v>
      </c>
      <c r="BB389" s="75">
        <v>0.51923783589802341</v>
      </c>
      <c r="BE389">
        <v>4.8229732794446867E-2</v>
      </c>
      <c r="BF389">
        <v>4.7643803810768062E-2</v>
      </c>
      <c r="BH389">
        <v>9.5873536605214915E-2</v>
      </c>
      <c r="BI389">
        <v>4.7936768302607458E-2</v>
      </c>
      <c r="BJ389">
        <v>0.52243065923643373</v>
      </c>
    </row>
    <row r="390" spans="1:62" x14ac:dyDescent="0.3">
      <c r="A390" s="2" t="s">
        <v>316</v>
      </c>
      <c r="B390" s="17" t="s">
        <v>951</v>
      </c>
      <c r="C390" s="13"/>
      <c r="F390" s="2">
        <v>3.6</v>
      </c>
      <c r="G390" s="2" t="s">
        <v>317</v>
      </c>
      <c r="H390" s="9">
        <v>-1</v>
      </c>
      <c r="I390">
        <v>-1</v>
      </c>
      <c r="J390"/>
      <c r="K390" s="2">
        <v>2</v>
      </c>
      <c r="L390" s="25">
        <v>0</v>
      </c>
      <c r="M390">
        <v>0</v>
      </c>
      <c r="N390">
        <v>0</v>
      </c>
      <c r="O390" s="2">
        <v>3.823</v>
      </c>
      <c r="P390" s="2">
        <v>17.215</v>
      </c>
      <c r="Q390" s="2">
        <v>2.9550000000000001</v>
      </c>
      <c r="R390" s="2" t="s">
        <v>519</v>
      </c>
      <c r="T390" s="25">
        <v>0</v>
      </c>
      <c r="U390" s="25"/>
      <c r="V390" s="25"/>
      <c r="W390">
        <v>0</v>
      </c>
      <c r="X390"/>
      <c r="Y390"/>
      <c r="Z390">
        <v>0</v>
      </c>
      <c r="AA390"/>
      <c r="AB390"/>
      <c r="AD390">
        <v>8</v>
      </c>
      <c r="AE390" s="55">
        <f t="shared" si="25"/>
        <v>194.477252475</v>
      </c>
      <c r="AF390" s="57">
        <v>0</v>
      </c>
      <c r="AG390" s="55">
        <v>0</v>
      </c>
      <c r="AH390" s="55">
        <v>0</v>
      </c>
      <c r="AI390" s="52">
        <f t="shared" ref="AI390:AI431" si="26">K390*AD390/AE390</f>
        <v>8.2271832805005288E-2</v>
      </c>
      <c r="AJ390" s="51"/>
      <c r="AK390" s="52"/>
      <c r="AL390" s="52"/>
      <c r="AM390" s="28">
        <v>1.8969230769230769</v>
      </c>
      <c r="AN390" s="28">
        <v>2.4615384615384621</v>
      </c>
      <c r="AO390" s="28">
        <v>0.56307692307692314</v>
      </c>
      <c r="AP390" s="28">
        <v>0</v>
      </c>
      <c r="AQ390" s="28">
        <v>0.38543294779618631</v>
      </c>
      <c r="AR390" s="28">
        <v>0.50015629884338852</v>
      </c>
      <c r="AS390" s="28">
        <v>0.1144107533604251</v>
      </c>
      <c r="AT390" s="28">
        <v>0</v>
      </c>
      <c r="AU390" s="25">
        <v>0.79</v>
      </c>
      <c r="AV390" s="25">
        <v>3.44</v>
      </c>
      <c r="AW390" s="25">
        <v>2.65</v>
      </c>
      <c r="AX390" s="25">
        <v>2.6319230769230768</v>
      </c>
      <c r="AY390">
        <v>2.6319230769230768</v>
      </c>
      <c r="AZ390">
        <v>5.8365582503752389</v>
      </c>
      <c r="BD390">
        <v>4.1135916402502637E-2</v>
      </c>
      <c r="BH390">
        <v>8.2271832805005288E-2</v>
      </c>
      <c r="BI390">
        <v>4.1135916402502637E-2</v>
      </c>
      <c r="BJ390">
        <v>0</v>
      </c>
    </row>
    <row r="391" spans="1:62" x14ac:dyDescent="0.3">
      <c r="A391" s="2" t="s">
        <v>318</v>
      </c>
      <c r="B391" s="13" t="s">
        <v>832</v>
      </c>
      <c r="C391" s="13"/>
      <c r="F391" s="2">
        <v>3.45</v>
      </c>
      <c r="G391" s="2" t="s">
        <v>319</v>
      </c>
      <c r="H391" s="9">
        <v>-1</v>
      </c>
      <c r="I391">
        <v>-1</v>
      </c>
      <c r="J391" t="s">
        <v>1173</v>
      </c>
      <c r="K391" s="2">
        <v>2</v>
      </c>
      <c r="L391" s="25">
        <v>0</v>
      </c>
      <c r="M391">
        <v>0</v>
      </c>
      <c r="N391">
        <v>2</v>
      </c>
      <c r="O391" s="71">
        <v>3.71</v>
      </c>
      <c r="P391" s="71">
        <v>3.71</v>
      </c>
      <c r="Q391" s="71">
        <v>12.2</v>
      </c>
      <c r="R391" s="2" t="s">
        <v>519</v>
      </c>
      <c r="T391" s="25">
        <v>0</v>
      </c>
      <c r="U391" s="25"/>
      <c r="V391" s="25"/>
      <c r="W391">
        <v>0</v>
      </c>
      <c r="X391"/>
      <c r="Y391"/>
      <c r="Z391">
        <v>3.72</v>
      </c>
      <c r="AA391">
        <v>3.72</v>
      </c>
      <c r="AB391">
        <v>12.3012</v>
      </c>
      <c r="AD391">
        <v>8</v>
      </c>
      <c r="AE391" s="55">
        <f t="shared" si="25"/>
        <v>167.92201999999997</v>
      </c>
      <c r="AF391" s="57">
        <v>0</v>
      </c>
      <c r="AG391" s="55">
        <v>0</v>
      </c>
      <c r="AH391" s="55">
        <v>170.2</v>
      </c>
      <c r="AI391" s="52">
        <f t="shared" si="26"/>
        <v>9.5282322115944076E-2</v>
      </c>
      <c r="AJ391" s="51"/>
      <c r="AK391" s="52"/>
      <c r="AL391" s="67">
        <f>N391*AD391/AH391</f>
        <v>9.400705052878966E-2</v>
      </c>
      <c r="AM391" s="28">
        <v>1.857142857142857</v>
      </c>
      <c r="AN391" s="28">
        <v>2.285714285714286</v>
      </c>
      <c r="AO391" s="28">
        <v>0.42857142857142849</v>
      </c>
      <c r="AP391" s="28">
        <v>0</v>
      </c>
      <c r="AQ391" s="28">
        <v>0.40625000000000011</v>
      </c>
      <c r="AR391" s="28">
        <v>0.5</v>
      </c>
      <c r="AS391" s="28">
        <v>9.375E-2</v>
      </c>
      <c r="AT391" s="28">
        <v>0</v>
      </c>
      <c r="AU391" s="25">
        <v>1.1000000000000001</v>
      </c>
      <c r="AV391" s="25">
        <v>3.44</v>
      </c>
      <c r="AW391" s="25">
        <v>2.34</v>
      </c>
      <c r="AX391" s="25">
        <v>2.657142857142857</v>
      </c>
      <c r="AY391">
        <v>2.657142857142857</v>
      </c>
      <c r="AZ391">
        <v>6.2648417856930001</v>
      </c>
      <c r="BC391" s="75">
        <v>0.51949166816826697</v>
      </c>
      <c r="BD391">
        <v>4.7641161057972038E-2</v>
      </c>
      <c r="BG391">
        <v>4.700352526439483E-2</v>
      </c>
      <c r="BH391">
        <v>9.4644686322366861E-2</v>
      </c>
      <c r="BI391">
        <v>4.7322343161183431E-2</v>
      </c>
      <c r="BJ391">
        <v>0.51949166816826697</v>
      </c>
    </row>
    <row r="392" spans="1:62" x14ac:dyDescent="0.3">
      <c r="A392" s="2" t="s">
        <v>320</v>
      </c>
      <c r="B392" s="18" t="s">
        <v>994</v>
      </c>
      <c r="C392" s="13"/>
      <c r="F392" s="2">
        <v>3.58</v>
      </c>
      <c r="G392" s="2" t="s">
        <v>319</v>
      </c>
      <c r="H392" s="9">
        <v>-1</v>
      </c>
      <c r="I392">
        <v>-1</v>
      </c>
      <c r="J392"/>
      <c r="K392" s="2">
        <v>4</v>
      </c>
      <c r="L392" s="25">
        <v>0</v>
      </c>
      <c r="M392">
        <v>0</v>
      </c>
      <c r="N392">
        <v>0</v>
      </c>
      <c r="O392" s="2">
        <v>3.77</v>
      </c>
      <c r="P392" s="2">
        <v>3.77</v>
      </c>
      <c r="Q392" s="2">
        <v>33.299999999999997</v>
      </c>
      <c r="R392" s="2" t="s">
        <v>519</v>
      </c>
      <c r="T392" s="25">
        <v>0</v>
      </c>
      <c r="U392" s="25"/>
      <c r="V392" s="25"/>
      <c r="W392">
        <v>0</v>
      </c>
      <c r="X392"/>
      <c r="Y392"/>
      <c r="Z392">
        <v>0</v>
      </c>
      <c r="AA392"/>
      <c r="AB392"/>
      <c r="AD392">
        <v>8</v>
      </c>
      <c r="AE392" s="55">
        <f t="shared" si="25"/>
        <v>473.28956999999991</v>
      </c>
      <c r="AF392" s="57">
        <v>0</v>
      </c>
      <c r="AG392" s="55">
        <v>0</v>
      </c>
      <c r="AH392" s="55">
        <v>0</v>
      </c>
      <c r="AI392" s="52">
        <f t="shared" si="26"/>
        <v>6.7611885045343392E-2</v>
      </c>
      <c r="AJ392" s="51"/>
      <c r="AK392" s="52"/>
      <c r="AL392" s="52"/>
      <c r="AM392" s="28">
        <v>1.571428571428571</v>
      </c>
      <c r="AN392" s="28">
        <v>1.5</v>
      </c>
      <c r="AO392" s="28">
        <v>0.2142857142857143</v>
      </c>
      <c r="AP392" s="28">
        <v>0</v>
      </c>
      <c r="AQ392" s="28">
        <v>0.47826086956521741</v>
      </c>
      <c r="AR392" s="28">
        <v>0.45652173913043481</v>
      </c>
      <c r="AS392" s="28">
        <v>6.5217391304347824E-2</v>
      </c>
      <c r="AT392" s="28">
        <v>0</v>
      </c>
      <c r="AU392" s="25">
        <v>1.1000000000000001</v>
      </c>
      <c r="AV392" s="25">
        <v>3.44</v>
      </c>
      <c r="AW392" s="25">
        <v>2.34</v>
      </c>
      <c r="AX392" s="25">
        <v>2.5135714285714279</v>
      </c>
      <c r="AY392">
        <v>2.5135714285714279</v>
      </c>
      <c r="AZ392">
        <v>6.6592671289361416</v>
      </c>
      <c r="BD392">
        <v>3.3805942522671703E-2</v>
      </c>
      <c r="BH392">
        <v>6.7611885045343392E-2</v>
      </c>
      <c r="BI392">
        <v>3.3805942522671703E-2</v>
      </c>
      <c r="BJ392">
        <v>0</v>
      </c>
    </row>
    <row r="393" spans="1:62" x14ac:dyDescent="0.3">
      <c r="A393" s="2" t="s">
        <v>321</v>
      </c>
      <c r="B393" s="18" t="s">
        <v>995</v>
      </c>
      <c r="C393" s="13"/>
      <c r="F393" s="2">
        <v>3.48</v>
      </c>
      <c r="G393" s="2" t="s">
        <v>319</v>
      </c>
      <c r="H393" s="9">
        <v>-1</v>
      </c>
      <c r="I393">
        <v>-1</v>
      </c>
      <c r="J393"/>
      <c r="K393" s="2">
        <v>4</v>
      </c>
      <c r="L393" s="25">
        <v>0</v>
      </c>
      <c r="M393">
        <v>0</v>
      </c>
      <c r="N393">
        <v>0</v>
      </c>
      <c r="O393" s="2">
        <v>3.75</v>
      </c>
      <c r="P393" s="2">
        <v>3.75</v>
      </c>
      <c r="Q393" s="2">
        <v>37.299999999999997</v>
      </c>
      <c r="R393" s="2" t="s">
        <v>519</v>
      </c>
      <c r="T393" s="25">
        <v>0</v>
      </c>
      <c r="U393" s="25"/>
      <c r="V393" s="25"/>
      <c r="W393">
        <v>0</v>
      </c>
      <c r="X393"/>
      <c r="Y393"/>
      <c r="Z393">
        <v>0</v>
      </c>
      <c r="AA393"/>
      <c r="AB393"/>
      <c r="AD393">
        <v>8</v>
      </c>
      <c r="AE393" s="55">
        <f t="shared" si="25"/>
        <v>524.53125</v>
      </c>
      <c r="AF393" s="57">
        <v>0</v>
      </c>
      <c r="AG393" s="55">
        <v>0</v>
      </c>
      <c r="AH393" s="55">
        <v>0</v>
      </c>
      <c r="AI393" s="52">
        <f t="shared" si="26"/>
        <v>6.1006851355376826E-2</v>
      </c>
      <c r="AJ393" s="51"/>
      <c r="AK393" s="52"/>
      <c r="AL393" s="52"/>
      <c r="AM393" s="28">
        <v>1.529411764705882</v>
      </c>
      <c r="AN393" s="28">
        <v>1.3529411764705881</v>
      </c>
      <c r="AO393" s="28">
        <v>0.1764705882352941</v>
      </c>
      <c r="AP393" s="28">
        <v>0</v>
      </c>
      <c r="AQ393" s="28">
        <v>0.5</v>
      </c>
      <c r="AR393" s="28">
        <v>0.44230769230769229</v>
      </c>
      <c r="AS393" s="28">
        <v>5.7692307692307702E-2</v>
      </c>
      <c r="AT393" s="28">
        <v>0</v>
      </c>
      <c r="AU393" s="25">
        <v>1.1000000000000001</v>
      </c>
      <c r="AV393" s="25">
        <v>3.44</v>
      </c>
      <c r="AW393" s="25">
        <v>2.34</v>
      </c>
      <c r="AX393" s="25">
        <v>2.4788235294117649</v>
      </c>
      <c r="AY393">
        <v>2.4788235294117649</v>
      </c>
      <c r="AZ393">
        <v>6.6967043065181171</v>
      </c>
      <c r="BD393">
        <v>3.050342567768841E-2</v>
      </c>
      <c r="BH393">
        <v>6.1006851355376833E-2</v>
      </c>
      <c r="BI393">
        <v>3.050342567768841E-2</v>
      </c>
      <c r="BJ393">
        <v>0</v>
      </c>
    </row>
    <row r="394" spans="1:62" x14ac:dyDescent="0.3">
      <c r="A394" s="2" t="s">
        <v>322</v>
      </c>
      <c r="B394" s="18" t="s">
        <v>996</v>
      </c>
      <c r="C394" s="13"/>
      <c r="F394" s="2">
        <v>3.5</v>
      </c>
      <c r="G394" s="2" t="s">
        <v>319</v>
      </c>
      <c r="H394" s="9">
        <v>-1</v>
      </c>
      <c r="I394">
        <v>-1</v>
      </c>
      <c r="J394"/>
      <c r="K394" s="2">
        <v>4</v>
      </c>
      <c r="L394" s="25">
        <v>0</v>
      </c>
      <c r="M394">
        <v>0</v>
      </c>
      <c r="N394">
        <v>0</v>
      </c>
      <c r="O394" s="2">
        <v>3.76</v>
      </c>
      <c r="P394" s="2">
        <v>3.76</v>
      </c>
      <c r="Q394" s="2">
        <v>41.2</v>
      </c>
      <c r="R394" s="2" t="s">
        <v>519</v>
      </c>
      <c r="T394" s="25">
        <v>0</v>
      </c>
      <c r="U394" s="25"/>
      <c r="V394" s="25"/>
      <c r="W394">
        <v>0</v>
      </c>
      <c r="X394"/>
      <c r="Y394"/>
      <c r="Z394">
        <v>0</v>
      </c>
      <c r="AA394"/>
      <c r="AB394"/>
      <c r="AD394">
        <v>8</v>
      </c>
      <c r="AE394" s="55">
        <f t="shared" si="25"/>
        <v>582.46911999999998</v>
      </c>
      <c r="AF394" s="57">
        <v>0</v>
      </c>
      <c r="AG394" s="55">
        <v>0</v>
      </c>
      <c r="AH394" s="55">
        <v>0</v>
      </c>
      <c r="AI394" s="52">
        <f t="shared" si="26"/>
        <v>5.4938534767302344E-2</v>
      </c>
      <c r="AJ394" s="51"/>
      <c r="AK394" s="52"/>
      <c r="AL394" s="52"/>
      <c r="AM394" s="28">
        <v>1.5</v>
      </c>
      <c r="AN394" s="28">
        <v>1.25</v>
      </c>
      <c r="AO394" s="28">
        <v>0.15</v>
      </c>
      <c r="AP394" s="28">
        <v>0</v>
      </c>
      <c r="AQ394" s="28">
        <v>0.51724137931034486</v>
      </c>
      <c r="AR394" s="28">
        <v>0.43103448275862072</v>
      </c>
      <c r="AS394" s="28">
        <v>5.1724137931034482E-2</v>
      </c>
      <c r="AT394" s="28">
        <v>0</v>
      </c>
      <c r="AU394" s="25">
        <v>1.1000000000000001</v>
      </c>
      <c r="AV394" s="25">
        <v>3.44</v>
      </c>
      <c r="AW394" s="25">
        <v>2.34</v>
      </c>
      <c r="AX394" s="25">
        <v>2.4544999999999999</v>
      </c>
      <c r="AY394">
        <v>2.4544999999999999</v>
      </c>
      <c r="AZ394">
        <v>6.7229103308255</v>
      </c>
      <c r="BD394">
        <v>2.7469267383651168E-2</v>
      </c>
      <c r="BH394">
        <v>5.4938534767302337E-2</v>
      </c>
      <c r="BI394">
        <v>2.7469267383651168E-2</v>
      </c>
      <c r="BJ394">
        <v>0</v>
      </c>
    </row>
    <row r="395" spans="1:62" x14ac:dyDescent="0.3">
      <c r="A395" s="2" t="s">
        <v>323</v>
      </c>
      <c r="B395" s="18" t="s">
        <v>997</v>
      </c>
      <c r="C395" s="13"/>
      <c r="F395" s="2">
        <v>3.61</v>
      </c>
      <c r="G395" s="2" t="s">
        <v>319</v>
      </c>
      <c r="H395" s="9">
        <v>-1</v>
      </c>
      <c r="I395">
        <v>-1</v>
      </c>
      <c r="J395"/>
      <c r="K395" s="2">
        <v>4</v>
      </c>
      <c r="L395" s="25">
        <v>0</v>
      </c>
      <c r="M395">
        <v>0</v>
      </c>
      <c r="N395">
        <v>0</v>
      </c>
      <c r="O395" s="2">
        <v>3.76</v>
      </c>
      <c r="P395" s="2">
        <v>3.76</v>
      </c>
      <c r="Q395" s="2">
        <v>47.8</v>
      </c>
      <c r="R395" s="2" t="s">
        <v>519</v>
      </c>
      <c r="T395" s="25">
        <v>0</v>
      </c>
      <c r="U395" s="25"/>
      <c r="V395" s="25"/>
      <c r="W395">
        <v>0</v>
      </c>
      <c r="X395"/>
      <c r="Y395"/>
      <c r="Z395">
        <v>0</v>
      </c>
      <c r="AA395"/>
      <c r="AB395"/>
      <c r="AD395">
        <v>8</v>
      </c>
      <c r="AE395" s="55">
        <f t="shared" si="25"/>
        <v>675.77727999999991</v>
      </c>
      <c r="AF395" s="57">
        <v>0</v>
      </c>
      <c r="AG395" s="55">
        <v>0</v>
      </c>
      <c r="AH395" s="55">
        <v>0</v>
      </c>
      <c r="AI395" s="52">
        <f t="shared" si="26"/>
        <v>4.7352879339181107E-2</v>
      </c>
      <c r="AJ395" s="51"/>
      <c r="AK395" s="52"/>
      <c r="AL395" s="52"/>
      <c r="AM395" s="28">
        <v>1.4782608695652171</v>
      </c>
      <c r="AN395" s="28">
        <v>1.173913043478261</v>
      </c>
      <c r="AO395" s="28">
        <v>0.13043478260869559</v>
      </c>
      <c r="AP395" s="28">
        <v>0</v>
      </c>
      <c r="AQ395" s="28">
        <v>0.53125</v>
      </c>
      <c r="AR395" s="28">
        <v>0.42187500000000011</v>
      </c>
      <c r="AS395" s="28">
        <v>4.6875E-2</v>
      </c>
      <c r="AT395" s="28">
        <v>0</v>
      </c>
      <c r="AU395" s="25">
        <v>1.1000000000000001</v>
      </c>
      <c r="AV395" s="25">
        <v>3.44</v>
      </c>
      <c r="AW395" s="25">
        <v>2.34</v>
      </c>
      <c r="AX395" s="25">
        <v>2.436521739130435</v>
      </c>
      <c r="AY395">
        <v>2.436521739130435</v>
      </c>
      <c r="AZ395">
        <v>6.7422800009657378</v>
      </c>
      <c r="BD395">
        <v>2.367643966959055E-2</v>
      </c>
      <c r="BH395">
        <v>4.7352879339181107E-2</v>
      </c>
      <c r="BI395">
        <v>2.367643966959055E-2</v>
      </c>
      <c r="BJ395">
        <v>0</v>
      </c>
    </row>
    <row r="396" spans="1:62" x14ac:dyDescent="0.3">
      <c r="A396" s="2" t="s">
        <v>324</v>
      </c>
      <c r="B396" s="18" t="s">
        <v>999</v>
      </c>
      <c r="C396" s="13"/>
      <c r="F396" s="2">
        <v>3.47</v>
      </c>
      <c r="G396" s="2" t="s">
        <v>319</v>
      </c>
      <c r="H396" s="9">
        <v>-1</v>
      </c>
      <c r="I396">
        <v>-1</v>
      </c>
      <c r="J396"/>
      <c r="K396" s="2">
        <v>4</v>
      </c>
      <c r="L396" s="25">
        <v>0</v>
      </c>
      <c r="M396">
        <v>0</v>
      </c>
      <c r="N396">
        <v>0</v>
      </c>
      <c r="O396" s="2">
        <v>3.76</v>
      </c>
      <c r="P396" s="2">
        <v>3.76</v>
      </c>
      <c r="Q396" s="2">
        <v>54.9</v>
      </c>
      <c r="R396" s="2" t="s">
        <v>519</v>
      </c>
      <c r="T396" s="25">
        <v>0</v>
      </c>
      <c r="U396" s="25"/>
      <c r="V396" s="25"/>
      <c r="W396">
        <v>0</v>
      </c>
      <c r="X396"/>
      <c r="Y396"/>
      <c r="Z396">
        <v>0</v>
      </c>
      <c r="AA396"/>
      <c r="AB396"/>
      <c r="AD396">
        <v>8</v>
      </c>
      <c r="AE396" s="55">
        <f t="shared" si="25"/>
        <v>776.15423999999996</v>
      </c>
      <c r="AF396" s="57">
        <v>0</v>
      </c>
      <c r="AG396" s="55">
        <v>0</v>
      </c>
      <c r="AH396" s="55">
        <v>0</v>
      </c>
      <c r="AI396" s="52">
        <f t="shared" si="26"/>
        <v>4.1228918623185E-2</v>
      </c>
      <c r="AJ396" s="51"/>
      <c r="AK396" s="52"/>
      <c r="AL396" s="52"/>
      <c r="AM396" s="28">
        <v>1.448275862068966</v>
      </c>
      <c r="AN396" s="28">
        <v>1.068965517241379</v>
      </c>
      <c r="AO396" s="28">
        <v>0.10344827586206901</v>
      </c>
      <c r="AP396" s="28">
        <v>0</v>
      </c>
      <c r="AQ396" s="28">
        <v>0.55263157894736847</v>
      </c>
      <c r="AR396" s="28">
        <v>0.40789473684210531</v>
      </c>
      <c r="AS396" s="28">
        <v>3.9473684210526307E-2</v>
      </c>
      <c r="AT396" s="28">
        <v>0</v>
      </c>
      <c r="AU396" s="25">
        <v>1.1000000000000001</v>
      </c>
      <c r="AV396" s="25">
        <v>3.44</v>
      </c>
      <c r="AW396" s="25">
        <v>2.34</v>
      </c>
      <c r="AX396" s="25">
        <v>2.411724137931035</v>
      </c>
      <c r="AY396">
        <v>2.4117241379310341</v>
      </c>
      <c r="AZ396">
        <v>6.7689967873660688</v>
      </c>
      <c r="BD396">
        <v>2.06144593115925E-2</v>
      </c>
      <c r="BH396">
        <v>4.1228918623185E-2</v>
      </c>
      <c r="BI396">
        <v>2.06144593115925E-2</v>
      </c>
      <c r="BJ396">
        <v>0</v>
      </c>
    </row>
    <row r="397" spans="1:62" x14ac:dyDescent="0.3">
      <c r="A397" s="2" t="s">
        <v>325</v>
      </c>
      <c r="B397" s="18" t="s">
        <v>998</v>
      </c>
      <c r="C397" s="13"/>
      <c r="F397" s="2">
        <v>3.49</v>
      </c>
      <c r="G397" s="2" t="s">
        <v>319</v>
      </c>
      <c r="H397" s="9">
        <v>-1</v>
      </c>
      <c r="I397">
        <v>-1</v>
      </c>
      <c r="J397"/>
      <c r="K397" s="2">
        <v>4</v>
      </c>
      <c r="L397" s="25">
        <v>0</v>
      </c>
      <c r="M397">
        <v>0</v>
      </c>
      <c r="N397">
        <v>0</v>
      </c>
      <c r="O397" s="2">
        <v>3.78</v>
      </c>
      <c r="P397" s="2">
        <v>3.78</v>
      </c>
      <c r="Q397" s="2">
        <v>66.3</v>
      </c>
      <c r="R397" s="2" t="s">
        <v>519</v>
      </c>
      <c r="T397" s="25">
        <v>0</v>
      </c>
      <c r="U397" s="25"/>
      <c r="V397" s="25"/>
      <c r="W397">
        <v>0</v>
      </c>
      <c r="X397"/>
      <c r="Y397"/>
      <c r="Z397">
        <v>0</v>
      </c>
      <c r="AA397"/>
      <c r="AB397"/>
      <c r="AD397">
        <v>8</v>
      </c>
      <c r="AE397" s="55">
        <f t="shared" si="25"/>
        <v>947.32091999999989</v>
      </c>
      <c r="AF397" s="57">
        <v>0</v>
      </c>
      <c r="AG397" s="55">
        <v>0</v>
      </c>
      <c r="AH397" s="55">
        <v>0</v>
      </c>
      <c r="AI397" s="52">
        <f t="shared" si="26"/>
        <v>3.3779471480477816E-2</v>
      </c>
      <c r="AJ397" s="51"/>
      <c r="AK397" s="52"/>
      <c r="AL397" s="52"/>
      <c r="AM397" s="28">
        <v>1.428571428571429</v>
      </c>
      <c r="AN397" s="28">
        <v>1</v>
      </c>
      <c r="AO397" s="28">
        <v>8.5714285714285715E-2</v>
      </c>
      <c r="AP397" s="28">
        <v>0</v>
      </c>
      <c r="AQ397" s="28">
        <v>0.56818181818181823</v>
      </c>
      <c r="AR397" s="28">
        <v>0.39772727272727282</v>
      </c>
      <c r="AS397" s="28">
        <v>3.4090909090909102E-2</v>
      </c>
      <c r="AT397" s="28">
        <v>0</v>
      </c>
      <c r="AU397" s="25">
        <v>1.1000000000000001</v>
      </c>
      <c r="AV397" s="25">
        <v>3.44</v>
      </c>
      <c r="AW397" s="25">
        <v>2.34</v>
      </c>
      <c r="AX397" s="25">
        <v>2.3954285714285719</v>
      </c>
      <c r="AY397">
        <v>2.395428571428571</v>
      </c>
      <c r="AZ397">
        <v>6.7865535327148558</v>
      </c>
      <c r="BD397">
        <v>1.6889735740238911E-2</v>
      </c>
      <c r="BH397">
        <v>3.3779471480477823E-2</v>
      </c>
      <c r="BI397">
        <v>1.6889735740238911E-2</v>
      </c>
      <c r="BJ397">
        <v>0</v>
      </c>
    </row>
    <row r="398" spans="1:62" x14ac:dyDescent="0.3">
      <c r="A398" s="2" t="s">
        <v>326</v>
      </c>
      <c r="B398" s="18" t="s">
        <v>1005</v>
      </c>
      <c r="C398" s="13"/>
      <c r="F398" s="2">
        <v>3.47</v>
      </c>
      <c r="G398" s="2" t="s">
        <v>319</v>
      </c>
      <c r="H398" s="9">
        <v>-1</v>
      </c>
      <c r="I398">
        <v>-1</v>
      </c>
      <c r="J398"/>
      <c r="K398" s="2">
        <v>4</v>
      </c>
      <c r="L398" s="25">
        <v>0</v>
      </c>
      <c r="M398">
        <v>0</v>
      </c>
      <c r="N398">
        <v>0</v>
      </c>
      <c r="O398" s="2">
        <v>3.72</v>
      </c>
      <c r="P398" s="2">
        <v>3.72</v>
      </c>
      <c r="Q398" s="2">
        <v>32.299999999999997</v>
      </c>
      <c r="R398" s="2" t="s">
        <v>519</v>
      </c>
      <c r="T398" s="25">
        <v>0</v>
      </c>
      <c r="U398" s="25"/>
      <c r="V398" s="25"/>
      <c r="W398">
        <v>0</v>
      </c>
      <c r="X398"/>
      <c r="Y398"/>
      <c r="Z398">
        <v>0</v>
      </c>
      <c r="AA398"/>
      <c r="AB398"/>
      <c r="AD398">
        <v>10</v>
      </c>
      <c r="AE398" s="55">
        <f t="shared" si="25"/>
        <v>446.98032000000001</v>
      </c>
      <c r="AF398" s="57">
        <v>0</v>
      </c>
      <c r="AG398" s="55">
        <v>0</v>
      </c>
      <c r="AH398" s="55">
        <v>0</v>
      </c>
      <c r="AI398" s="52">
        <f t="shared" si="26"/>
        <v>8.9489398548911497E-2</v>
      </c>
      <c r="AJ398" s="51"/>
      <c r="AK398" s="52"/>
      <c r="AL398" s="52"/>
      <c r="AM398" s="28">
        <v>1.615384615384615</v>
      </c>
      <c r="AN398" s="28">
        <v>1.6923076923076921</v>
      </c>
      <c r="AO398" s="28">
        <v>0.23076923076923081</v>
      </c>
      <c r="AP398" s="28">
        <v>0</v>
      </c>
      <c r="AQ398" s="28">
        <v>0.45652173913043481</v>
      </c>
      <c r="AR398" s="28">
        <v>0.47826086956521741</v>
      </c>
      <c r="AS398" s="28">
        <v>6.5217391304347838E-2</v>
      </c>
      <c r="AT398" s="28">
        <v>0</v>
      </c>
      <c r="AU398" s="25">
        <v>1.1000000000000001</v>
      </c>
      <c r="AV398" s="25">
        <v>3.44</v>
      </c>
      <c r="AW398" s="25">
        <v>2.34</v>
      </c>
      <c r="AX398" s="25">
        <v>2.568461538461539</v>
      </c>
      <c r="AY398">
        <v>2.568461538461539</v>
      </c>
      <c r="AZ398">
        <v>6.6431337427119228</v>
      </c>
      <c r="BD398">
        <v>4.4744699274455749E-2</v>
      </c>
      <c r="BH398">
        <v>8.9489398548911497E-2</v>
      </c>
      <c r="BI398">
        <v>4.4744699274455749E-2</v>
      </c>
      <c r="BJ398">
        <v>0</v>
      </c>
    </row>
    <row r="399" spans="1:62" x14ac:dyDescent="0.3">
      <c r="A399" s="2" t="s">
        <v>327</v>
      </c>
      <c r="B399" s="18" t="s">
        <v>1004</v>
      </c>
      <c r="C399" s="13"/>
      <c r="F399" s="2">
        <v>3.47</v>
      </c>
      <c r="G399" s="2" t="s">
        <v>319</v>
      </c>
      <c r="H399" s="9">
        <v>-1</v>
      </c>
      <c r="I399">
        <v>-1</v>
      </c>
      <c r="J399"/>
      <c r="K399" s="2">
        <v>4</v>
      </c>
      <c r="L399" s="25">
        <v>0</v>
      </c>
      <c r="M399">
        <v>0</v>
      </c>
      <c r="N399">
        <v>0</v>
      </c>
      <c r="O399" s="2">
        <v>3.72</v>
      </c>
      <c r="P399" s="2">
        <v>3.72</v>
      </c>
      <c r="Q399" s="2">
        <v>36.6</v>
      </c>
      <c r="R399" s="2" t="s">
        <v>519</v>
      </c>
      <c r="T399" s="25">
        <v>0</v>
      </c>
      <c r="U399"/>
      <c r="V399"/>
      <c r="W399">
        <v>0</v>
      </c>
      <c r="X399"/>
      <c r="Y399"/>
      <c r="Z399">
        <v>0</v>
      </c>
      <c r="AA399"/>
      <c r="AB399"/>
      <c r="AD399">
        <v>10</v>
      </c>
      <c r="AE399" s="55">
        <f t="shared" si="25"/>
        <v>506.4854400000001</v>
      </c>
      <c r="AF399" s="57">
        <v>0</v>
      </c>
      <c r="AG399" s="55">
        <v>0</v>
      </c>
      <c r="AH399" s="55">
        <v>0</v>
      </c>
      <c r="AI399" s="52">
        <f t="shared" si="26"/>
        <v>7.8975616752181454E-2</v>
      </c>
      <c r="AJ399" s="52"/>
      <c r="AK399" s="52"/>
      <c r="AL399" s="52"/>
      <c r="AM399" s="28">
        <v>1.5625</v>
      </c>
      <c r="AN399" s="28">
        <v>1.5</v>
      </c>
      <c r="AO399" s="28">
        <v>0.1875</v>
      </c>
      <c r="AP399" s="28">
        <v>0</v>
      </c>
      <c r="AQ399" s="28">
        <v>0.48076923076923078</v>
      </c>
      <c r="AR399" s="28">
        <v>0.46153846153846162</v>
      </c>
      <c r="AS399" s="28">
        <v>5.7692307692307702E-2</v>
      </c>
      <c r="AT399" s="28">
        <v>0</v>
      </c>
      <c r="AU399" s="25">
        <v>1.1000000000000001</v>
      </c>
      <c r="AV399" s="25">
        <v>3.44</v>
      </c>
      <c r="AW399" s="25">
        <v>2.34</v>
      </c>
      <c r="AX399" s="25">
        <v>2.5212500000000002</v>
      </c>
      <c r="AY399">
        <v>2.5212500000000002</v>
      </c>
      <c r="AZ399">
        <v>6.6859357538098134</v>
      </c>
      <c r="BD399">
        <v>3.9487808376090727E-2</v>
      </c>
      <c r="BH399">
        <v>7.8975616752181454E-2</v>
      </c>
      <c r="BI399">
        <v>3.9487808376090727E-2</v>
      </c>
      <c r="BJ399">
        <v>0</v>
      </c>
    </row>
    <row r="400" spans="1:62" x14ac:dyDescent="0.3">
      <c r="A400" s="2" t="s">
        <v>328</v>
      </c>
      <c r="B400" s="18" t="s">
        <v>1003</v>
      </c>
      <c r="C400" s="13"/>
      <c r="F400" s="2">
        <v>3.45</v>
      </c>
      <c r="G400" s="2" t="s">
        <v>319</v>
      </c>
      <c r="H400" s="9">
        <v>-1</v>
      </c>
      <c r="I400">
        <v>-1</v>
      </c>
      <c r="J400"/>
      <c r="K400" s="2">
        <v>4</v>
      </c>
      <c r="L400" s="25">
        <v>0</v>
      </c>
      <c r="M400">
        <v>0</v>
      </c>
      <c r="N400">
        <v>0</v>
      </c>
      <c r="O400" s="2">
        <v>3.73</v>
      </c>
      <c r="P400" s="2">
        <v>3.73</v>
      </c>
      <c r="Q400" s="2">
        <v>41.6</v>
      </c>
      <c r="R400" s="2" t="s">
        <v>519</v>
      </c>
      <c r="T400" s="25">
        <v>0</v>
      </c>
      <c r="U400"/>
      <c r="V400"/>
      <c r="W400">
        <v>0</v>
      </c>
      <c r="X400"/>
      <c r="Y400"/>
      <c r="Z400">
        <v>0</v>
      </c>
      <c r="AA400"/>
      <c r="AB400"/>
      <c r="AD400">
        <v>10</v>
      </c>
      <c r="AE400" s="55">
        <f t="shared" si="25"/>
        <v>578.77664000000004</v>
      </c>
      <c r="AF400" s="57">
        <v>0</v>
      </c>
      <c r="AG400" s="55">
        <v>0</v>
      </c>
      <c r="AH400" s="55">
        <v>0</v>
      </c>
      <c r="AI400" s="52">
        <f t="shared" si="26"/>
        <v>6.9111289633251263E-2</v>
      </c>
      <c r="AJ400" s="52"/>
      <c r="AK400" s="52"/>
      <c r="AL400" s="52"/>
      <c r="AM400" s="28">
        <v>1.5263157894736841</v>
      </c>
      <c r="AN400" s="28">
        <v>1.368421052631579</v>
      </c>
      <c r="AO400" s="28">
        <v>0.15789473684210531</v>
      </c>
      <c r="AP400" s="28">
        <v>0</v>
      </c>
      <c r="AQ400" s="28">
        <v>0.5</v>
      </c>
      <c r="AR400" s="28">
        <v>0.44827586206896552</v>
      </c>
      <c r="AS400" s="28">
        <v>5.1724137931034482E-2</v>
      </c>
      <c r="AT400" s="28">
        <v>0</v>
      </c>
      <c r="AU400" s="25">
        <v>1.1000000000000001</v>
      </c>
      <c r="AV400" s="25">
        <v>3.44</v>
      </c>
      <c r="AW400" s="25">
        <v>2.34</v>
      </c>
      <c r="AX400" s="25">
        <v>2.4889473684210528</v>
      </c>
      <c r="AY400">
        <v>2.4889473684210528</v>
      </c>
      <c r="AZ400">
        <v>6.7152213403504719</v>
      </c>
      <c r="BD400">
        <v>3.4555644816625632E-2</v>
      </c>
      <c r="BH400">
        <v>6.9111289633251263E-2</v>
      </c>
      <c r="BI400">
        <v>3.4555644816625632E-2</v>
      </c>
      <c r="BJ400">
        <v>0</v>
      </c>
    </row>
    <row r="401" spans="1:62" x14ac:dyDescent="0.3">
      <c r="A401" s="2" t="s">
        <v>329</v>
      </c>
      <c r="B401" s="18" t="s">
        <v>1002</v>
      </c>
      <c r="C401" s="13"/>
      <c r="F401" s="2">
        <v>3.45</v>
      </c>
      <c r="G401" s="2" t="s">
        <v>319</v>
      </c>
      <c r="H401" s="9">
        <v>-1</v>
      </c>
      <c r="I401">
        <v>-1</v>
      </c>
      <c r="J401"/>
      <c r="K401" s="2">
        <v>4</v>
      </c>
      <c r="L401" s="25">
        <v>0</v>
      </c>
      <c r="M401">
        <v>0</v>
      </c>
      <c r="N401">
        <v>0</v>
      </c>
      <c r="O401" s="2">
        <v>3.73</v>
      </c>
      <c r="P401" s="2">
        <v>3.73</v>
      </c>
      <c r="Q401" s="2">
        <v>45.6</v>
      </c>
      <c r="R401" s="2" t="s">
        <v>519</v>
      </c>
      <c r="T401" s="25">
        <v>0</v>
      </c>
      <c r="U401"/>
      <c r="V401"/>
      <c r="W401">
        <v>0</v>
      </c>
      <c r="X401"/>
      <c r="Y401"/>
      <c r="Z401">
        <v>0</v>
      </c>
      <c r="AA401"/>
      <c r="AB401"/>
      <c r="AD401">
        <v>10</v>
      </c>
      <c r="AE401" s="55">
        <f t="shared" si="25"/>
        <v>634.42824000000007</v>
      </c>
      <c r="AF401" s="57">
        <v>0</v>
      </c>
      <c r="AG401" s="55">
        <v>0</v>
      </c>
      <c r="AH401" s="55">
        <v>0</v>
      </c>
      <c r="AI401" s="52">
        <f t="shared" si="26"/>
        <v>6.3048895805773081E-2</v>
      </c>
      <c r="AJ401" s="52"/>
      <c r="AK401" s="52"/>
      <c r="AL401" s="52"/>
      <c r="AM401" s="28">
        <v>1.5</v>
      </c>
      <c r="AN401" s="28">
        <v>1.2727272727272729</v>
      </c>
      <c r="AO401" s="28">
        <v>0.13636363636363641</v>
      </c>
      <c r="AP401" s="28">
        <v>0</v>
      </c>
      <c r="AQ401" s="28">
        <v>0.515625</v>
      </c>
      <c r="AR401" s="28">
        <v>0.4375</v>
      </c>
      <c r="AS401" s="28">
        <v>4.6874999999999993E-2</v>
      </c>
      <c r="AT401" s="28">
        <v>0</v>
      </c>
      <c r="AU401" s="25">
        <v>1.1000000000000001</v>
      </c>
      <c r="AV401" s="25">
        <v>3.44</v>
      </c>
      <c r="AW401" s="25">
        <v>2.34</v>
      </c>
      <c r="AX401" s="25">
        <v>2.4654545454545449</v>
      </c>
      <c r="AY401">
        <v>2.4654545454545449</v>
      </c>
      <c r="AZ401">
        <v>6.7365199487436813</v>
      </c>
      <c r="BD401">
        <v>3.152444790288654E-2</v>
      </c>
      <c r="BH401">
        <v>6.3048895805773081E-2</v>
      </c>
      <c r="BI401">
        <v>3.152444790288654E-2</v>
      </c>
      <c r="BJ401">
        <v>0</v>
      </c>
    </row>
    <row r="402" spans="1:62" x14ac:dyDescent="0.3">
      <c r="A402" s="2" t="s">
        <v>330</v>
      </c>
      <c r="B402" s="18" t="s">
        <v>1001</v>
      </c>
      <c r="C402" s="13"/>
      <c r="F402" s="2">
        <v>3.46</v>
      </c>
      <c r="G402" s="2" t="s">
        <v>319</v>
      </c>
      <c r="H402" s="9">
        <v>-1</v>
      </c>
      <c r="I402">
        <v>-1</v>
      </c>
      <c r="J402"/>
      <c r="K402" s="2">
        <v>4</v>
      </c>
      <c r="L402" s="25">
        <v>0</v>
      </c>
      <c r="M402">
        <v>0</v>
      </c>
      <c r="N402">
        <v>0</v>
      </c>
      <c r="O402" s="2">
        <v>3.74</v>
      </c>
      <c r="P402" s="2">
        <v>3.74</v>
      </c>
      <c r="Q402" s="2">
        <v>55.4</v>
      </c>
      <c r="R402" s="2" t="s">
        <v>519</v>
      </c>
      <c r="T402" s="25">
        <v>0</v>
      </c>
      <c r="U402"/>
      <c r="V402"/>
      <c r="W402">
        <v>0</v>
      </c>
      <c r="X402"/>
      <c r="Y402"/>
      <c r="Z402">
        <v>0</v>
      </c>
      <c r="AA402"/>
      <c r="AB402"/>
      <c r="AD402">
        <v>10</v>
      </c>
      <c r="AE402" s="55">
        <f t="shared" si="25"/>
        <v>774.91304000000014</v>
      </c>
      <c r="AF402" s="57">
        <v>0</v>
      </c>
      <c r="AG402" s="55">
        <v>0</v>
      </c>
      <c r="AH402" s="55">
        <v>0</v>
      </c>
      <c r="AI402" s="52">
        <f t="shared" si="26"/>
        <v>5.1618695176429079E-2</v>
      </c>
      <c r="AJ402" s="52"/>
      <c r="AK402" s="52"/>
      <c r="AL402" s="52"/>
      <c r="AM402" s="28">
        <v>1.464285714285714</v>
      </c>
      <c r="AN402" s="28">
        <v>1.142857142857143</v>
      </c>
      <c r="AO402" s="28">
        <v>0.1071428571428571</v>
      </c>
      <c r="AP402" s="28">
        <v>0</v>
      </c>
      <c r="AQ402" s="28">
        <v>0.53947368421052622</v>
      </c>
      <c r="AR402" s="28">
        <v>0.42105263157894729</v>
      </c>
      <c r="AS402" s="28">
        <v>3.9473684210526307E-2</v>
      </c>
      <c r="AT402" s="28">
        <v>0</v>
      </c>
      <c r="AU402" s="25">
        <v>1.1000000000000001</v>
      </c>
      <c r="AV402" s="25">
        <v>3.44</v>
      </c>
      <c r="AW402" s="25">
        <v>2.34</v>
      </c>
      <c r="AX402" s="25">
        <v>2.4335714285714292</v>
      </c>
      <c r="AY402">
        <v>2.4335714285714292</v>
      </c>
      <c r="AZ402">
        <v>6.7654252029916062</v>
      </c>
      <c r="BD402">
        <v>2.5809347588214539E-2</v>
      </c>
      <c r="BH402">
        <v>5.1618695176429079E-2</v>
      </c>
      <c r="BI402">
        <v>2.5809347588214539E-2</v>
      </c>
      <c r="BJ402">
        <v>0</v>
      </c>
    </row>
    <row r="403" spans="1:62" x14ac:dyDescent="0.3">
      <c r="A403" s="2" t="s">
        <v>331</v>
      </c>
      <c r="B403" s="18" t="s">
        <v>1000</v>
      </c>
      <c r="C403" s="13"/>
      <c r="F403" s="2">
        <v>3.46</v>
      </c>
      <c r="G403" s="2" t="s">
        <v>319</v>
      </c>
      <c r="H403" s="9">
        <v>-1</v>
      </c>
      <c r="I403">
        <v>-1</v>
      </c>
      <c r="J403"/>
      <c r="K403" s="2">
        <v>4</v>
      </c>
      <c r="L403" s="25">
        <v>0</v>
      </c>
      <c r="M403">
        <v>0</v>
      </c>
      <c r="N403">
        <v>0</v>
      </c>
      <c r="O403" s="2">
        <v>3.73</v>
      </c>
      <c r="P403" s="2">
        <v>3.73</v>
      </c>
      <c r="Q403" s="2">
        <v>56.8</v>
      </c>
      <c r="R403" s="2" t="s">
        <v>519</v>
      </c>
      <c r="T403" s="25">
        <v>0</v>
      </c>
      <c r="U403"/>
      <c r="V403"/>
      <c r="W403">
        <v>0</v>
      </c>
      <c r="X403"/>
      <c r="Y403"/>
      <c r="Z403">
        <v>0</v>
      </c>
      <c r="AA403"/>
      <c r="AB403"/>
      <c r="AD403">
        <v>10</v>
      </c>
      <c r="AE403" s="55">
        <f t="shared" si="25"/>
        <v>790.25271999999995</v>
      </c>
      <c r="AF403" s="57">
        <v>0</v>
      </c>
      <c r="AG403" s="55">
        <v>0</v>
      </c>
      <c r="AH403" s="55">
        <v>0</v>
      </c>
      <c r="AI403" s="52">
        <f t="shared" si="26"/>
        <v>5.0616719168015016E-2</v>
      </c>
      <c r="AJ403" s="52"/>
      <c r="AK403" s="52"/>
      <c r="AL403" s="52"/>
      <c r="AM403" s="28">
        <v>1.4411764705882351</v>
      </c>
      <c r="AN403" s="28">
        <v>1.0588235294117649</v>
      </c>
      <c r="AO403" s="28">
        <v>8.8235294117647065E-2</v>
      </c>
      <c r="AP403" s="28">
        <v>0</v>
      </c>
      <c r="AQ403" s="28">
        <v>0.55681818181818177</v>
      </c>
      <c r="AR403" s="28">
        <v>0.40909090909090912</v>
      </c>
      <c r="AS403" s="28">
        <v>3.4090909090909088E-2</v>
      </c>
      <c r="AT403" s="28">
        <v>0</v>
      </c>
      <c r="AU403" s="25">
        <v>1.1000000000000001</v>
      </c>
      <c r="AV403" s="25">
        <v>3.44</v>
      </c>
      <c r="AW403" s="25">
        <v>2.34</v>
      </c>
      <c r="AX403" s="25">
        <v>2.4129411764705879</v>
      </c>
      <c r="AY403">
        <v>2.4129411764705888</v>
      </c>
      <c r="AZ403">
        <v>6.7841286027990879</v>
      </c>
      <c r="BD403">
        <v>2.5308359584007512E-2</v>
      </c>
      <c r="BH403">
        <v>5.0616719168015023E-2</v>
      </c>
      <c r="BI403">
        <v>2.5308359584007512E-2</v>
      </c>
      <c r="BJ403">
        <v>0</v>
      </c>
    </row>
    <row r="404" spans="1:62" x14ac:dyDescent="0.3">
      <c r="A404" s="2" t="s">
        <v>332</v>
      </c>
      <c r="B404" s="18" t="s">
        <v>833</v>
      </c>
      <c r="C404" s="13"/>
      <c r="F404" s="2">
        <v>3.48</v>
      </c>
      <c r="G404" s="2" t="s">
        <v>319</v>
      </c>
      <c r="H404" s="9">
        <v>-1</v>
      </c>
      <c r="I404">
        <v>-1</v>
      </c>
      <c r="J404"/>
      <c r="K404" s="2">
        <v>2</v>
      </c>
      <c r="L404" s="25">
        <v>0</v>
      </c>
      <c r="M404">
        <v>0</v>
      </c>
      <c r="N404">
        <v>2</v>
      </c>
      <c r="O404" s="2">
        <v>3.68</v>
      </c>
      <c r="P404" s="2">
        <v>3.68</v>
      </c>
      <c r="Q404" s="2">
        <v>12.1</v>
      </c>
      <c r="R404" s="2" t="s">
        <v>519</v>
      </c>
      <c r="T404" s="25">
        <v>0</v>
      </c>
      <c r="U404"/>
      <c r="V404"/>
      <c r="W404">
        <v>0</v>
      </c>
      <c r="X404"/>
      <c r="Y404"/>
      <c r="Z404">
        <v>3.6970999999999998</v>
      </c>
      <c r="AA404">
        <v>3.6970999999999998</v>
      </c>
      <c r="AB404">
        <v>12.0928</v>
      </c>
      <c r="AD404">
        <v>8</v>
      </c>
      <c r="AE404" s="55">
        <f t="shared" si="25"/>
        <v>163.86304000000001</v>
      </c>
      <c r="AF404" s="57">
        <v>0</v>
      </c>
      <c r="AG404" s="55">
        <v>0</v>
      </c>
      <c r="AH404" s="55">
        <v>165.3</v>
      </c>
      <c r="AI404" s="52">
        <f t="shared" si="26"/>
        <v>9.7642519020762694E-2</v>
      </c>
      <c r="AJ404" s="52"/>
      <c r="AK404" s="52"/>
      <c r="AL404" s="67">
        <f>N404*AD404/AH404</f>
        <v>9.6793708408953405E-2</v>
      </c>
      <c r="AM404" s="28">
        <v>1.857142857142857</v>
      </c>
      <c r="AN404" s="28">
        <v>2.285714285714286</v>
      </c>
      <c r="AO404" s="28">
        <v>0.2857142857142857</v>
      </c>
      <c r="AP404" s="28">
        <v>0.5714285714285714</v>
      </c>
      <c r="AQ404" s="28">
        <v>0.37142857142857139</v>
      </c>
      <c r="AR404" s="28">
        <v>0.45714285714285707</v>
      </c>
      <c r="AS404" s="28">
        <v>5.7142857142857141E-2</v>
      </c>
      <c r="AT404" s="28">
        <v>0.1142857142857143</v>
      </c>
      <c r="AU404" s="25">
        <v>1.1399999999999999</v>
      </c>
      <c r="AV404" s="25">
        <v>3.44</v>
      </c>
      <c r="AW404" s="25">
        <v>2.2999999999999998</v>
      </c>
      <c r="AX404" s="25">
        <v>2.6628571428571428</v>
      </c>
      <c r="AY404">
        <v>2.6628571428571428</v>
      </c>
      <c r="AZ404">
        <v>6.2282737214072856</v>
      </c>
      <c r="BD404">
        <v>4.8821259510381347E-2</v>
      </c>
      <c r="BG404">
        <v>4.8396854204476702E-2</v>
      </c>
      <c r="BH404">
        <v>9.7218113714858057E-2</v>
      </c>
      <c r="BI404">
        <v>4.8609056857429028E-2</v>
      </c>
      <c r="BJ404">
        <v>0</v>
      </c>
    </row>
    <row r="405" spans="1:62" x14ac:dyDescent="0.3">
      <c r="A405" s="2" t="s">
        <v>333</v>
      </c>
      <c r="B405" s="18" t="s">
        <v>1006</v>
      </c>
      <c r="C405" s="13"/>
      <c r="F405" s="2">
        <v>3.41</v>
      </c>
      <c r="G405" s="2" t="s">
        <v>319</v>
      </c>
      <c r="H405" s="9">
        <v>-1</v>
      </c>
      <c r="I405">
        <v>-1</v>
      </c>
      <c r="J405"/>
      <c r="K405" s="2">
        <v>4</v>
      </c>
      <c r="L405" s="25">
        <v>0</v>
      </c>
      <c r="M405">
        <v>0</v>
      </c>
      <c r="N405">
        <v>0</v>
      </c>
      <c r="O405" s="2">
        <v>3.74</v>
      </c>
      <c r="P405" s="2">
        <v>3.74</v>
      </c>
      <c r="Q405" s="2">
        <v>33.1</v>
      </c>
      <c r="R405" s="2" t="s">
        <v>519</v>
      </c>
      <c r="T405" s="25">
        <v>0</v>
      </c>
      <c r="U405"/>
      <c r="V405"/>
      <c r="W405">
        <v>0</v>
      </c>
      <c r="X405"/>
      <c r="Y405"/>
      <c r="Z405">
        <v>0</v>
      </c>
      <c r="AA405"/>
      <c r="AB405"/>
      <c r="AD405">
        <v>8</v>
      </c>
      <c r="AE405" s="55">
        <f t="shared" si="25"/>
        <v>462.9895600000001</v>
      </c>
      <c r="AF405" s="57">
        <v>0</v>
      </c>
      <c r="AG405" s="55">
        <v>0</v>
      </c>
      <c r="AH405" s="55">
        <v>0</v>
      </c>
      <c r="AI405" s="52">
        <f t="shared" si="26"/>
        <v>6.9116029311762431E-2</v>
      </c>
      <c r="AJ405" s="52"/>
      <c r="AK405" s="52"/>
      <c r="AL405" s="52"/>
      <c r="AM405" s="28">
        <v>1.571428571428571</v>
      </c>
      <c r="AN405" s="28">
        <v>1.5</v>
      </c>
      <c r="AO405" s="28">
        <v>0.14285714285714279</v>
      </c>
      <c r="AP405" s="28">
        <v>0.2857142857142857</v>
      </c>
      <c r="AQ405" s="28">
        <v>0.44897959183673469</v>
      </c>
      <c r="AR405" s="28">
        <v>0.42857142857142849</v>
      </c>
      <c r="AS405" s="28">
        <v>4.0816326530612242E-2</v>
      </c>
      <c r="AT405" s="28">
        <v>8.1632653061224483E-2</v>
      </c>
      <c r="AU405" s="25">
        <v>1.1399999999999999</v>
      </c>
      <c r="AV405" s="25">
        <v>3.44</v>
      </c>
      <c r="AW405" s="25">
        <v>2.2999999999999998</v>
      </c>
      <c r="AX405" s="25">
        <v>2.516428571428571</v>
      </c>
      <c r="AY405">
        <v>2.516428571428571</v>
      </c>
      <c r="AZ405">
        <v>6.6409830967932857</v>
      </c>
      <c r="BD405">
        <v>3.4558014655881222E-2</v>
      </c>
      <c r="BH405">
        <v>6.9116029311762431E-2</v>
      </c>
      <c r="BI405">
        <v>3.4558014655881222E-2</v>
      </c>
      <c r="BJ405">
        <v>0</v>
      </c>
    </row>
    <row r="406" spans="1:62" x14ac:dyDescent="0.3">
      <c r="A406" s="2" t="s">
        <v>334</v>
      </c>
      <c r="B406" s="18" t="s">
        <v>1007</v>
      </c>
      <c r="C406" s="13"/>
      <c r="F406" s="2">
        <v>3.5</v>
      </c>
      <c r="G406" s="2" t="s">
        <v>319</v>
      </c>
      <c r="H406" s="9">
        <v>-1</v>
      </c>
      <c r="I406">
        <v>-1</v>
      </c>
      <c r="J406"/>
      <c r="K406" s="2">
        <v>4</v>
      </c>
      <c r="L406" s="25">
        <v>0</v>
      </c>
      <c r="M406">
        <v>0</v>
      </c>
      <c r="N406">
        <v>0</v>
      </c>
      <c r="O406" s="2">
        <v>3.74</v>
      </c>
      <c r="P406" s="2">
        <v>3.74</v>
      </c>
      <c r="Q406" s="2">
        <v>37.6</v>
      </c>
      <c r="R406" s="2" t="s">
        <v>519</v>
      </c>
      <c r="T406" s="25">
        <v>0</v>
      </c>
      <c r="U406"/>
      <c r="V406"/>
      <c r="W406">
        <v>0</v>
      </c>
      <c r="X406"/>
      <c r="Y406"/>
      <c r="Z406">
        <v>0</v>
      </c>
      <c r="AA406"/>
      <c r="AB406"/>
      <c r="AD406">
        <v>8</v>
      </c>
      <c r="AE406" s="55">
        <f t="shared" si="25"/>
        <v>525.93376000000012</v>
      </c>
      <c r="AF406" s="57">
        <v>0</v>
      </c>
      <c r="AG406" s="55">
        <v>0</v>
      </c>
      <c r="AH406" s="55">
        <v>0</v>
      </c>
      <c r="AI406" s="52">
        <f t="shared" si="26"/>
        <v>6.0844164101578099E-2</v>
      </c>
      <c r="AJ406" s="52"/>
      <c r="AK406" s="52"/>
      <c r="AL406" s="52"/>
      <c r="AM406" s="28">
        <v>1.529411764705882</v>
      </c>
      <c r="AN406" s="28">
        <v>1.3529411764705881</v>
      </c>
      <c r="AO406" s="28">
        <v>0.1176470588235294</v>
      </c>
      <c r="AP406" s="28">
        <v>0.23529411764705879</v>
      </c>
      <c r="AQ406" s="28">
        <v>0.47272727272727272</v>
      </c>
      <c r="AR406" s="28">
        <v>0.41818181818181821</v>
      </c>
      <c r="AS406" s="28">
        <v>3.6363636363636362E-2</v>
      </c>
      <c r="AT406" s="28">
        <v>7.2727272727272724E-2</v>
      </c>
      <c r="AU406" s="25">
        <v>1.1399999999999999</v>
      </c>
      <c r="AV406" s="25">
        <v>3.44</v>
      </c>
      <c r="AW406" s="25">
        <v>2.2999999999999998</v>
      </c>
      <c r="AX406" s="25">
        <v>2.4811764705882351</v>
      </c>
      <c r="AY406">
        <v>2.481176470588236</v>
      </c>
      <c r="AZ406">
        <v>6.6816468682828232</v>
      </c>
      <c r="BD406">
        <v>3.042208205078905E-2</v>
      </c>
      <c r="BH406">
        <v>6.0844164101578099E-2</v>
      </c>
      <c r="BI406">
        <v>3.042208205078905E-2</v>
      </c>
      <c r="BJ406">
        <v>0</v>
      </c>
    </row>
    <row r="407" spans="1:62" x14ac:dyDescent="0.3">
      <c r="A407" s="2" t="s">
        <v>335</v>
      </c>
      <c r="B407" s="18" t="s">
        <v>1008</v>
      </c>
      <c r="C407" s="13"/>
      <c r="F407" s="2">
        <v>3.43</v>
      </c>
      <c r="G407" s="2" t="s">
        <v>319</v>
      </c>
      <c r="H407" s="9">
        <v>-1</v>
      </c>
      <c r="I407">
        <v>-1</v>
      </c>
      <c r="J407"/>
      <c r="K407" s="2">
        <v>4</v>
      </c>
      <c r="L407" s="25">
        <v>0</v>
      </c>
      <c r="M407">
        <v>0</v>
      </c>
      <c r="N407">
        <v>0</v>
      </c>
      <c r="O407" s="2">
        <v>3.74</v>
      </c>
      <c r="P407" s="2">
        <v>3.74</v>
      </c>
      <c r="Q407" s="2">
        <v>40.4</v>
      </c>
      <c r="R407" s="2" t="s">
        <v>519</v>
      </c>
      <c r="T407" s="25">
        <v>0</v>
      </c>
      <c r="U407"/>
      <c r="V407"/>
      <c r="W407">
        <v>0</v>
      </c>
      <c r="X407"/>
      <c r="Y407"/>
      <c r="Z407">
        <v>0</v>
      </c>
      <c r="AA407"/>
      <c r="AB407"/>
      <c r="AD407">
        <v>8</v>
      </c>
      <c r="AE407" s="55">
        <f t="shared" si="25"/>
        <v>565.09904000000006</v>
      </c>
      <c r="AF407" s="57">
        <v>0</v>
      </c>
      <c r="AG407" s="55">
        <v>0</v>
      </c>
      <c r="AH407" s="55">
        <v>0</v>
      </c>
      <c r="AI407" s="52">
        <f t="shared" si="26"/>
        <v>5.6627241837112298E-2</v>
      </c>
      <c r="AJ407" s="52"/>
      <c r="AK407" s="52"/>
      <c r="AL407" s="52"/>
      <c r="AM407" s="28">
        <v>1.5</v>
      </c>
      <c r="AN407" s="28">
        <v>1.25</v>
      </c>
      <c r="AO407" s="28">
        <v>0.1</v>
      </c>
      <c r="AP407" s="28">
        <v>0.2</v>
      </c>
      <c r="AQ407" s="28">
        <v>0.49180327868852458</v>
      </c>
      <c r="AR407" s="28">
        <v>0.4098360655737705</v>
      </c>
      <c r="AS407" s="28">
        <v>3.2786885245901641E-2</v>
      </c>
      <c r="AT407" s="28">
        <v>6.5573770491803282E-2</v>
      </c>
      <c r="AU407" s="25">
        <v>1.1399999999999999</v>
      </c>
      <c r="AV407" s="25">
        <v>3.44</v>
      </c>
      <c r="AW407" s="25">
        <v>2.2999999999999998</v>
      </c>
      <c r="AX407" s="25">
        <v>2.4565000000000001</v>
      </c>
      <c r="AY407">
        <v>2.4565000000000001</v>
      </c>
      <c r="AZ407">
        <v>6.7101115083254994</v>
      </c>
      <c r="BD407">
        <v>2.8313620918556149E-2</v>
      </c>
      <c r="BH407">
        <v>5.6627241837112298E-2</v>
      </c>
      <c r="BI407">
        <v>2.8313620918556149E-2</v>
      </c>
      <c r="BJ407">
        <v>0</v>
      </c>
    </row>
    <row r="408" spans="1:62" x14ac:dyDescent="0.3">
      <c r="A408" s="2" t="s">
        <v>336</v>
      </c>
      <c r="B408" s="18" t="s">
        <v>1009</v>
      </c>
      <c r="C408" s="13"/>
      <c r="F408" s="2">
        <v>3.5</v>
      </c>
      <c r="G408" s="2" t="s">
        <v>319</v>
      </c>
      <c r="H408" s="9">
        <v>-1</v>
      </c>
      <c r="I408">
        <v>-1</v>
      </c>
      <c r="J408"/>
      <c r="K408" s="2">
        <v>4</v>
      </c>
      <c r="L408" s="25">
        <v>0</v>
      </c>
      <c r="M408">
        <v>0</v>
      </c>
      <c r="N408">
        <v>0</v>
      </c>
      <c r="O408" s="2">
        <v>3.74</v>
      </c>
      <c r="P408" s="2">
        <v>3.74</v>
      </c>
      <c r="Q408" s="2">
        <v>47.7</v>
      </c>
      <c r="R408" s="2" t="s">
        <v>519</v>
      </c>
      <c r="T408" s="25">
        <v>0</v>
      </c>
      <c r="U408"/>
      <c r="V408"/>
      <c r="W408">
        <v>0</v>
      </c>
      <c r="X408"/>
      <c r="Y408"/>
      <c r="Z408">
        <v>0</v>
      </c>
      <c r="AA408"/>
      <c r="AB408"/>
      <c r="AD408">
        <v>8</v>
      </c>
      <c r="AE408" s="55">
        <f t="shared" si="25"/>
        <v>667.20852000000014</v>
      </c>
      <c r="AF408" s="57">
        <v>0</v>
      </c>
      <c r="AG408" s="55">
        <v>0</v>
      </c>
      <c r="AH408" s="55">
        <v>0</v>
      </c>
      <c r="AI408" s="52">
        <f t="shared" si="26"/>
        <v>4.796101824359196E-2</v>
      </c>
      <c r="AJ408" s="52"/>
      <c r="AK408" s="52"/>
      <c r="AL408" s="52"/>
      <c r="AM408" s="28">
        <v>1.4782608695652171</v>
      </c>
      <c r="AN408" s="28">
        <v>1.173913043478261</v>
      </c>
      <c r="AO408" s="28">
        <v>8.6956521739130432E-2</v>
      </c>
      <c r="AP408" s="28">
        <v>0.17391304347826089</v>
      </c>
      <c r="AQ408" s="28">
        <v>0.50746268656716409</v>
      </c>
      <c r="AR408" s="28">
        <v>0.40298507462686572</v>
      </c>
      <c r="AS408" s="28">
        <v>2.9850746268656719E-2</v>
      </c>
      <c r="AT408" s="28">
        <v>5.9701492537313432E-2</v>
      </c>
      <c r="AU408" s="25">
        <v>1.1399999999999999</v>
      </c>
      <c r="AV408" s="25">
        <v>3.44</v>
      </c>
      <c r="AW408" s="25">
        <v>2.2999999999999998</v>
      </c>
      <c r="AX408" s="25">
        <v>2.4382608695652168</v>
      </c>
      <c r="AY408">
        <v>2.4382608695652168</v>
      </c>
      <c r="AZ408">
        <v>6.7311505900961732</v>
      </c>
      <c r="BD408">
        <v>2.398050912179598E-2</v>
      </c>
      <c r="BH408">
        <v>4.796101824359196E-2</v>
      </c>
      <c r="BI408">
        <v>2.398050912179598E-2</v>
      </c>
      <c r="BJ408">
        <v>0</v>
      </c>
    </row>
    <row r="409" spans="1:62" x14ac:dyDescent="0.3">
      <c r="A409" s="2" t="s">
        <v>337</v>
      </c>
      <c r="B409" s="18" t="s">
        <v>1010</v>
      </c>
      <c r="C409" s="13"/>
      <c r="F409" s="2">
        <v>3.42</v>
      </c>
      <c r="G409" s="2" t="s">
        <v>319</v>
      </c>
      <c r="H409" s="9">
        <v>-1</v>
      </c>
      <c r="I409">
        <v>-1</v>
      </c>
      <c r="J409"/>
      <c r="K409" s="2">
        <v>4</v>
      </c>
      <c r="L409" s="25">
        <v>0</v>
      </c>
      <c r="M409">
        <v>0</v>
      </c>
      <c r="N409">
        <v>0</v>
      </c>
      <c r="O409" s="2">
        <v>3.72</v>
      </c>
      <c r="P409" s="2">
        <v>3.72</v>
      </c>
      <c r="Q409" s="2">
        <v>54</v>
      </c>
      <c r="R409" s="2" t="s">
        <v>519</v>
      </c>
      <c r="T409" s="25">
        <v>0</v>
      </c>
      <c r="U409"/>
      <c r="V409"/>
      <c r="W409">
        <v>0</v>
      </c>
      <c r="X409"/>
      <c r="Y409"/>
      <c r="Z409">
        <v>0</v>
      </c>
      <c r="AA409"/>
      <c r="AB409"/>
      <c r="AD409">
        <v>8</v>
      </c>
      <c r="AE409" s="55">
        <f t="shared" si="25"/>
        <v>747.2736000000001</v>
      </c>
      <c r="AF409" s="57">
        <v>0</v>
      </c>
      <c r="AG409" s="55">
        <v>0</v>
      </c>
      <c r="AH409" s="55">
        <v>0</v>
      </c>
      <c r="AI409" s="52">
        <f t="shared" si="26"/>
        <v>4.282233441673839E-2</v>
      </c>
      <c r="AJ409" s="52"/>
      <c r="AK409" s="52"/>
      <c r="AL409" s="52"/>
      <c r="AM409" s="28">
        <v>1.448275862068966</v>
      </c>
      <c r="AN409" s="28">
        <v>1.068965517241379</v>
      </c>
      <c r="AO409" s="28">
        <v>6.8965517241379309E-2</v>
      </c>
      <c r="AP409" s="28">
        <v>0.13793103448275859</v>
      </c>
      <c r="AQ409" s="28">
        <v>0.53164556962025322</v>
      </c>
      <c r="AR409" s="28">
        <v>0.39240506329113922</v>
      </c>
      <c r="AS409" s="28">
        <v>2.5316455696202531E-2</v>
      </c>
      <c r="AT409" s="28">
        <v>5.0632911392405063E-2</v>
      </c>
      <c r="AU409" s="25">
        <v>1.1399999999999999</v>
      </c>
      <c r="AV409" s="25">
        <v>3.44</v>
      </c>
      <c r="AW409" s="25">
        <v>2.2999999999999998</v>
      </c>
      <c r="AX409" s="25">
        <v>2.4131034482758622</v>
      </c>
      <c r="AY409">
        <v>2.4131034482758622</v>
      </c>
      <c r="AZ409">
        <v>6.7601700132281373</v>
      </c>
      <c r="BD409">
        <v>2.1411167208369199E-2</v>
      </c>
      <c r="BH409">
        <v>4.282233441673839E-2</v>
      </c>
      <c r="BI409">
        <v>2.1411167208369199E-2</v>
      </c>
      <c r="BJ409">
        <v>0</v>
      </c>
    </row>
    <row r="410" spans="1:62" x14ac:dyDescent="0.3">
      <c r="A410" s="2" t="s">
        <v>338</v>
      </c>
      <c r="B410" s="18" t="s">
        <v>1011</v>
      </c>
      <c r="C410" s="13"/>
      <c r="F410" s="2">
        <v>3.45</v>
      </c>
      <c r="G410" s="2" t="s">
        <v>319</v>
      </c>
      <c r="H410" s="9">
        <v>-1</v>
      </c>
      <c r="I410">
        <v>-1</v>
      </c>
      <c r="J410"/>
      <c r="K410" s="2">
        <v>4</v>
      </c>
      <c r="L410" s="25">
        <v>0</v>
      </c>
      <c r="M410">
        <v>0</v>
      </c>
      <c r="N410">
        <v>0</v>
      </c>
      <c r="O410" s="2">
        <v>3.81</v>
      </c>
      <c r="P410" s="2">
        <v>3.81</v>
      </c>
      <c r="Q410" s="2">
        <v>65.400000000000006</v>
      </c>
      <c r="R410" s="2" t="s">
        <v>519</v>
      </c>
      <c r="T410" s="25">
        <v>0</v>
      </c>
      <c r="U410"/>
      <c r="V410"/>
      <c r="W410">
        <v>0</v>
      </c>
      <c r="X410"/>
      <c r="Y410"/>
      <c r="Z410">
        <v>0</v>
      </c>
      <c r="AA410"/>
      <c r="AB410"/>
      <c r="AD410">
        <v>8</v>
      </c>
      <c r="AE410" s="55">
        <f t="shared" si="25"/>
        <v>949.3529400000001</v>
      </c>
      <c r="AF410" s="57">
        <v>0</v>
      </c>
      <c r="AG410" s="55">
        <v>0</v>
      </c>
      <c r="AH410" s="55">
        <v>0</v>
      </c>
      <c r="AI410" s="52">
        <f t="shared" si="26"/>
        <v>3.3707169011347876E-2</v>
      </c>
      <c r="AJ410" s="52"/>
      <c r="AK410" s="52"/>
      <c r="AL410" s="52"/>
      <c r="AM410" s="28">
        <v>1.428571428571429</v>
      </c>
      <c r="AN410" s="28">
        <v>1</v>
      </c>
      <c r="AO410" s="28">
        <v>5.7142857142857141E-2</v>
      </c>
      <c r="AP410" s="28">
        <v>0.1142857142857143</v>
      </c>
      <c r="AQ410" s="28">
        <v>0.5494505494505495</v>
      </c>
      <c r="AR410" s="28">
        <v>0.38461538461538458</v>
      </c>
      <c r="AS410" s="28">
        <v>2.197802197802198E-2</v>
      </c>
      <c r="AT410" s="28">
        <v>4.3956043956043953E-2</v>
      </c>
      <c r="AU410" s="25">
        <v>1.1399999999999999</v>
      </c>
      <c r="AV410" s="25">
        <v>3.44</v>
      </c>
      <c r="AW410" s="25">
        <v>2.2999999999999998</v>
      </c>
      <c r="AX410" s="25">
        <v>2.3965714285714288</v>
      </c>
      <c r="AY410">
        <v>2.3965714285714279</v>
      </c>
      <c r="AZ410">
        <v>6.7792399198577131</v>
      </c>
      <c r="BD410">
        <v>1.6853584505673942E-2</v>
      </c>
      <c r="BH410">
        <v>3.3707169011347883E-2</v>
      </c>
      <c r="BI410">
        <v>1.6853584505673942E-2</v>
      </c>
      <c r="BJ410">
        <v>0</v>
      </c>
    </row>
    <row r="411" spans="1:62" x14ac:dyDescent="0.3">
      <c r="A411" s="2" t="s">
        <v>339</v>
      </c>
      <c r="B411" s="18" t="s">
        <v>1012</v>
      </c>
      <c r="C411" s="13"/>
      <c r="F411" s="2">
        <v>3.42</v>
      </c>
      <c r="G411" s="2" t="s">
        <v>319</v>
      </c>
      <c r="H411" s="9">
        <v>-1</v>
      </c>
      <c r="I411">
        <v>-1</v>
      </c>
      <c r="J411"/>
      <c r="K411" s="2">
        <v>4</v>
      </c>
      <c r="L411" s="25">
        <v>0</v>
      </c>
      <c r="M411">
        <v>0</v>
      </c>
      <c r="N411">
        <v>0</v>
      </c>
      <c r="O411" s="2">
        <v>3.71</v>
      </c>
      <c r="P411" s="2">
        <v>3.71</v>
      </c>
      <c r="Q411" s="2">
        <v>32</v>
      </c>
      <c r="R411" s="2" t="s">
        <v>519</v>
      </c>
      <c r="T411" s="25">
        <v>0</v>
      </c>
      <c r="U411"/>
      <c r="V411"/>
      <c r="W411">
        <v>0</v>
      </c>
      <c r="X411"/>
      <c r="Y411"/>
      <c r="Z411">
        <v>0</v>
      </c>
      <c r="AA411"/>
      <c r="AB411"/>
      <c r="AD411">
        <v>10</v>
      </c>
      <c r="AE411" s="55">
        <f t="shared" si="25"/>
        <v>440.45119999999997</v>
      </c>
      <c r="AF411" s="57">
        <v>0</v>
      </c>
      <c r="AG411" s="55">
        <v>0</v>
      </c>
      <c r="AH411" s="55">
        <v>0</v>
      </c>
      <c r="AI411" s="52">
        <f t="shared" si="26"/>
        <v>9.0815963266759184E-2</v>
      </c>
      <c r="AJ411" s="52"/>
      <c r="AK411" s="52"/>
      <c r="AL411" s="52"/>
      <c r="AM411" s="28">
        <v>1.615384615384615</v>
      </c>
      <c r="AN411" s="28">
        <v>1.6923076923076921</v>
      </c>
      <c r="AO411" s="28">
        <v>0.15384615384615391</v>
      </c>
      <c r="AP411" s="28">
        <v>0.30769230769230771</v>
      </c>
      <c r="AQ411" s="28">
        <v>0.4285714285714286</v>
      </c>
      <c r="AR411" s="28">
        <v>0.44897959183673469</v>
      </c>
      <c r="AS411" s="28">
        <v>4.0816326530612249E-2</v>
      </c>
      <c r="AT411" s="28">
        <v>8.1632653061224497E-2</v>
      </c>
      <c r="AU411" s="25">
        <v>1.1399999999999999</v>
      </c>
      <c r="AV411" s="25">
        <v>3.44</v>
      </c>
      <c r="AW411" s="25">
        <v>2.2999999999999998</v>
      </c>
      <c r="AX411" s="25">
        <v>2.571538461538462</v>
      </c>
      <c r="AY411">
        <v>2.571538461538462</v>
      </c>
      <c r="AZ411">
        <v>6.623443246558077</v>
      </c>
      <c r="BD411">
        <v>4.5407981633379592E-2</v>
      </c>
      <c r="BH411">
        <v>9.0815963266759184E-2</v>
      </c>
      <c r="BI411">
        <v>4.5407981633379592E-2</v>
      </c>
      <c r="BJ411">
        <v>0</v>
      </c>
    </row>
    <row r="412" spans="1:62" x14ac:dyDescent="0.3">
      <c r="A412" s="2" t="s">
        <v>340</v>
      </c>
      <c r="B412" s="18" t="s">
        <v>1013</v>
      </c>
      <c r="C412" s="13"/>
      <c r="F412" s="2">
        <v>3.39</v>
      </c>
      <c r="G412" s="2" t="s">
        <v>319</v>
      </c>
      <c r="H412" s="9">
        <v>-1</v>
      </c>
      <c r="I412">
        <v>-1</v>
      </c>
      <c r="J412"/>
      <c r="K412" s="2">
        <v>4</v>
      </c>
      <c r="L412" s="25">
        <v>0</v>
      </c>
      <c r="M412">
        <v>0</v>
      </c>
      <c r="N412">
        <v>0</v>
      </c>
      <c r="O412" s="2">
        <v>3.7</v>
      </c>
      <c r="P412" s="2">
        <v>3.7</v>
      </c>
      <c r="Q412" s="2">
        <v>36.4</v>
      </c>
      <c r="R412" s="2" t="s">
        <v>519</v>
      </c>
      <c r="T412" s="25">
        <v>0</v>
      </c>
      <c r="U412"/>
      <c r="V412"/>
      <c r="W412">
        <v>0</v>
      </c>
      <c r="X412"/>
      <c r="Y412"/>
      <c r="Z412">
        <v>0</v>
      </c>
      <c r="AA412"/>
      <c r="AB412"/>
      <c r="AD412">
        <v>10</v>
      </c>
      <c r="AE412" s="55">
        <f t="shared" si="25"/>
        <v>498.31600000000003</v>
      </c>
      <c r="AF412" s="57">
        <v>0</v>
      </c>
      <c r="AG412" s="55">
        <v>0</v>
      </c>
      <c r="AH412" s="55">
        <v>0</v>
      </c>
      <c r="AI412" s="52">
        <f t="shared" si="26"/>
        <v>8.0270350540620802E-2</v>
      </c>
      <c r="AJ412" s="52"/>
      <c r="AK412" s="52"/>
      <c r="AL412" s="52"/>
      <c r="AM412" s="28">
        <v>1.5625</v>
      </c>
      <c r="AN412" s="28">
        <v>1.5</v>
      </c>
      <c r="AO412" s="28">
        <v>0.125</v>
      </c>
      <c r="AP412" s="28">
        <v>0.25</v>
      </c>
      <c r="AQ412" s="28">
        <v>0.45454545454545447</v>
      </c>
      <c r="AR412" s="28">
        <v>0.43636363636363629</v>
      </c>
      <c r="AS412" s="28">
        <v>3.6363636363636362E-2</v>
      </c>
      <c r="AT412" s="28">
        <v>7.2727272727272724E-2</v>
      </c>
      <c r="AU412" s="25">
        <v>1.1399999999999999</v>
      </c>
      <c r="AV412" s="25">
        <v>3.44</v>
      </c>
      <c r="AW412" s="25">
        <v>2.2999999999999998</v>
      </c>
      <c r="AX412" s="25">
        <v>2.5237500000000002</v>
      </c>
      <c r="AY412">
        <v>2.5237500000000002</v>
      </c>
      <c r="AZ412">
        <v>6.6699372256848122</v>
      </c>
      <c r="BD412">
        <v>4.0135175270310401E-2</v>
      </c>
      <c r="BH412">
        <v>8.0270350540620802E-2</v>
      </c>
      <c r="BI412">
        <v>4.0135175270310401E-2</v>
      </c>
      <c r="BJ412">
        <v>0</v>
      </c>
    </row>
    <row r="413" spans="1:62" x14ac:dyDescent="0.3">
      <c r="A413" s="2" t="s">
        <v>341</v>
      </c>
      <c r="B413" s="18" t="s">
        <v>1014</v>
      </c>
      <c r="C413" s="13"/>
      <c r="F413" s="2">
        <v>3.45</v>
      </c>
      <c r="G413" s="2" t="s">
        <v>319</v>
      </c>
      <c r="H413" s="9">
        <v>-1</v>
      </c>
      <c r="I413">
        <v>-1</v>
      </c>
      <c r="J413"/>
      <c r="K413" s="2">
        <v>4</v>
      </c>
      <c r="L413" s="25">
        <v>0</v>
      </c>
      <c r="M413">
        <v>0</v>
      </c>
      <c r="N413">
        <v>0</v>
      </c>
      <c r="O413" s="2">
        <v>3.72</v>
      </c>
      <c r="P413" s="2">
        <v>3.72</v>
      </c>
      <c r="Q413" s="2">
        <v>41.1</v>
      </c>
      <c r="R413" s="2" t="s">
        <v>519</v>
      </c>
      <c r="T413" s="25">
        <v>0</v>
      </c>
      <c r="U413"/>
      <c r="V413"/>
      <c r="W413">
        <v>0</v>
      </c>
      <c r="X413"/>
      <c r="Y413"/>
      <c r="Z413">
        <v>0</v>
      </c>
      <c r="AA413"/>
      <c r="AB413"/>
      <c r="AD413">
        <v>10</v>
      </c>
      <c r="AE413" s="55">
        <f t="shared" si="25"/>
        <v>568.75824000000011</v>
      </c>
      <c r="AF413" s="57">
        <v>0</v>
      </c>
      <c r="AG413" s="55">
        <v>0</v>
      </c>
      <c r="AH413" s="55">
        <v>0</v>
      </c>
      <c r="AI413" s="52">
        <f t="shared" si="26"/>
        <v>7.0328651414351365E-2</v>
      </c>
      <c r="AJ413" s="52"/>
      <c r="AK413" s="52"/>
      <c r="AL413" s="52"/>
      <c r="AM413" s="28">
        <v>1.5263157894736841</v>
      </c>
      <c r="AN413" s="28">
        <v>1.368421052631579</v>
      </c>
      <c r="AO413" s="28">
        <v>0.10526315789473679</v>
      </c>
      <c r="AP413" s="28">
        <v>0.2105263157894737</v>
      </c>
      <c r="AQ413" s="28">
        <v>0.47540983606557369</v>
      </c>
      <c r="AR413" s="28">
        <v>0.42622950819672129</v>
      </c>
      <c r="AS413" s="28">
        <v>3.2786885245901627E-2</v>
      </c>
      <c r="AT413" s="28">
        <v>6.5573770491803268E-2</v>
      </c>
      <c r="AU413" s="25">
        <v>1.1399999999999999</v>
      </c>
      <c r="AV413" s="25">
        <v>3.44</v>
      </c>
      <c r="AW413" s="25">
        <v>2.2999999999999998</v>
      </c>
      <c r="AX413" s="25">
        <v>2.4910526315789472</v>
      </c>
      <c r="AY413">
        <v>2.4910526315789481</v>
      </c>
      <c r="AZ413">
        <v>6.7017488956136306</v>
      </c>
      <c r="BD413">
        <v>3.5164325707175682E-2</v>
      </c>
      <c r="BH413">
        <v>7.0328651414351365E-2</v>
      </c>
      <c r="BI413">
        <v>3.5164325707175682E-2</v>
      </c>
      <c r="BJ413">
        <v>0</v>
      </c>
    </row>
    <row r="414" spans="1:62" x14ac:dyDescent="0.3">
      <c r="A414" s="2" t="s">
        <v>342</v>
      </c>
      <c r="B414" s="18" t="s">
        <v>1015</v>
      </c>
      <c r="C414" s="13"/>
      <c r="F414" s="2">
        <v>3.45</v>
      </c>
      <c r="G414" s="2" t="s">
        <v>319</v>
      </c>
      <c r="H414" s="9">
        <v>-1</v>
      </c>
      <c r="I414">
        <v>-1</v>
      </c>
      <c r="J414"/>
      <c r="K414" s="2">
        <v>4</v>
      </c>
      <c r="L414" s="25">
        <v>0</v>
      </c>
      <c r="M414">
        <v>0</v>
      </c>
      <c r="N414">
        <v>0</v>
      </c>
      <c r="O414" s="2">
        <v>3.71</v>
      </c>
      <c r="P414" s="2">
        <v>3.71</v>
      </c>
      <c r="Q414" s="2">
        <v>44.5</v>
      </c>
      <c r="R414" s="2" t="s">
        <v>519</v>
      </c>
      <c r="T414" s="25">
        <v>0</v>
      </c>
      <c r="U414"/>
      <c r="V414"/>
      <c r="W414">
        <v>0</v>
      </c>
      <c r="X414"/>
      <c r="Y414"/>
      <c r="Z414">
        <v>0</v>
      </c>
      <c r="AA414"/>
      <c r="AB414"/>
      <c r="AD414">
        <v>10</v>
      </c>
      <c r="AE414" s="55">
        <f t="shared" si="25"/>
        <v>612.50244999999995</v>
      </c>
      <c r="AF414" s="57">
        <v>0</v>
      </c>
      <c r="AG414" s="55">
        <v>0</v>
      </c>
      <c r="AH414" s="55">
        <v>0</v>
      </c>
      <c r="AI414" s="52">
        <f t="shared" si="26"/>
        <v>6.5305861225534695E-2</v>
      </c>
      <c r="AJ414" s="52"/>
      <c r="AK414" s="52"/>
      <c r="AL414" s="52"/>
      <c r="AM414" s="28">
        <v>1.5</v>
      </c>
      <c r="AN414" s="28">
        <v>1.2727272727272729</v>
      </c>
      <c r="AO414" s="28">
        <v>9.0909090909090912E-2</v>
      </c>
      <c r="AP414" s="28">
        <v>0.1818181818181818</v>
      </c>
      <c r="AQ414" s="28">
        <v>0.49253731343283591</v>
      </c>
      <c r="AR414" s="28">
        <v>0.41791044776119401</v>
      </c>
      <c r="AS414" s="28">
        <v>2.9850746268656719E-2</v>
      </c>
      <c r="AT414" s="28">
        <v>5.9701492537313439E-2</v>
      </c>
      <c r="AU414" s="25">
        <v>1.1399999999999999</v>
      </c>
      <c r="AV414" s="25">
        <v>3.44</v>
      </c>
      <c r="AW414" s="25">
        <v>2.2999999999999998</v>
      </c>
      <c r="AX414" s="25">
        <v>2.4672727272727282</v>
      </c>
      <c r="AY414">
        <v>2.4672727272727268</v>
      </c>
      <c r="AZ414">
        <v>6.7248846555618629</v>
      </c>
      <c r="BD414">
        <v>3.2652930612767347E-2</v>
      </c>
      <c r="BH414">
        <v>6.5305861225534695E-2</v>
      </c>
      <c r="BI414">
        <v>3.2652930612767347E-2</v>
      </c>
      <c r="BJ414">
        <v>0</v>
      </c>
    </row>
    <row r="415" spans="1:62" x14ac:dyDescent="0.3">
      <c r="A415" s="2" t="s">
        <v>343</v>
      </c>
      <c r="B415" s="18" t="s">
        <v>1016</v>
      </c>
      <c r="C415" s="13"/>
      <c r="F415" s="2">
        <v>3.41</v>
      </c>
      <c r="G415" s="2" t="s">
        <v>319</v>
      </c>
      <c r="H415" s="9">
        <v>-1</v>
      </c>
      <c r="I415">
        <v>-1</v>
      </c>
      <c r="J415"/>
      <c r="K415" s="2">
        <v>4</v>
      </c>
      <c r="L415" s="25">
        <v>0</v>
      </c>
      <c r="M415">
        <v>0</v>
      </c>
      <c r="N415">
        <v>0</v>
      </c>
      <c r="O415" s="2">
        <v>3.71</v>
      </c>
      <c r="P415" s="2">
        <v>3.71</v>
      </c>
      <c r="Q415" s="2">
        <v>54.9</v>
      </c>
      <c r="R415" s="2" t="s">
        <v>519</v>
      </c>
      <c r="T415" s="25">
        <v>0</v>
      </c>
      <c r="U415" s="25"/>
      <c r="V415" s="25"/>
      <c r="W415">
        <v>0</v>
      </c>
      <c r="X415"/>
      <c r="Y415"/>
      <c r="Z415">
        <v>0</v>
      </c>
      <c r="AA415"/>
      <c r="AB415"/>
      <c r="AD415">
        <v>10</v>
      </c>
      <c r="AE415" s="55">
        <f t="shared" si="25"/>
        <v>755.64908999999989</v>
      </c>
      <c r="AF415" s="57">
        <v>0</v>
      </c>
      <c r="AG415" s="55">
        <v>0</v>
      </c>
      <c r="AH415" s="55">
        <v>0</v>
      </c>
      <c r="AI415" s="52">
        <f t="shared" si="26"/>
        <v>5.2934623397746704E-2</v>
      </c>
      <c r="AJ415" s="51"/>
      <c r="AK415" s="52"/>
      <c r="AL415" s="52"/>
      <c r="AM415" s="28">
        <v>1.464285714285714</v>
      </c>
      <c r="AN415" s="28">
        <v>1.142857142857143</v>
      </c>
      <c r="AO415" s="28">
        <v>7.1428571428571425E-2</v>
      </c>
      <c r="AP415" s="28">
        <v>0.14285714285714279</v>
      </c>
      <c r="AQ415" s="28">
        <v>0.51898734177215178</v>
      </c>
      <c r="AR415" s="28">
        <v>0.40506329113924039</v>
      </c>
      <c r="AS415" s="28">
        <v>2.5316455696202531E-2</v>
      </c>
      <c r="AT415" s="28">
        <v>5.0632911392405063E-2</v>
      </c>
      <c r="AU415" s="25">
        <v>1.1399999999999999</v>
      </c>
      <c r="AV415" s="25">
        <v>3.44</v>
      </c>
      <c r="AW415" s="25">
        <v>2.2999999999999998</v>
      </c>
      <c r="AX415" s="25">
        <v>2.4350000000000001</v>
      </c>
      <c r="AY415">
        <v>2.4350000000000001</v>
      </c>
      <c r="AZ415">
        <v>6.7562831869201787</v>
      </c>
      <c r="BD415">
        <v>2.6467311698873348E-2</v>
      </c>
      <c r="BH415">
        <v>5.2934623397746697E-2</v>
      </c>
      <c r="BI415">
        <v>2.6467311698873348E-2</v>
      </c>
      <c r="BJ415">
        <v>0</v>
      </c>
    </row>
    <row r="416" spans="1:62" x14ac:dyDescent="0.3">
      <c r="A416" s="2" t="s">
        <v>344</v>
      </c>
      <c r="B416" s="18" t="s">
        <v>1017</v>
      </c>
      <c r="C416" s="13"/>
      <c r="F416" s="2">
        <v>3.41</v>
      </c>
      <c r="G416" s="2" t="s">
        <v>319</v>
      </c>
      <c r="H416" s="9">
        <v>-1</v>
      </c>
      <c r="I416">
        <v>-1</v>
      </c>
      <c r="J416"/>
      <c r="K416" s="2">
        <v>4</v>
      </c>
      <c r="L416" s="25">
        <v>0</v>
      </c>
      <c r="M416">
        <v>0</v>
      </c>
      <c r="N416">
        <v>0</v>
      </c>
      <c r="O416" s="2">
        <v>3.71</v>
      </c>
      <c r="P416" s="2">
        <v>3.71</v>
      </c>
      <c r="Q416" s="2">
        <v>58</v>
      </c>
      <c r="R416" s="2" t="s">
        <v>519</v>
      </c>
      <c r="T416" s="25">
        <v>0</v>
      </c>
      <c r="U416" s="25"/>
      <c r="V416" s="25"/>
      <c r="W416">
        <v>0</v>
      </c>
      <c r="X416"/>
      <c r="Y416"/>
      <c r="Z416">
        <v>0</v>
      </c>
      <c r="AA416"/>
      <c r="AB416"/>
      <c r="AD416">
        <v>10</v>
      </c>
      <c r="AE416" s="55">
        <f t="shared" si="25"/>
        <v>798.31779999999992</v>
      </c>
      <c r="AF416" s="57">
        <v>0</v>
      </c>
      <c r="AG416" s="55">
        <v>0</v>
      </c>
      <c r="AH416" s="55">
        <v>0</v>
      </c>
      <c r="AI416" s="52">
        <f t="shared" si="26"/>
        <v>5.010535904372921E-2</v>
      </c>
      <c r="AJ416" s="51"/>
      <c r="AK416" s="52"/>
      <c r="AL416" s="52"/>
      <c r="AM416" s="28">
        <v>1.4411764705882351</v>
      </c>
      <c r="AN416" s="28">
        <v>1.0588235294117649</v>
      </c>
      <c r="AO416" s="28">
        <v>5.8823529411764712E-2</v>
      </c>
      <c r="AP416" s="28">
        <v>0.1176470588235294</v>
      </c>
      <c r="AQ416" s="28">
        <v>0.53846153846153855</v>
      </c>
      <c r="AR416" s="28">
        <v>0.39560439560439559</v>
      </c>
      <c r="AS416" s="28">
        <v>2.197802197802198E-2</v>
      </c>
      <c r="AT416" s="28">
        <v>4.3956043956043959E-2</v>
      </c>
      <c r="AU416" s="25">
        <v>1.1399999999999999</v>
      </c>
      <c r="AV416" s="25">
        <v>3.44</v>
      </c>
      <c r="AW416" s="25">
        <v>2.2999999999999998</v>
      </c>
      <c r="AX416" s="25">
        <v>2.4141176470588239</v>
      </c>
      <c r="AY416">
        <v>2.4141176470588239</v>
      </c>
      <c r="AZ416">
        <v>6.776599883681441</v>
      </c>
      <c r="BD416">
        <v>2.5052679521864601E-2</v>
      </c>
      <c r="BH416">
        <v>5.010535904372921E-2</v>
      </c>
      <c r="BI416">
        <v>2.5052679521864601E-2</v>
      </c>
      <c r="BJ416">
        <v>0</v>
      </c>
    </row>
    <row r="417" spans="1:62" x14ac:dyDescent="0.3">
      <c r="A417" s="2" t="s">
        <v>151</v>
      </c>
      <c r="B417" s="13" t="s">
        <v>774</v>
      </c>
      <c r="C417" s="13"/>
      <c r="F417" s="2">
        <v>3.26</v>
      </c>
      <c r="G417" s="2" t="s">
        <v>345</v>
      </c>
      <c r="H417" s="9">
        <v>-1</v>
      </c>
      <c r="I417">
        <v>-1</v>
      </c>
      <c r="J417"/>
      <c r="L417" s="25">
        <v>0</v>
      </c>
      <c r="M417">
        <v>0</v>
      </c>
      <c r="N417">
        <v>0</v>
      </c>
      <c r="O417" s="2">
        <v>3.89</v>
      </c>
      <c r="P417" s="2">
        <v>3.89</v>
      </c>
      <c r="Q417" s="2">
        <v>16.399999999999999</v>
      </c>
      <c r="T417" s="25">
        <v>0</v>
      </c>
      <c r="U417" s="25"/>
      <c r="V417" s="25"/>
      <c r="W417">
        <v>0</v>
      </c>
      <c r="X417"/>
      <c r="Y417"/>
      <c r="Z417">
        <v>0</v>
      </c>
      <c r="AA417"/>
      <c r="AB417"/>
      <c r="AD417">
        <v>20</v>
      </c>
      <c r="AE417" s="55">
        <f t="shared" si="25"/>
        <v>248.16643999999999</v>
      </c>
      <c r="AF417" s="57">
        <v>0</v>
      </c>
      <c r="AG417" s="55">
        <v>0</v>
      </c>
      <c r="AH417" s="55">
        <v>0</v>
      </c>
      <c r="AI417" s="52"/>
      <c r="AJ417" s="51"/>
      <c r="AK417" s="52"/>
      <c r="AL417" s="52"/>
      <c r="AM417" s="28">
        <v>1.75</v>
      </c>
      <c r="AN417" s="28">
        <v>2.5</v>
      </c>
      <c r="AO417" s="28">
        <v>0.75</v>
      </c>
      <c r="AP417" s="28">
        <v>0</v>
      </c>
      <c r="AQ417" s="28">
        <v>0.35</v>
      </c>
      <c r="AR417" s="28">
        <v>0.5</v>
      </c>
      <c r="AS417" s="28">
        <v>0.15</v>
      </c>
      <c r="AT417" s="28">
        <v>0</v>
      </c>
      <c r="AU417" s="25">
        <v>0.95</v>
      </c>
      <c r="AV417" s="25">
        <v>3.44</v>
      </c>
      <c r="AW417" s="25">
        <v>2.4900000000000002</v>
      </c>
      <c r="AX417" s="25">
        <v>2.7062499999999998</v>
      </c>
      <c r="AY417">
        <v>2.7062499999999998</v>
      </c>
      <c r="AZ417">
        <v>6.2396022968656872</v>
      </c>
      <c r="BH417">
        <v>0</v>
      </c>
      <c r="BI417">
        <v>0</v>
      </c>
      <c r="BJ417">
        <v>0</v>
      </c>
    </row>
    <row r="418" spans="1:62" x14ac:dyDescent="0.3">
      <c r="A418" s="2" t="s">
        <v>63</v>
      </c>
      <c r="B418" s="13" t="s">
        <v>773</v>
      </c>
      <c r="C418" s="13"/>
      <c r="F418" s="2">
        <v>3.5</v>
      </c>
      <c r="G418" s="2" t="s">
        <v>345</v>
      </c>
      <c r="H418" s="9">
        <v>-1</v>
      </c>
      <c r="I418">
        <v>-1</v>
      </c>
      <c r="J418"/>
      <c r="K418" s="2">
        <v>1</v>
      </c>
      <c r="L418" s="25">
        <v>0</v>
      </c>
      <c r="M418">
        <v>0</v>
      </c>
      <c r="N418">
        <v>0</v>
      </c>
      <c r="O418" s="2">
        <v>3.82</v>
      </c>
      <c r="P418" s="2">
        <v>3.82</v>
      </c>
      <c r="Q418" s="2">
        <v>16</v>
      </c>
      <c r="T418" s="25">
        <v>0</v>
      </c>
      <c r="U418" s="25"/>
      <c r="V418" s="25"/>
      <c r="W418">
        <v>0</v>
      </c>
      <c r="X418"/>
      <c r="Y418"/>
      <c r="Z418">
        <v>0</v>
      </c>
      <c r="AA418"/>
      <c r="AB418"/>
      <c r="AD418">
        <v>20</v>
      </c>
      <c r="AE418" s="55">
        <f t="shared" si="25"/>
        <v>233.47839999999999</v>
      </c>
      <c r="AF418" s="57">
        <v>0</v>
      </c>
      <c r="AG418" s="55">
        <v>0</v>
      </c>
      <c r="AH418" s="55">
        <v>0</v>
      </c>
      <c r="AI418" s="52">
        <f t="shared" si="26"/>
        <v>8.5661029028809524E-2</v>
      </c>
      <c r="AJ418" s="51"/>
      <c r="AK418" s="52"/>
      <c r="AL418" s="52"/>
      <c r="AM418" s="28">
        <v>1.75</v>
      </c>
      <c r="AN418" s="28">
        <v>2.5</v>
      </c>
      <c r="AO418" s="28">
        <v>0.75</v>
      </c>
      <c r="AP418" s="28">
        <v>0</v>
      </c>
      <c r="AQ418" s="28">
        <v>0.35</v>
      </c>
      <c r="AR418" s="28">
        <v>0.5</v>
      </c>
      <c r="AS418" s="28">
        <v>0.15</v>
      </c>
      <c r="AT418" s="28">
        <v>0</v>
      </c>
      <c r="AU418" s="25">
        <v>1</v>
      </c>
      <c r="AV418" s="25">
        <v>3.44</v>
      </c>
      <c r="AW418" s="25">
        <v>2.44</v>
      </c>
      <c r="AX418" s="25">
        <v>2.7124999999999999</v>
      </c>
      <c r="AY418">
        <v>2.7124999999999999</v>
      </c>
      <c r="AZ418">
        <v>6.264025610615688</v>
      </c>
      <c r="BD418">
        <v>4.2830514514404762E-2</v>
      </c>
      <c r="BH418">
        <v>8.5661029028809524E-2</v>
      </c>
      <c r="BI418">
        <v>4.2830514514404762E-2</v>
      </c>
      <c r="BJ418">
        <v>0</v>
      </c>
    </row>
    <row r="419" spans="1:62" x14ac:dyDescent="0.3">
      <c r="A419" s="2" t="s">
        <v>4</v>
      </c>
      <c r="B419" s="13" t="s">
        <v>689</v>
      </c>
      <c r="C419" s="13"/>
      <c r="F419" s="2">
        <v>3.54</v>
      </c>
      <c r="G419" s="2" t="s">
        <v>352</v>
      </c>
      <c r="H419" s="9" t="s">
        <v>527</v>
      </c>
      <c r="I419" t="s">
        <v>609</v>
      </c>
      <c r="J419"/>
      <c r="K419" s="2">
        <v>2</v>
      </c>
      <c r="L419" s="25">
        <v>4</v>
      </c>
      <c r="M419">
        <v>4</v>
      </c>
      <c r="N419">
        <v>0</v>
      </c>
      <c r="O419" s="2">
        <v>3.86</v>
      </c>
      <c r="P419" s="2">
        <v>3.86</v>
      </c>
      <c r="Q419" s="2">
        <v>29.4</v>
      </c>
      <c r="T419" s="25">
        <v>7.8084429999999996</v>
      </c>
      <c r="U419" s="25">
        <v>7.8548809999999998</v>
      </c>
      <c r="V419" s="25">
        <v>15.19056011</v>
      </c>
      <c r="W419">
        <v>3.8801999999999999</v>
      </c>
      <c r="X419">
        <v>29.507999999999999</v>
      </c>
      <c r="Y419">
        <v>7.7140000000000004</v>
      </c>
      <c r="Z419">
        <v>0</v>
      </c>
      <c r="AA419"/>
      <c r="AB419"/>
      <c r="AD419">
        <v>20</v>
      </c>
      <c r="AE419" s="55">
        <f t="shared" si="25"/>
        <v>438.04823999999996</v>
      </c>
      <c r="AF419" s="57">
        <v>924.74694800021894</v>
      </c>
      <c r="AG419" s="55">
        <v>883.22940750240002</v>
      </c>
      <c r="AH419" s="55">
        <v>0</v>
      </c>
      <c r="AI419" s="52">
        <f t="shared" si="26"/>
        <v>9.1314143848631832E-2</v>
      </c>
      <c r="AJ419" s="51">
        <v>8.6510153045653584E-2</v>
      </c>
      <c r="AK419" s="52">
        <v>9.0576694254581439E-2</v>
      </c>
      <c r="AL419" s="52"/>
      <c r="AM419" s="28">
        <v>1.75</v>
      </c>
      <c r="AN419" s="28">
        <v>2.5</v>
      </c>
      <c r="AO419" s="28">
        <v>0.75</v>
      </c>
      <c r="AP419" s="28">
        <v>0</v>
      </c>
      <c r="AQ419" s="28">
        <v>0.35</v>
      </c>
      <c r="AR419" s="28">
        <v>0.5</v>
      </c>
      <c r="AS419" s="28">
        <v>0.15</v>
      </c>
      <c r="AT419" s="28">
        <v>0</v>
      </c>
      <c r="AU419" s="25">
        <v>0.82</v>
      </c>
      <c r="AV419" s="25">
        <v>3.44</v>
      </c>
      <c r="AW419" s="25">
        <v>2.62</v>
      </c>
      <c r="AX419" s="25">
        <v>2.6262500000000002</v>
      </c>
      <c r="AY419">
        <v>2.6262500000000002</v>
      </c>
      <c r="AZ419">
        <v>5.96680968125</v>
      </c>
      <c r="BA419" s="75">
        <v>0.50555206026575039</v>
      </c>
      <c r="BB419" s="75">
        <v>0</v>
      </c>
      <c r="BD419">
        <v>4.5657071924315923E-2</v>
      </c>
      <c r="BE419">
        <v>4.3255076522826792E-2</v>
      </c>
      <c r="BF419">
        <v>4.5288347127290719E-2</v>
      </c>
      <c r="BH419">
        <v>8.9466997049622285E-2</v>
      </c>
      <c r="BI419">
        <v>4.4733498524811142E-2</v>
      </c>
      <c r="BJ419">
        <v>0.2527760301328752</v>
      </c>
    </row>
    <row r="420" spans="1:62" x14ac:dyDescent="0.3">
      <c r="A420" s="2" t="s">
        <v>63</v>
      </c>
      <c r="B420" s="13" t="s">
        <v>773</v>
      </c>
      <c r="C420" s="13"/>
      <c r="F420" s="2">
        <v>3.5</v>
      </c>
      <c r="G420" s="2" t="s">
        <v>352</v>
      </c>
      <c r="H420" s="9">
        <v>-1</v>
      </c>
      <c r="I420">
        <v>-1</v>
      </c>
      <c r="J420"/>
      <c r="K420" s="2">
        <v>1</v>
      </c>
      <c r="L420" s="25">
        <v>0</v>
      </c>
      <c r="M420">
        <v>0</v>
      </c>
      <c r="N420">
        <v>0</v>
      </c>
      <c r="O420" s="2">
        <v>3.82</v>
      </c>
      <c r="P420" s="2">
        <v>3.82</v>
      </c>
      <c r="Q420" s="2">
        <v>16</v>
      </c>
      <c r="T420" s="25">
        <v>0</v>
      </c>
      <c r="U420" s="25"/>
      <c r="V420" s="25"/>
      <c r="W420">
        <v>0</v>
      </c>
      <c r="X420"/>
      <c r="Y420"/>
      <c r="Z420">
        <v>0</v>
      </c>
      <c r="AA420"/>
      <c r="AB420"/>
      <c r="AD420">
        <v>20</v>
      </c>
      <c r="AE420" s="55">
        <f t="shared" si="25"/>
        <v>233.47839999999999</v>
      </c>
      <c r="AF420" s="57">
        <v>0</v>
      </c>
      <c r="AG420" s="55">
        <v>0</v>
      </c>
      <c r="AH420" s="55">
        <v>0</v>
      </c>
      <c r="AI420" s="52">
        <f t="shared" si="26"/>
        <v>8.5661029028809524E-2</v>
      </c>
      <c r="AJ420" s="51"/>
      <c r="AK420" s="52"/>
      <c r="AL420" s="52"/>
      <c r="AM420" s="28">
        <v>1.75</v>
      </c>
      <c r="AN420" s="28">
        <v>2.5</v>
      </c>
      <c r="AO420" s="28">
        <v>0.75</v>
      </c>
      <c r="AP420" s="28">
        <v>0</v>
      </c>
      <c r="AQ420" s="28">
        <v>0.35</v>
      </c>
      <c r="AR420" s="28">
        <v>0.5</v>
      </c>
      <c r="AS420" s="28">
        <v>0.15</v>
      </c>
      <c r="AT420" s="28">
        <v>0</v>
      </c>
      <c r="AU420" s="25">
        <v>1</v>
      </c>
      <c r="AV420" s="25">
        <v>3.44</v>
      </c>
      <c r="AW420" s="25">
        <v>2.44</v>
      </c>
      <c r="AX420" s="25">
        <v>2.7124999999999999</v>
      </c>
      <c r="AY420">
        <v>2.7124999999999999</v>
      </c>
      <c r="AZ420">
        <v>6.264025610615688</v>
      </c>
      <c r="BD420">
        <v>4.2830514514404762E-2</v>
      </c>
      <c r="BH420">
        <v>8.5661029028809524E-2</v>
      </c>
      <c r="BI420">
        <v>4.2830514514404762E-2</v>
      </c>
      <c r="BJ420">
        <v>0</v>
      </c>
    </row>
    <row r="421" spans="1:62" x14ac:dyDescent="0.3">
      <c r="A421" s="2" t="s">
        <v>346</v>
      </c>
      <c r="B421" s="18" t="s">
        <v>1018</v>
      </c>
      <c r="C421" s="13"/>
      <c r="F421" s="2">
        <v>3.45</v>
      </c>
      <c r="G421" s="2" t="s">
        <v>352</v>
      </c>
      <c r="H421" s="9">
        <v>-1</v>
      </c>
      <c r="I421">
        <v>-1</v>
      </c>
      <c r="J421"/>
      <c r="K421" s="2">
        <v>1</v>
      </c>
      <c r="L421" s="25">
        <v>0</v>
      </c>
      <c r="M421">
        <v>0</v>
      </c>
      <c r="N421">
        <v>0</v>
      </c>
      <c r="O421" s="2">
        <v>3.86</v>
      </c>
      <c r="P421" s="2">
        <v>3.86</v>
      </c>
      <c r="Q421" s="2">
        <v>20.9</v>
      </c>
      <c r="T421" s="25">
        <v>0</v>
      </c>
      <c r="U421" s="25"/>
      <c r="V421" s="25"/>
      <c r="W421">
        <v>0</v>
      </c>
      <c r="X421"/>
      <c r="Y421"/>
      <c r="Z421">
        <v>0</v>
      </c>
      <c r="AA421"/>
      <c r="AB421"/>
      <c r="AD421">
        <v>20</v>
      </c>
      <c r="AE421" s="55">
        <f t="shared" si="25"/>
        <v>311.40163999999999</v>
      </c>
      <c r="AF421" s="57">
        <v>0</v>
      </c>
      <c r="AG421" s="55">
        <v>0</v>
      </c>
      <c r="AH421" s="55">
        <v>0</v>
      </c>
      <c r="AI421" s="52">
        <f t="shared" si="26"/>
        <v>6.4225737539468322E-2</v>
      </c>
      <c r="AJ421" s="51"/>
      <c r="AK421" s="52"/>
      <c r="AL421" s="52"/>
      <c r="AM421" s="28">
        <v>1.6190476190476191</v>
      </c>
      <c r="AN421" s="28">
        <v>2</v>
      </c>
      <c r="AO421" s="28">
        <v>0.5714285714285714</v>
      </c>
      <c r="AP421" s="28">
        <v>0</v>
      </c>
      <c r="AQ421" s="28">
        <v>0.38636363636363641</v>
      </c>
      <c r="AR421" s="28">
        <v>0.47727272727272718</v>
      </c>
      <c r="AS421" s="28">
        <v>0.13636363636363641</v>
      </c>
      <c r="AT421" s="28">
        <v>0</v>
      </c>
      <c r="AU421" s="25">
        <v>1</v>
      </c>
      <c r="AV421" s="25">
        <v>3.44</v>
      </c>
      <c r="AW421" s="25">
        <v>2.44</v>
      </c>
      <c r="AX421" s="25">
        <v>2.6071428571428572</v>
      </c>
      <c r="AY421">
        <v>2.6071428571428572</v>
      </c>
      <c r="AZ421">
        <v>6.4376988464407141</v>
      </c>
      <c r="BD421">
        <v>3.2112868769734161E-2</v>
      </c>
      <c r="BH421">
        <v>6.4225737539468322E-2</v>
      </c>
      <c r="BI421">
        <v>3.2112868769734161E-2</v>
      </c>
      <c r="BJ421">
        <v>0</v>
      </c>
    </row>
    <row r="422" spans="1:62" x14ac:dyDescent="0.3">
      <c r="A422" s="2" t="s">
        <v>347</v>
      </c>
      <c r="B422" s="18" t="s">
        <v>1019</v>
      </c>
      <c r="C422" s="13"/>
      <c r="F422" s="2">
        <v>3.5</v>
      </c>
      <c r="G422" s="2" t="s">
        <v>352</v>
      </c>
      <c r="H422" s="9">
        <v>-1</v>
      </c>
      <c r="I422">
        <v>-1</v>
      </c>
      <c r="J422"/>
      <c r="K422" s="2">
        <v>1</v>
      </c>
      <c r="L422" s="25">
        <v>0</v>
      </c>
      <c r="M422">
        <v>0</v>
      </c>
      <c r="N422">
        <v>0</v>
      </c>
      <c r="O422" s="2">
        <v>3.86</v>
      </c>
      <c r="P422" s="2">
        <v>3.86</v>
      </c>
      <c r="Q422" s="2">
        <v>17.899999999999999</v>
      </c>
      <c r="T422" s="25">
        <v>0</v>
      </c>
      <c r="U422" s="25"/>
      <c r="V422" s="25"/>
      <c r="W422">
        <v>0</v>
      </c>
      <c r="X422"/>
      <c r="Y422"/>
      <c r="Z422">
        <v>0</v>
      </c>
      <c r="AA422"/>
      <c r="AB422"/>
      <c r="AD422">
        <v>20</v>
      </c>
      <c r="AE422" s="55">
        <f t="shared" si="25"/>
        <v>266.70283999999998</v>
      </c>
      <c r="AF422" s="57">
        <v>0</v>
      </c>
      <c r="AG422" s="55">
        <v>0</v>
      </c>
      <c r="AH422" s="55">
        <v>0</v>
      </c>
      <c r="AI422" s="52">
        <f t="shared" si="26"/>
        <v>7.4989827629882017E-2</v>
      </c>
      <c r="AJ422" s="51"/>
      <c r="AK422" s="52"/>
      <c r="AL422" s="52"/>
      <c r="AM422" s="28">
        <v>1.583333333333333</v>
      </c>
      <c r="AN422" s="28">
        <v>1.833333333333333</v>
      </c>
      <c r="AO422" s="28">
        <v>0.5</v>
      </c>
      <c r="AP422" s="28">
        <v>0</v>
      </c>
      <c r="AQ422" s="28">
        <v>0.40425531914893609</v>
      </c>
      <c r="AR422" s="28">
        <v>0.46808510638297868</v>
      </c>
      <c r="AS422" s="28">
        <v>0.1276595744680851</v>
      </c>
      <c r="AT422" s="28">
        <v>0</v>
      </c>
      <c r="AU422" s="25">
        <v>1</v>
      </c>
      <c r="AV422" s="25">
        <v>3.44</v>
      </c>
      <c r="AW422" s="25">
        <v>2.44</v>
      </c>
      <c r="AX422" s="25">
        <v>2.5708333333333329</v>
      </c>
      <c r="AY422">
        <v>2.5708333333333329</v>
      </c>
      <c r="AZ422">
        <v>6.4919128825398751</v>
      </c>
      <c r="BD422">
        <v>3.7494913814941008E-2</v>
      </c>
      <c r="BH422">
        <v>7.4989827629882017E-2</v>
      </c>
      <c r="BI422">
        <v>3.7494913814941008E-2</v>
      </c>
      <c r="BJ422">
        <v>0</v>
      </c>
    </row>
    <row r="423" spans="1:62" x14ac:dyDescent="0.3">
      <c r="A423" s="2" t="s">
        <v>348</v>
      </c>
      <c r="B423" s="18" t="s">
        <v>1020</v>
      </c>
      <c r="C423" s="13"/>
      <c r="F423" s="2">
        <v>3.53</v>
      </c>
      <c r="G423" s="2" t="s">
        <v>352</v>
      </c>
      <c r="H423" s="9">
        <v>-1</v>
      </c>
      <c r="I423">
        <v>-1</v>
      </c>
      <c r="J423"/>
      <c r="K423" s="2">
        <v>1</v>
      </c>
      <c r="L423" s="25">
        <v>0</v>
      </c>
      <c r="M423">
        <v>0</v>
      </c>
      <c r="N423">
        <v>0</v>
      </c>
      <c r="O423" s="2">
        <v>3.86</v>
      </c>
      <c r="P423" s="2">
        <v>3.86</v>
      </c>
      <c r="Q423" s="2">
        <v>19.899999999999999</v>
      </c>
      <c r="T423" s="25">
        <v>0</v>
      </c>
      <c r="U423" s="25"/>
      <c r="V423" s="25"/>
      <c r="W423">
        <v>0</v>
      </c>
      <c r="X423"/>
      <c r="Y423"/>
      <c r="Z423">
        <v>0</v>
      </c>
      <c r="AA423"/>
      <c r="AB423"/>
      <c r="AD423">
        <v>20</v>
      </c>
      <c r="AE423" s="55">
        <f t="shared" si="25"/>
        <v>296.50203999999997</v>
      </c>
      <c r="AF423" s="57">
        <v>0</v>
      </c>
      <c r="AG423" s="55">
        <v>0</v>
      </c>
      <c r="AH423" s="55">
        <v>0</v>
      </c>
      <c r="AI423" s="52">
        <f t="shared" si="26"/>
        <v>6.745316153642654E-2</v>
      </c>
      <c r="AJ423" s="51"/>
      <c r="AK423" s="52"/>
      <c r="AL423" s="52"/>
      <c r="AM423" s="28">
        <v>1.555555555555556</v>
      </c>
      <c r="AN423" s="28">
        <v>1.7037037037037039</v>
      </c>
      <c r="AO423" s="28">
        <v>0.44444444444444442</v>
      </c>
      <c r="AP423" s="28">
        <v>0</v>
      </c>
      <c r="AQ423" s="28">
        <v>0.42</v>
      </c>
      <c r="AR423" s="28">
        <v>0.46</v>
      </c>
      <c r="AS423" s="28">
        <v>0.12</v>
      </c>
      <c r="AT423" s="28">
        <v>0</v>
      </c>
      <c r="AU423" s="25">
        <v>1</v>
      </c>
      <c r="AV423" s="25">
        <v>3.44</v>
      </c>
      <c r="AW423" s="25">
        <v>2.44</v>
      </c>
      <c r="AX423" s="25">
        <v>2.5425925925925932</v>
      </c>
      <c r="AY423">
        <v>2.5425925925925932</v>
      </c>
      <c r="AZ423">
        <v>6.5340793550614444</v>
      </c>
      <c r="BD423">
        <v>3.372658076821327E-2</v>
      </c>
      <c r="BH423">
        <v>6.745316153642654E-2</v>
      </c>
      <c r="BI423">
        <v>3.372658076821327E-2</v>
      </c>
      <c r="BJ423">
        <v>0</v>
      </c>
    </row>
    <row r="424" spans="1:62" x14ac:dyDescent="0.3">
      <c r="A424" s="2" t="s">
        <v>349</v>
      </c>
      <c r="B424" s="18" t="s">
        <v>1021</v>
      </c>
      <c r="C424" s="13"/>
      <c r="F424" s="2">
        <v>3.5</v>
      </c>
      <c r="G424" s="2" t="s">
        <v>352</v>
      </c>
      <c r="H424" s="9">
        <v>-1</v>
      </c>
      <c r="I424">
        <v>-1</v>
      </c>
      <c r="J424"/>
      <c r="K424" s="2">
        <v>1</v>
      </c>
      <c r="L424" s="25">
        <v>0</v>
      </c>
      <c r="M424">
        <v>0</v>
      </c>
      <c r="N424">
        <v>0</v>
      </c>
      <c r="O424" s="2">
        <v>3.87</v>
      </c>
      <c r="P424" s="2">
        <v>3.87</v>
      </c>
      <c r="Q424" s="2">
        <v>22.1</v>
      </c>
      <c r="T424" s="25">
        <v>0</v>
      </c>
      <c r="U424" s="25"/>
      <c r="V424" s="25"/>
      <c r="W424">
        <v>0</v>
      </c>
      <c r="X424"/>
      <c r="Y424"/>
      <c r="Z424">
        <v>0</v>
      </c>
      <c r="AA424"/>
      <c r="AB424"/>
      <c r="AD424">
        <v>20</v>
      </c>
      <c r="AE424" s="55">
        <f t="shared" si="25"/>
        <v>330.98949000000005</v>
      </c>
      <c r="AF424" s="57">
        <v>0</v>
      </c>
      <c r="AG424" s="55">
        <v>0</v>
      </c>
      <c r="AH424" s="55">
        <v>0</v>
      </c>
      <c r="AI424" s="52">
        <f t="shared" si="26"/>
        <v>6.0424879351909322E-2</v>
      </c>
      <c r="AJ424" s="51"/>
      <c r="AK424" s="52"/>
      <c r="AL424" s="52"/>
      <c r="AM424" s="28">
        <v>1.533333333333333</v>
      </c>
      <c r="AN424" s="28">
        <v>1.6</v>
      </c>
      <c r="AO424" s="28">
        <v>0.4</v>
      </c>
      <c r="AP424" s="28">
        <v>0</v>
      </c>
      <c r="AQ424" s="28">
        <v>0.43396226415094352</v>
      </c>
      <c r="AR424" s="28">
        <v>0.45283018867924529</v>
      </c>
      <c r="AS424" s="28">
        <v>0.1132075471698113</v>
      </c>
      <c r="AT424" s="28">
        <v>0</v>
      </c>
      <c r="AU424" s="25">
        <v>1</v>
      </c>
      <c r="AV424" s="25">
        <v>3.44</v>
      </c>
      <c r="AW424" s="25">
        <v>2.44</v>
      </c>
      <c r="AX424" s="25">
        <v>2.52</v>
      </c>
      <c r="AY424">
        <v>2.52</v>
      </c>
      <c r="AZ424">
        <v>6.5678125330786994</v>
      </c>
      <c r="BD424">
        <v>3.0212439675954661E-2</v>
      </c>
      <c r="BH424">
        <v>6.0424879351909322E-2</v>
      </c>
      <c r="BI424">
        <v>3.0212439675954661E-2</v>
      </c>
      <c r="BJ424">
        <v>0</v>
      </c>
    </row>
    <row r="425" spans="1:62" x14ac:dyDescent="0.3">
      <c r="A425" s="2" t="s">
        <v>350</v>
      </c>
      <c r="B425" s="18" t="s">
        <v>1022</v>
      </c>
      <c r="C425" s="13"/>
      <c r="F425" s="2">
        <v>3.47</v>
      </c>
      <c r="G425" s="2" t="s">
        <v>352</v>
      </c>
      <c r="H425" s="9">
        <v>-1</v>
      </c>
      <c r="I425">
        <v>-1</v>
      </c>
      <c r="J425"/>
      <c r="K425" s="2">
        <v>1</v>
      </c>
      <c r="L425" s="25">
        <v>0</v>
      </c>
      <c r="M425">
        <v>0</v>
      </c>
      <c r="N425">
        <v>0</v>
      </c>
      <c r="O425" s="2">
        <v>3.87</v>
      </c>
      <c r="P425" s="2">
        <v>3.87</v>
      </c>
      <c r="Q425" s="2">
        <v>26.4</v>
      </c>
      <c r="T425" s="25">
        <v>0</v>
      </c>
      <c r="U425" s="25"/>
      <c r="V425" s="25"/>
      <c r="W425">
        <v>0</v>
      </c>
      <c r="X425"/>
      <c r="Y425"/>
      <c r="Z425">
        <v>0</v>
      </c>
      <c r="AA425"/>
      <c r="AB425"/>
      <c r="AD425">
        <v>20</v>
      </c>
      <c r="AE425" s="55">
        <f t="shared" si="25"/>
        <v>395.39015999999998</v>
      </c>
      <c r="AF425" s="57">
        <v>0</v>
      </c>
      <c r="AG425" s="55">
        <v>0</v>
      </c>
      <c r="AH425" s="55">
        <v>0</v>
      </c>
      <c r="AI425" s="52">
        <f t="shared" si="26"/>
        <v>5.0582948245348341E-2</v>
      </c>
      <c r="AJ425" s="51"/>
      <c r="AK425" s="52"/>
      <c r="AL425" s="52"/>
      <c r="AM425" s="28">
        <v>1.5</v>
      </c>
      <c r="AN425" s="28">
        <v>1.444444444444444</v>
      </c>
      <c r="AO425" s="28">
        <v>0.33333333333333331</v>
      </c>
      <c r="AP425" s="28">
        <v>0</v>
      </c>
      <c r="AQ425" s="28">
        <v>0.4576271186440678</v>
      </c>
      <c r="AR425" s="28">
        <v>0.44067796610169491</v>
      </c>
      <c r="AS425" s="28">
        <v>0.10169491525423729</v>
      </c>
      <c r="AT425" s="28">
        <v>0</v>
      </c>
      <c r="AU425" s="25">
        <v>1</v>
      </c>
      <c r="AV425" s="25">
        <v>3.44</v>
      </c>
      <c r="AW425" s="25">
        <v>2.44</v>
      </c>
      <c r="AX425" s="25">
        <v>2.4861111111111112</v>
      </c>
      <c r="AY425">
        <v>2.4861111111111112</v>
      </c>
      <c r="AZ425">
        <v>6.6184123001045831</v>
      </c>
      <c r="BD425">
        <v>2.5291474122674171E-2</v>
      </c>
      <c r="BH425">
        <v>5.0582948245348341E-2</v>
      </c>
      <c r="BI425">
        <v>2.5291474122674171E-2</v>
      </c>
      <c r="BJ425">
        <v>0</v>
      </c>
    </row>
    <row r="426" spans="1:62" x14ac:dyDescent="0.3">
      <c r="A426" s="2" t="s">
        <v>351</v>
      </c>
      <c r="B426" s="18" t="s">
        <v>1023</v>
      </c>
      <c r="C426" s="13"/>
      <c r="F426" s="2">
        <v>3.51</v>
      </c>
      <c r="G426" s="2" t="s">
        <v>352</v>
      </c>
      <c r="H426" s="9">
        <v>-1</v>
      </c>
      <c r="I426">
        <v>-1</v>
      </c>
      <c r="J426"/>
      <c r="K426" s="2">
        <v>1</v>
      </c>
      <c r="L426" s="25">
        <v>0</v>
      </c>
      <c r="M426">
        <v>0</v>
      </c>
      <c r="N426">
        <v>0</v>
      </c>
      <c r="O426" s="2">
        <v>3.87</v>
      </c>
      <c r="P426" s="2">
        <v>3.87</v>
      </c>
      <c r="Q426" s="2">
        <v>34.799999999999997</v>
      </c>
      <c r="T426" s="25">
        <v>0</v>
      </c>
      <c r="U426" s="25"/>
      <c r="V426" s="25"/>
      <c r="W426">
        <v>0</v>
      </c>
      <c r="X426"/>
      <c r="Y426"/>
      <c r="Z426">
        <v>0</v>
      </c>
      <c r="AA426"/>
      <c r="AB426"/>
      <c r="AD426">
        <v>20</v>
      </c>
      <c r="AE426" s="55">
        <f t="shared" si="25"/>
        <v>521.19611999999995</v>
      </c>
      <c r="AF426" s="57">
        <v>0</v>
      </c>
      <c r="AG426" s="55">
        <v>0</v>
      </c>
      <c r="AH426" s="55">
        <v>0</v>
      </c>
      <c r="AI426" s="52">
        <f t="shared" si="26"/>
        <v>3.8373271082678052E-2</v>
      </c>
      <c r="AJ426" s="51"/>
      <c r="AK426" s="52"/>
      <c r="AL426" s="52"/>
      <c r="AM426" s="28">
        <v>1.4761904761904761</v>
      </c>
      <c r="AN426" s="28">
        <v>1.333333333333333</v>
      </c>
      <c r="AO426" s="28">
        <v>0.2857142857142857</v>
      </c>
      <c r="AP426" s="28">
        <v>0</v>
      </c>
      <c r="AQ426" s="28">
        <v>0.47692307692307689</v>
      </c>
      <c r="AR426" s="28">
        <v>0.43076923076923068</v>
      </c>
      <c r="AS426" s="28">
        <v>9.2307692307692299E-2</v>
      </c>
      <c r="AT426" s="28">
        <v>0</v>
      </c>
      <c r="AU426" s="25">
        <v>1</v>
      </c>
      <c r="AV426" s="25">
        <v>3.44</v>
      </c>
      <c r="AW426" s="25">
        <v>2.44</v>
      </c>
      <c r="AX426" s="25">
        <v>2.461904761904762</v>
      </c>
      <c r="AY426">
        <v>2.461904761904762</v>
      </c>
      <c r="AZ426">
        <v>6.6545549908373571</v>
      </c>
      <c r="BD426">
        <v>1.918663554133903E-2</v>
      </c>
      <c r="BH426">
        <v>3.8373271082678052E-2</v>
      </c>
      <c r="BI426">
        <v>1.918663554133903E-2</v>
      </c>
      <c r="BJ426">
        <v>0</v>
      </c>
    </row>
    <row r="427" spans="1:62" x14ac:dyDescent="0.3">
      <c r="A427" s="2" t="s">
        <v>180</v>
      </c>
      <c r="B427" s="13" t="s">
        <v>796</v>
      </c>
      <c r="C427" s="13"/>
      <c r="F427" s="2">
        <v>3.6</v>
      </c>
      <c r="G427" s="2" t="s">
        <v>354</v>
      </c>
      <c r="H427" s="9">
        <v>-1</v>
      </c>
      <c r="I427">
        <v>-1</v>
      </c>
      <c r="J427"/>
      <c r="K427" s="2">
        <v>2</v>
      </c>
      <c r="L427" s="25">
        <v>0</v>
      </c>
      <c r="M427">
        <v>0</v>
      </c>
      <c r="N427">
        <v>0</v>
      </c>
      <c r="O427" s="2">
        <v>3.895</v>
      </c>
      <c r="P427" s="2">
        <v>3.895</v>
      </c>
      <c r="Q427" s="2">
        <v>30.46</v>
      </c>
      <c r="R427" s="2" t="s">
        <v>440</v>
      </c>
      <c r="T427" s="25">
        <v>0</v>
      </c>
      <c r="U427" s="25"/>
      <c r="V427" s="25"/>
      <c r="W427">
        <v>0</v>
      </c>
      <c r="X427"/>
      <c r="Y427"/>
      <c r="Z427">
        <v>0</v>
      </c>
      <c r="AA427"/>
      <c r="AB427"/>
      <c r="AD427">
        <v>20</v>
      </c>
      <c r="AE427" s="55">
        <f t="shared" si="25"/>
        <v>462.1094215</v>
      </c>
      <c r="AF427" s="57">
        <v>0</v>
      </c>
      <c r="AG427" s="55">
        <v>0</v>
      </c>
      <c r="AH427" s="55">
        <v>0</v>
      </c>
      <c r="AI427" s="52">
        <f t="shared" si="26"/>
        <v>8.655958554179792E-2</v>
      </c>
      <c r="AJ427" s="51"/>
      <c r="AK427" s="52"/>
      <c r="AL427" s="52"/>
      <c r="AM427" s="28">
        <v>1.882352941176471</v>
      </c>
      <c r="AN427" s="28">
        <v>2.3529411764705879</v>
      </c>
      <c r="AO427" s="28">
        <v>0.47058823529411759</v>
      </c>
      <c r="AP427" s="28">
        <v>0</v>
      </c>
      <c r="AQ427" s="28">
        <v>0.4</v>
      </c>
      <c r="AR427" s="28">
        <v>0.5</v>
      </c>
      <c r="AS427" s="28">
        <v>9.9999999999999992E-2</v>
      </c>
      <c r="AT427" s="28">
        <v>0</v>
      </c>
      <c r="AU427" s="25">
        <v>0.82</v>
      </c>
      <c r="AV427" s="25">
        <v>3.44</v>
      </c>
      <c r="AW427" s="25">
        <v>2.62</v>
      </c>
      <c r="AX427" s="25">
        <v>2.5211764705882351</v>
      </c>
      <c r="AY427">
        <v>2.521176470588236</v>
      </c>
      <c r="AZ427">
        <v>5.6793405594117647</v>
      </c>
      <c r="BD427">
        <v>4.327979277089896E-2</v>
      </c>
      <c r="BH427">
        <v>8.655958554179792E-2</v>
      </c>
      <c r="BI427">
        <v>4.327979277089896E-2</v>
      </c>
      <c r="BJ427">
        <v>0</v>
      </c>
    </row>
    <row r="428" spans="1:62" x14ac:dyDescent="0.3">
      <c r="A428" s="2" t="s">
        <v>952</v>
      </c>
      <c r="B428" s="17" t="s">
        <v>954</v>
      </c>
      <c r="C428" s="13"/>
      <c r="F428" s="2">
        <v>3.65</v>
      </c>
      <c r="G428" s="2" t="s">
        <v>354</v>
      </c>
      <c r="H428" s="9">
        <v>-1</v>
      </c>
      <c r="I428">
        <v>-1</v>
      </c>
      <c r="J428"/>
      <c r="K428" s="2">
        <v>2</v>
      </c>
      <c r="L428" s="25">
        <v>0</v>
      </c>
      <c r="M428">
        <v>0</v>
      </c>
      <c r="N428">
        <v>0</v>
      </c>
      <c r="O428" s="2">
        <v>3.84</v>
      </c>
      <c r="P428" s="2">
        <v>3.84</v>
      </c>
      <c r="Q428" s="2">
        <v>32.520000000000003</v>
      </c>
      <c r="R428" s="2" t="s">
        <v>1131</v>
      </c>
      <c r="T428" s="25">
        <v>0</v>
      </c>
      <c r="U428" s="25"/>
      <c r="V428" s="25"/>
      <c r="W428">
        <v>0</v>
      </c>
      <c r="X428"/>
      <c r="Y428"/>
      <c r="Z428">
        <v>0</v>
      </c>
      <c r="AA428"/>
      <c r="AB428"/>
      <c r="AD428">
        <v>20</v>
      </c>
      <c r="AE428" s="55">
        <f t="shared" si="25"/>
        <v>479.52691200000004</v>
      </c>
      <c r="AF428" s="57">
        <v>0</v>
      </c>
      <c r="AG428" s="55">
        <v>0</v>
      </c>
      <c r="AH428" s="55">
        <v>0</v>
      </c>
      <c r="AI428" s="52">
        <f t="shared" si="26"/>
        <v>8.3415547697143627E-2</v>
      </c>
      <c r="AJ428" s="51"/>
      <c r="AK428" s="52"/>
      <c r="AL428" s="52"/>
      <c r="AM428" s="28">
        <v>1.882352941176471</v>
      </c>
      <c r="AN428" s="28">
        <v>2.3529411764705879</v>
      </c>
      <c r="AO428" s="28">
        <v>0.47058823529411759</v>
      </c>
      <c r="AP428" s="28">
        <v>0</v>
      </c>
      <c r="AQ428" s="28">
        <v>0.4</v>
      </c>
      <c r="AR428" s="28">
        <v>0.5</v>
      </c>
      <c r="AS428" s="28">
        <v>9.9999999999999992E-2</v>
      </c>
      <c r="AT428" s="28">
        <v>0</v>
      </c>
      <c r="AU428" s="25">
        <v>0.82</v>
      </c>
      <c r="AV428" s="25">
        <v>3.44</v>
      </c>
      <c r="AW428" s="25">
        <v>2.62</v>
      </c>
      <c r="AX428" s="25">
        <v>2.6023529411764699</v>
      </c>
      <c r="AY428">
        <v>2.6023529411764712</v>
      </c>
      <c r="AZ428">
        <v>5.9643402149912346</v>
      </c>
      <c r="BD428">
        <v>4.1707773848571807E-2</v>
      </c>
      <c r="BH428">
        <v>8.3415547697143627E-2</v>
      </c>
      <c r="BI428">
        <v>4.1707773848571807E-2</v>
      </c>
      <c r="BJ428">
        <v>0</v>
      </c>
    </row>
    <row r="429" spans="1:62" x14ac:dyDescent="0.3">
      <c r="A429" s="2" t="s">
        <v>953</v>
      </c>
      <c r="B429" s="17" t="s">
        <v>955</v>
      </c>
      <c r="C429" s="13"/>
      <c r="F429" s="2">
        <v>3.58</v>
      </c>
      <c r="G429" s="2" t="s">
        <v>354</v>
      </c>
      <c r="H429" s="9">
        <v>-1</v>
      </c>
      <c r="I429">
        <v>-1</v>
      </c>
      <c r="J429"/>
      <c r="K429" s="2">
        <v>1</v>
      </c>
      <c r="L429" s="25">
        <v>0</v>
      </c>
      <c r="M429">
        <v>0</v>
      </c>
      <c r="N429">
        <v>0</v>
      </c>
      <c r="O429" s="2">
        <v>3.82</v>
      </c>
      <c r="P429" s="2">
        <v>3.82</v>
      </c>
      <c r="Q429" s="2">
        <v>14.9</v>
      </c>
      <c r="R429" s="2" t="s">
        <v>439</v>
      </c>
      <c r="T429" s="25">
        <v>0</v>
      </c>
      <c r="U429" s="25"/>
      <c r="V429" s="25"/>
      <c r="W429">
        <v>0</v>
      </c>
      <c r="X429"/>
      <c r="Y429"/>
      <c r="Z429">
        <v>0</v>
      </c>
      <c r="AA429"/>
      <c r="AB429"/>
      <c r="AD429">
        <v>20</v>
      </c>
      <c r="AE429" s="55">
        <f t="shared" si="25"/>
        <v>217.42676</v>
      </c>
      <c r="AF429" s="57">
        <v>0</v>
      </c>
      <c r="AG429" s="55">
        <v>0</v>
      </c>
      <c r="AH429" s="55">
        <v>0</v>
      </c>
      <c r="AI429" s="52">
        <f t="shared" si="26"/>
        <v>9.1984997614829006E-2</v>
      </c>
      <c r="AJ429" s="51"/>
      <c r="AK429" s="52"/>
      <c r="AL429" s="52"/>
      <c r="AM429" s="28">
        <v>1.882352941176471</v>
      </c>
      <c r="AN429" s="28">
        <v>2.3529411764705879</v>
      </c>
      <c r="AO429" s="28">
        <v>0.47058823529411759</v>
      </c>
      <c r="AP429" s="28">
        <v>0</v>
      </c>
      <c r="AQ429" s="28">
        <v>0.4</v>
      </c>
      <c r="AR429" s="28">
        <v>0.5</v>
      </c>
      <c r="AS429" s="28">
        <v>9.9999999999999992E-2</v>
      </c>
      <c r="AT429" s="28">
        <v>0</v>
      </c>
      <c r="AU429" s="25">
        <v>0.82</v>
      </c>
      <c r="AV429" s="25">
        <v>3.44</v>
      </c>
      <c r="AW429" s="25">
        <v>2.62</v>
      </c>
      <c r="AX429" s="25">
        <v>2.6429411764705879</v>
      </c>
      <c r="AY429">
        <v>2.6429411764705879</v>
      </c>
      <c r="AZ429">
        <v>6.1068400427809717</v>
      </c>
      <c r="BD429">
        <v>4.5992498807414503E-2</v>
      </c>
      <c r="BH429">
        <v>9.1984997614829006E-2</v>
      </c>
      <c r="BI429">
        <v>4.5992498807414503E-2</v>
      </c>
      <c r="BJ429">
        <v>0</v>
      </c>
    </row>
    <row r="430" spans="1:62" x14ac:dyDescent="0.3">
      <c r="A430" s="2" t="s">
        <v>353</v>
      </c>
      <c r="B430" s="13" t="s">
        <v>834</v>
      </c>
      <c r="C430" s="13"/>
      <c r="F430" s="2">
        <v>3.55</v>
      </c>
      <c r="G430" s="2" t="s">
        <v>354</v>
      </c>
      <c r="H430" s="9">
        <v>-1</v>
      </c>
      <c r="I430">
        <v>-1</v>
      </c>
      <c r="J430"/>
      <c r="K430" s="2">
        <v>2</v>
      </c>
      <c r="L430" s="25">
        <v>0</v>
      </c>
      <c r="M430">
        <v>0</v>
      </c>
      <c r="N430">
        <v>0</v>
      </c>
      <c r="O430" s="2">
        <v>3.8050000000000002</v>
      </c>
      <c r="P430" s="2">
        <v>3.8050000000000002</v>
      </c>
      <c r="Q430" s="2">
        <v>27.44</v>
      </c>
      <c r="R430" s="2" t="s">
        <v>1131</v>
      </c>
      <c r="T430" s="25">
        <v>0</v>
      </c>
      <c r="U430" s="25"/>
      <c r="V430" s="25"/>
      <c r="W430">
        <v>0</v>
      </c>
      <c r="X430"/>
      <c r="Y430"/>
      <c r="Z430">
        <v>0</v>
      </c>
      <c r="AA430"/>
      <c r="AB430"/>
      <c r="AD430">
        <v>20</v>
      </c>
      <c r="AE430" s="55">
        <f t="shared" si="25"/>
        <v>397.27700600000003</v>
      </c>
      <c r="AF430" s="57">
        <v>0</v>
      </c>
      <c r="AG430" s="55">
        <v>0</v>
      </c>
      <c r="AH430" s="55">
        <v>0</v>
      </c>
      <c r="AI430" s="52">
        <f t="shared" si="26"/>
        <v>0.10068541444857747</v>
      </c>
      <c r="AJ430" s="51"/>
      <c r="AK430" s="52"/>
      <c r="AL430" s="52"/>
      <c r="AM430" s="28">
        <v>1.882352941176471</v>
      </c>
      <c r="AN430" s="28">
        <v>2.3529411764705879</v>
      </c>
      <c r="AO430" s="28">
        <v>0.47058823529411759</v>
      </c>
      <c r="AP430" s="28">
        <v>0</v>
      </c>
      <c r="AQ430" s="28">
        <v>0.4</v>
      </c>
      <c r="AR430" s="28">
        <v>0.5</v>
      </c>
      <c r="AS430" s="28">
        <v>9.9999999999999992E-2</v>
      </c>
      <c r="AT430" s="28">
        <v>0</v>
      </c>
      <c r="AU430" s="25">
        <v>1.1000000000000001</v>
      </c>
      <c r="AV430" s="25">
        <v>3.44</v>
      </c>
      <c r="AW430" s="25">
        <v>2.34</v>
      </c>
      <c r="AX430" s="25">
        <v>2.6835294117647059</v>
      </c>
      <c r="AY430">
        <v>2.6835294117647059</v>
      </c>
      <c r="AZ430">
        <v>6.2493398705707062</v>
      </c>
      <c r="BD430">
        <v>5.0342707224288727E-2</v>
      </c>
      <c r="BH430">
        <v>0.1006854144485775</v>
      </c>
      <c r="BI430">
        <v>5.0342707224288727E-2</v>
      </c>
      <c r="BJ430">
        <v>0</v>
      </c>
    </row>
    <row r="431" spans="1:62" x14ac:dyDescent="0.3">
      <c r="A431" s="2" t="s">
        <v>142</v>
      </c>
      <c r="B431" s="34" t="s">
        <v>766</v>
      </c>
      <c r="C431" s="34"/>
      <c r="F431" s="2">
        <v>4.3600000000000003</v>
      </c>
      <c r="G431" s="2" t="s">
        <v>357</v>
      </c>
      <c r="H431" s="35">
        <v>-1</v>
      </c>
      <c r="I431" s="2">
        <v>-1</v>
      </c>
      <c r="J431" s="2" t="s">
        <v>1164</v>
      </c>
      <c r="K431" s="2">
        <v>1</v>
      </c>
      <c r="L431" s="29">
        <v>0</v>
      </c>
      <c r="M431">
        <v>0</v>
      </c>
      <c r="N431">
        <v>1</v>
      </c>
      <c r="O431" s="2">
        <v>3.89</v>
      </c>
      <c r="P431" s="2">
        <v>3.89</v>
      </c>
      <c r="Q431" s="2">
        <v>10.48</v>
      </c>
      <c r="R431" s="2" t="s">
        <v>440</v>
      </c>
      <c r="T431" s="29">
        <v>0</v>
      </c>
      <c r="W431">
        <v>0</v>
      </c>
      <c r="X431"/>
      <c r="Y431"/>
      <c r="Z431">
        <v>3.88</v>
      </c>
      <c r="AA431">
        <v>3.88</v>
      </c>
      <c r="AB431">
        <v>10.66</v>
      </c>
      <c r="AD431" s="2">
        <v>14</v>
      </c>
      <c r="AE431" s="55">
        <f t="shared" si="25"/>
        <v>158.58440800000002</v>
      </c>
      <c r="AF431" s="57">
        <v>0</v>
      </c>
      <c r="AG431" s="55">
        <v>0</v>
      </c>
      <c r="AH431" s="55">
        <v>160.479904</v>
      </c>
      <c r="AI431" s="52">
        <f t="shared" si="26"/>
        <v>8.8281062284509063E-2</v>
      </c>
      <c r="AJ431" s="52"/>
      <c r="AK431" s="52"/>
      <c r="AL431" s="67">
        <f t="shared" ref="AL431:AL436" si="27">N431*AD431/AH431</f>
        <v>8.7238337331009372E-2</v>
      </c>
      <c r="AM431" s="2">
        <v>1.9090909090909089</v>
      </c>
      <c r="AN431" s="2">
        <v>2.545454545454545</v>
      </c>
      <c r="AO431" s="2">
        <v>0.54545454545454541</v>
      </c>
      <c r="AP431" s="2">
        <v>2.9090909090909092</v>
      </c>
      <c r="AQ431" s="2">
        <v>0.2413793103448276</v>
      </c>
      <c r="AR431" s="2">
        <v>0.32183908045977011</v>
      </c>
      <c r="AS431" s="2">
        <v>6.8965517241379309E-2</v>
      </c>
      <c r="AT431" s="2">
        <v>0.36781609195402298</v>
      </c>
      <c r="AU431" s="29">
        <v>1.1399999999999999</v>
      </c>
      <c r="AV431" s="29">
        <v>3.44</v>
      </c>
      <c r="AW431" s="29">
        <v>2.2999999999999998</v>
      </c>
      <c r="AX431" s="29">
        <v>2.7654545454545452</v>
      </c>
      <c r="AY431" s="2">
        <v>2.7654545454545461</v>
      </c>
      <c r="AZ431" s="2">
        <v>6.4215922727137267</v>
      </c>
      <c r="BC431" s="75">
        <v>0</v>
      </c>
      <c r="BD431">
        <v>4.4140531142254531E-2</v>
      </c>
      <c r="BG431">
        <v>4.3619168665504693E-2</v>
      </c>
      <c r="BH431">
        <v>8.7759699807759217E-2</v>
      </c>
      <c r="BI431">
        <v>4.3879849903879609E-2</v>
      </c>
      <c r="BJ431">
        <v>0</v>
      </c>
    </row>
    <row r="432" spans="1:62" x14ac:dyDescent="0.3">
      <c r="A432" s="2" t="s">
        <v>355</v>
      </c>
      <c r="B432" s="13" t="s">
        <v>835</v>
      </c>
      <c r="C432" s="13"/>
      <c r="F432" s="2">
        <v>4.49</v>
      </c>
      <c r="G432" s="2" t="s">
        <v>357</v>
      </c>
      <c r="H432" s="9">
        <v>-1</v>
      </c>
      <c r="I432">
        <v>-1</v>
      </c>
      <c r="J432" t="s">
        <v>1180</v>
      </c>
      <c r="L432" s="25">
        <v>0</v>
      </c>
      <c r="M432">
        <v>0</v>
      </c>
      <c r="N432">
        <v>4</v>
      </c>
      <c r="O432" s="2">
        <v>-1</v>
      </c>
      <c r="T432" s="25">
        <v>0</v>
      </c>
      <c r="U432"/>
      <c r="V432"/>
      <c r="W432">
        <v>0</v>
      </c>
      <c r="X432"/>
      <c r="Y432"/>
      <c r="Z432">
        <v>5.4092000000000002</v>
      </c>
      <c r="AA432">
        <v>20.501100000000001</v>
      </c>
      <c r="AB432">
        <v>5.4427000000000003</v>
      </c>
      <c r="AD432">
        <v>14</v>
      </c>
      <c r="AE432" s="55">
        <f t="shared" si="25"/>
        <v>0</v>
      </c>
      <c r="AF432" s="57">
        <v>0</v>
      </c>
      <c r="AG432" s="55">
        <v>0</v>
      </c>
      <c r="AH432" s="55">
        <v>603.57000000000005</v>
      </c>
      <c r="AI432" s="52"/>
      <c r="AJ432" s="52"/>
      <c r="AK432" s="52"/>
      <c r="AL432" s="67">
        <f t="shared" si="27"/>
        <v>9.2781284689431212E-2</v>
      </c>
      <c r="AM432" s="28">
        <v>1.9090909090909089</v>
      </c>
      <c r="AN432" s="28">
        <v>2.545454545454545</v>
      </c>
      <c r="AO432" s="28">
        <v>0.54545454545454541</v>
      </c>
      <c r="AP432" s="28">
        <v>2.9090909090909092</v>
      </c>
      <c r="AQ432" s="28">
        <v>0.2413793103448276</v>
      </c>
      <c r="AR432" s="28">
        <v>0.32183908045977011</v>
      </c>
      <c r="AS432" s="28">
        <v>6.8965517241379309E-2</v>
      </c>
      <c r="AT432" s="28">
        <v>0.36781609195402298</v>
      </c>
      <c r="AU432" s="25">
        <v>0.98</v>
      </c>
      <c r="AV432" s="25">
        <v>3.44</v>
      </c>
      <c r="AW432" s="25">
        <v>2.46</v>
      </c>
      <c r="AX432" s="25">
        <v>2.6545454545454539</v>
      </c>
      <c r="AY432">
        <v>2.6545454545454539</v>
      </c>
      <c r="AZ432">
        <v>6.0423528007272722</v>
      </c>
      <c r="BC432" s="75">
        <v>0.47461723217425672</v>
      </c>
      <c r="BG432">
        <v>4.6390642344715613E-2</v>
      </c>
      <c r="BH432">
        <v>9.2781284689431212E-2</v>
      </c>
      <c r="BI432">
        <v>4.6390642344715613E-2</v>
      </c>
      <c r="BJ432">
        <v>0.47461723217425672</v>
      </c>
    </row>
    <row r="433" spans="1:62" x14ac:dyDescent="0.3">
      <c r="A433" s="2" t="s">
        <v>143</v>
      </c>
      <c r="B433" s="13" t="s">
        <v>767</v>
      </c>
      <c r="C433" s="13"/>
      <c r="F433" s="2">
        <v>4.38</v>
      </c>
      <c r="G433" s="2" t="s">
        <v>357</v>
      </c>
      <c r="H433" s="9">
        <v>-1</v>
      </c>
      <c r="I433">
        <v>-1</v>
      </c>
      <c r="J433" t="s">
        <v>1181</v>
      </c>
      <c r="L433" s="25">
        <v>0</v>
      </c>
      <c r="M433">
        <v>0</v>
      </c>
      <c r="N433">
        <v>4</v>
      </c>
      <c r="O433" s="2">
        <v>-1</v>
      </c>
      <c r="Q433" s="2">
        <v>21.024000000000001</v>
      </c>
      <c r="T433" s="25">
        <v>0</v>
      </c>
      <c r="U433"/>
      <c r="V433"/>
      <c r="W433">
        <v>0</v>
      </c>
      <c r="X433"/>
      <c r="Y433"/>
      <c r="Z433">
        <v>5.4686000000000003</v>
      </c>
      <c r="AA433">
        <v>5.4686000000000003</v>
      </c>
      <c r="AB433">
        <v>21.134499999999999</v>
      </c>
      <c r="AD433">
        <v>14</v>
      </c>
      <c r="AE433" s="55">
        <f t="shared" si="25"/>
        <v>0</v>
      </c>
      <c r="AF433" s="57">
        <v>0</v>
      </c>
      <c r="AG433" s="55">
        <v>0</v>
      </c>
      <c r="AH433" s="55">
        <v>632</v>
      </c>
      <c r="AI433" s="52"/>
      <c r="AJ433" s="52"/>
      <c r="AK433" s="52"/>
      <c r="AL433" s="67">
        <f t="shared" si="27"/>
        <v>8.8607594936708861E-2</v>
      </c>
      <c r="AM433" s="28">
        <v>1.9090909090909089</v>
      </c>
      <c r="AN433" s="28">
        <v>2.545454545454545</v>
      </c>
      <c r="AO433" s="28">
        <v>0.54545454545454541</v>
      </c>
      <c r="AP433" s="28">
        <v>2.9090909090909092</v>
      </c>
      <c r="AQ433" s="28">
        <v>0.2413793103448276</v>
      </c>
      <c r="AR433" s="28">
        <v>0.32183908045977011</v>
      </c>
      <c r="AS433" s="28">
        <v>6.8965517241379309E-2</v>
      </c>
      <c r="AT433" s="28">
        <v>0.36781609195402298</v>
      </c>
      <c r="AU433" s="25">
        <v>0.93</v>
      </c>
      <c r="AV433" s="25">
        <v>3.44</v>
      </c>
      <c r="AW433" s="25">
        <v>2.5099999999999998</v>
      </c>
      <c r="AX433" s="25">
        <v>2.65</v>
      </c>
      <c r="AY433">
        <v>2.649999999999999</v>
      </c>
      <c r="AZ433">
        <v>6.0276818459090906</v>
      </c>
      <c r="BC433" s="75">
        <v>0.47528867242311779</v>
      </c>
      <c r="BG433">
        <v>4.4303797468354431E-2</v>
      </c>
      <c r="BH433">
        <v>8.8607594936708861E-2</v>
      </c>
      <c r="BI433">
        <v>4.4303797468354431E-2</v>
      </c>
      <c r="BJ433">
        <v>0.47528867242311779</v>
      </c>
    </row>
    <row r="434" spans="1:62" x14ac:dyDescent="0.3">
      <c r="A434" s="2" t="s">
        <v>356</v>
      </c>
      <c r="B434" s="13" t="s">
        <v>836</v>
      </c>
      <c r="C434" s="13"/>
      <c r="F434" s="2">
        <v>4.38</v>
      </c>
      <c r="G434" s="2" t="s">
        <v>357</v>
      </c>
      <c r="H434" s="9">
        <v>-1</v>
      </c>
      <c r="I434">
        <v>-1</v>
      </c>
      <c r="J434" t="s">
        <v>1182</v>
      </c>
      <c r="L434" s="25">
        <v>0</v>
      </c>
      <c r="M434">
        <v>0</v>
      </c>
      <c r="N434">
        <v>4</v>
      </c>
      <c r="O434" s="2">
        <v>-1</v>
      </c>
      <c r="T434" s="25">
        <v>0</v>
      </c>
      <c r="U434"/>
      <c r="V434"/>
      <c r="W434">
        <v>0</v>
      </c>
      <c r="X434"/>
      <c r="Y434"/>
      <c r="Z434">
        <v>7.7018000000000004</v>
      </c>
      <c r="AA434">
        <v>21.768799999999999</v>
      </c>
      <c r="AB434">
        <v>3.8613</v>
      </c>
      <c r="AD434">
        <v>14</v>
      </c>
      <c r="AE434" s="55">
        <f t="shared" si="25"/>
        <v>0</v>
      </c>
      <c r="AF434" s="57">
        <v>0</v>
      </c>
      <c r="AG434" s="55">
        <v>0</v>
      </c>
      <c r="AH434" s="55">
        <v>647.38</v>
      </c>
      <c r="AI434" s="52"/>
      <c r="AJ434" s="52"/>
      <c r="AK434" s="52"/>
      <c r="AL434" s="67">
        <f t="shared" si="27"/>
        <v>8.6502517841144308E-2</v>
      </c>
      <c r="AM434" s="28">
        <v>1.9090909090909089</v>
      </c>
      <c r="AN434" s="28">
        <v>2.545454545454545</v>
      </c>
      <c r="AO434" s="28">
        <v>0.54545454545454541</v>
      </c>
      <c r="AP434" s="28">
        <v>2.9090909090909092</v>
      </c>
      <c r="AQ434" s="28">
        <v>0.2413793103448276</v>
      </c>
      <c r="AR434" s="28">
        <v>0.32183908045977011</v>
      </c>
      <c r="AS434" s="28">
        <v>6.8965517241379309E-2</v>
      </c>
      <c r="AT434" s="28">
        <v>0.36781609195402298</v>
      </c>
      <c r="AU434" s="25">
        <v>0.82</v>
      </c>
      <c r="AV434" s="25">
        <v>3.44</v>
      </c>
      <c r="AW434" s="25">
        <v>2.62</v>
      </c>
      <c r="AX434" s="25">
        <v>2.64</v>
      </c>
      <c r="AY434">
        <v>2.64</v>
      </c>
      <c r="AZ434">
        <v>5.9892781936363626</v>
      </c>
      <c r="BC434" s="75">
        <v>0.51451751424865833</v>
      </c>
      <c r="BG434">
        <v>4.3251258920572147E-2</v>
      </c>
      <c r="BH434">
        <v>8.6502517841144308E-2</v>
      </c>
      <c r="BI434">
        <v>4.3251258920572147E-2</v>
      </c>
      <c r="BJ434">
        <v>0.51451751424865833</v>
      </c>
    </row>
    <row r="435" spans="1:62" x14ac:dyDescent="0.3">
      <c r="A435" s="2" t="s">
        <v>12</v>
      </c>
      <c r="B435" s="13" t="s">
        <v>697</v>
      </c>
      <c r="C435" s="13"/>
      <c r="F435" s="2">
        <v>4.54</v>
      </c>
      <c r="G435" s="2" t="s">
        <v>357</v>
      </c>
      <c r="H435" s="9">
        <v>-1</v>
      </c>
      <c r="I435">
        <v>-1</v>
      </c>
      <c r="J435" t="s">
        <v>1145</v>
      </c>
      <c r="L435" s="25">
        <v>0</v>
      </c>
      <c r="M435">
        <v>0</v>
      </c>
      <c r="N435">
        <v>1</v>
      </c>
      <c r="O435" s="2">
        <v>-1</v>
      </c>
      <c r="T435" s="25">
        <v>0</v>
      </c>
      <c r="U435"/>
      <c r="V435"/>
      <c r="W435">
        <v>0</v>
      </c>
      <c r="X435"/>
      <c r="Y435"/>
      <c r="Z435">
        <v>3.8445</v>
      </c>
      <c r="AA435">
        <v>3.8445</v>
      </c>
      <c r="AB435">
        <v>11.03</v>
      </c>
      <c r="AD435">
        <v>14</v>
      </c>
      <c r="AE435" s="55">
        <f t="shared" si="25"/>
        <v>0</v>
      </c>
      <c r="AF435" s="57">
        <v>0</v>
      </c>
      <c r="AG435" s="55">
        <v>0</v>
      </c>
      <c r="AH435" s="55">
        <v>163.0253881575</v>
      </c>
      <c r="AI435" s="52"/>
      <c r="AJ435" s="52"/>
      <c r="AK435" s="52"/>
      <c r="AL435" s="67">
        <f t="shared" si="27"/>
        <v>8.5876194856683907E-2</v>
      </c>
      <c r="AM435" s="28">
        <v>1.9090909090909089</v>
      </c>
      <c r="AN435" s="28">
        <v>2.545454545454545</v>
      </c>
      <c r="AO435" s="28">
        <v>0.54545454545454541</v>
      </c>
      <c r="AP435" s="28">
        <v>2.9090909090909092</v>
      </c>
      <c r="AQ435" s="28">
        <v>0.2413793103448276</v>
      </c>
      <c r="AR435" s="28">
        <v>0.32183908045977011</v>
      </c>
      <c r="AS435" s="28">
        <v>6.8965517241379309E-2</v>
      </c>
      <c r="AT435" s="28">
        <v>0.36781609195402298</v>
      </c>
      <c r="AU435" s="25">
        <v>0.82</v>
      </c>
      <c r="AV435" s="25">
        <v>3.44</v>
      </c>
      <c r="AW435" s="25">
        <v>2.62</v>
      </c>
      <c r="AX435" s="25">
        <v>2.64</v>
      </c>
      <c r="AY435">
        <v>2.64</v>
      </c>
      <c r="AZ435">
        <v>5.9811382595454541</v>
      </c>
      <c r="BC435" s="75">
        <v>0.53809297903977493</v>
      </c>
      <c r="BG435">
        <v>4.2938097428341947E-2</v>
      </c>
      <c r="BH435">
        <v>8.5876194856683907E-2</v>
      </c>
      <c r="BI435">
        <v>4.2938097428341947E-2</v>
      </c>
      <c r="BJ435">
        <v>0.53809297903977493</v>
      </c>
    </row>
    <row r="436" spans="1:62" x14ac:dyDescent="0.3">
      <c r="A436" s="2" t="s">
        <v>144</v>
      </c>
      <c r="B436" s="13" t="s">
        <v>768</v>
      </c>
      <c r="C436" s="13"/>
      <c r="F436" s="2">
        <v>4.4000000000000004</v>
      </c>
      <c r="G436" s="2" t="s">
        <v>357</v>
      </c>
      <c r="H436" s="9">
        <v>-1</v>
      </c>
      <c r="I436">
        <v>-1</v>
      </c>
      <c r="J436" t="s">
        <v>1183</v>
      </c>
      <c r="L436" s="25">
        <v>0</v>
      </c>
      <c r="M436">
        <v>0</v>
      </c>
      <c r="N436">
        <v>1</v>
      </c>
      <c r="O436" s="2">
        <v>-1</v>
      </c>
      <c r="T436" s="25">
        <v>0</v>
      </c>
      <c r="U436"/>
      <c r="V436"/>
      <c r="W436">
        <v>0</v>
      </c>
      <c r="X436"/>
      <c r="Y436"/>
      <c r="Z436">
        <v>3.8898000000000001</v>
      </c>
      <c r="AA436">
        <v>3.8898000000000001</v>
      </c>
      <c r="AB436">
        <v>11.3665</v>
      </c>
      <c r="AD436">
        <v>14</v>
      </c>
      <c r="AE436" s="55">
        <f t="shared" si="25"/>
        <v>0</v>
      </c>
      <c r="AF436" s="57">
        <v>0</v>
      </c>
      <c r="AG436" s="55">
        <v>0</v>
      </c>
      <c r="AH436" s="55">
        <v>172</v>
      </c>
      <c r="AI436" s="52"/>
      <c r="AJ436" s="52"/>
      <c r="AK436" s="52"/>
      <c r="AL436" s="67">
        <f t="shared" si="27"/>
        <v>8.1395348837209308E-2</v>
      </c>
      <c r="AM436" s="28">
        <v>1.9090909090909089</v>
      </c>
      <c r="AN436" s="28">
        <v>2.545454545454545</v>
      </c>
      <c r="AO436" s="28">
        <v>0.54545454545454541</v>
      </c>
      <c r="AP436" s="28">
        <v>2.9090909090909092</v>
      </c>
      <c r="AQ436" s="28">
        <v>0.2413793103448276</v>
      </c>
      <c r="AR436" s="28">
        <v>0.32183908045977011</v>
      </c>
      <c r="AS436" s="28">
        <v>6.8965517241379309E-2</v>
      </c>
      <c r="AT436" s="28">
        <v>0.36781609195402298</v>
      </c>
      <c r="AU436" s="25">
        <v>0.79</v>
      </c>
      <c r="AV436" s="25">
        <v>3.44</v>
      </c>
      <c r="AW436" s="25">
        <v>2.65</v>
      </c>
      <c r="AX436" s="25">
        <v>2.6372727272727272</v>
      </c>
      <c r="AY436">
        <v>2.6372727272727272</v>
      </c>
      <c r="AZ436">
        <v>5.967615153519545</v>
      </c>
      <c r="BC436" s="75">
        <v>0.54308506712305693</v>
      </c>
      <c r="BG436">
        <v>4.0697674418604647E-2</v>
      </c>
      <c r="BH436">
        <v>8.1395348837209308E-2</v>
      </c>
      <c r="BI436">
        <v>4.0697674418604647E-2</v>
      </c>
      <c r="BJ436">
        <v>0.54308506712305693</v>
      </c>
    </row>
    <row r="437" spans="1:62" x14ac:dyDescent="0.3">
      <c r="A437" s="2" t="s">
        <v>63</v>
      </c>
      <c r="B437" s="13" t="s">
        <v>773</v>
      </c>
      <c r="C437" s="13"/>
      <c r="F437" s="2">
        <v>3.5</v>
      </c>
      <c r="G437" s="2" t="s">
        <v>361</v>
      </c>
      <c r="H437" s="9">
        <v>-1</v>
      </c>
      <c r="I437">
        <v>-1</v>
      </c>
      <c r="J437"/>
      <c r="K437" s="2">
        <v>1</v>
      </c>
      <c r="L437" s="25">
        <v>0</v>
      </c>
      <c r="M437">
        <v>0</v>
      </c>
      <c r="N437">
        <v>0</v>
      </c>
      <c r="O437" s="2">
        <v>3.82</v>
      </c>
      <c r="P437" s="2">
        <v>3.82</v>
      </c>
      <c r="Q437" s="2">
        <v>16</v>
      </c>
      <c r="R437" s="2" t="s">
        <v>519</v>
      </c>
      <c r="S437" s="2">
        <v>16</v>
      </c>
      <c r="T437" s="25">
        <v>0</v>
      </c>
      <c r="U437"/>
      <c r="V437"/>
      <c r="W437">
        <v>0</v>
      </c>
      <c r="X437"/>
      <c r="Y437"/>
      <c r="Z437">
        <v>0</v>
      </c>
      <c r="AA437"/>
      <c r="AB437"/>
      <c r="AD437">
        <v>20</v>
      </c>
      <c r="AE437" s="55">
        <f t="shared" si="25"/>
        <v>233.47839999999999</v>
      </c>
      <c r="AF437" s="57">
        <v>0</v>
      </c>
      <c r="AG437" s="55">
        <v>0</v>
      </c>
      <c r="AH437" s="55">
        <v>0</v>
      </c>
      <c r="AI437" s="52">
        <f t="shared" ref="AI437" si="28">K437*AD437/AE437</f>
        <v>8.5661029028809524E-2</v>
      </c>
      <c r="AJ437" s="52"/>
      <c r="AK437" s="52"/>
      <c r="AL437" s="52"/>
      <c r="AM437" s="28">
        <v>1.75</v>
      </c>
      <c r="AN437" s="28">
        <v>2.5</v>
      </c>
      <c r="AO437" s="28">
        <v>0.75</v>
      </c>
      <c r="AP437" s="28">
        <v>0</v>
      </c>
      <c r="AQ437" s="28">
        <v>0.35</v>
      </c>
      <c r="AR437" s="28">
        <v>0.5</v>
      </c>
      <c r="AS437" s="28">
        <v>0.15</v>
      </c>
      <c r="AT437" s="28">
        <v>0</v>
      </c>
      <c r="AU437" s="25">
        <v>1</v>
      </c>
      <c r="AV437" s="25">
        <v>3.44</v>
      </c>
      <c r="AW437" s="25">
        <v>2.44</v>
      </c>
      <c r="AX437" s="25">
        <v>2.7124999999999999</v>
      </c>
      <c r="AY437">
        <v>2.7124999999999999</v>
      </c>
      <c r="AZ437">
        <v>6.264025610615688</v>
      </c>
      <c r="BD437">
        <v>4.2830514514404762E-2</v>
      </c>
      <c r="BH437">
        <v>8.5661029028809524E-2</v>
      </c>
      <c r="BI437">
        <v>4.2830514514404762E-2</v>
      </c>
      <c r="BJ437">
        <v>0</v>
      </c>
    </row>
    <row r="438" spans="1:62" x14ac:dyDescent="0.3">
      <c r="A438" s="2" t="s">
        <v>366</v>
      </c>
      <c r="B438" s="18" t="s">
        <v>1024</v>
      </c>
      <c r="C438" s="13"/>
      <c r="F438" s="2">
        <v>3.62</v>
      </c>
      <c r="G438" s="2" t="s">
        <v>361</v>
      </c>
      <c r="H438" s="9">
        <v>-1</v>
      </c>
      <c r="I438">
        <v>-1</v>
      </c>
      <c r="J438"/>
      <c r="K438" s="2">
        <v>1</v>
      </c>
      <c r="L438" s="25">
        <v>0</v>
      </c>
      <c r="M438">
        <v>0</v>
      </c>
      <c r="N438">
        <v>0</v>
      </c>
      <c r="O438" s="2">
        <v>3.86</v>
      </c>
      <c r="P438" s="2">
        <v>3.86</v>
      </c>
      <c r="Q438" s="2">
        <v>25.4</v>
      </c>
      <c r="R438" s="2" t="s">
        <v>519</v>
      </c>
      <c r="S438" s="2">
        <v>25.4</v>
      </c>
      <c r="T438" s="25">
        <v>0</v>
      </c>
      <c r="U438"/>
      <c r="V438"/>
      <c r="W438">
        <v>0</v>
      </c>
      <c r="X438"/>
      <c r="Y438"/>
      <c r="Z438">
        <v>0</v>
      </c>
      <c r="AA438"/>
      <c r="AB438"/>
      <c r="AD438">
        <v>20</v>
      </c>
      <c r="AE438" s="55">
        <f t="shared" si="25"/>
        <v>378.44983999999999</v>
      </c>
      <c r="AF438" s="57">
        <v>0</v>
      </c>
      <c r="AG438" s="55">
        <v>0</v>
      </c>
      <c r="AH438" s="55">
        <v>0</v>
      </c>
      <c r="AI438" s="52"/>
      <c r="AJ438" s="52"/>
      <c r="AK438" s="52"/>
      <c r="AL438" s="52"/>
      <c r="AM438" s="28">
        <v>1.53125</v>
      </c>
      <c r="AN438" s="28">
        <v>1.59375</v>
      </c>
      <c r="AO438" s="28">
        <v>0.375</v>
      </c>
      <c r="AP438" s="28">
        <v>0</v>
      </c>
      <c r="AQ438" s="28">
        <v>0.4375</v>
      </c>
      <c r="AR438" s="28">
        <v>0.45535714285714279</v>
      </c>
      <c r="AS438" s="28">
        <v>0.1071428571428571</v>
      </c>
      <c r="AT438" s="28">
        <v>0</v>
      </c>
      <c r="AU438" s="25">
        <v>1</v>
      </c>
      <c r="AV438" s="25">
        <v>3.44</v>
      </c>
      <c r="AW438" s="25">
        <v>2.44</v>
      </c>
      <c r="AX438" s="25">
        <v>2.5262500000000001</v>
      </c>
      <c r="AY438">
        <v>2.5262500000000001</v>
      </c>
      <c r="AZ438">
        <v>6.6075924153816246</v>
      </c>
      <c r="BD438">
        <v>2.6423580995568661E-2</v>
      </c>
      <c r="BH438">
        <v>0</v>
      </c>
      <c r="BI438">
        <v>2.6423580995568661E-2</v>
      </c>
      <c r="BJ438">
        <v>0</v>
      </c>
    </row>
    <row r="439" spans="1:62" x14ac:dyDescent="0.3">
      <c r="A439" s="2" t="s">
        <v>347</v>
      </c>
      <c r="B439" s="18" t="s">
        <v>1025</v>
      </c>
      <c r="C439" s="13"/>
      <c r="F439" s="2">
        <v>3.5</v>
      </c>
      <c r="G439" s="2" t="s">
        <v>361</v>
      </c>
      <c r="H439" s="9">
        <v>-1</v>
      </c>
      <c r="I439">
        <v>-1</v>
      </c>
      <c r="J439"/>
      <c r="K439" s="2">
        <v>2</v>
      </c>
      <c r="L439" s="25">
        <v>0</v>
      </c>
      <c r="M439">
        <v>0</v>
      </c>
      <c r="N439">
        <v>0</v>
      </c>
      <c r="O439" s="2">
        <v>3.86</v>
      </c>
      <c r="P439" s="2">
        <v>3.86</v>
      </c>
      <c r="Q439" s="2">
        <v>35.799999999999997</v>
      </c>
      <c r="R439" s="2" t="s">
        <v>519</v>
      </c>
      <c r="S439" s="2">
        <v>17.899999999999999</v>
      </c>
      <c r="T439" s="25">
        <v>0</v>
      </c>
      <c r="U439"/>
      <c r="V439"/>
      <c r="W439">
        <v>0</v>
      </c>
      <c r="X439"/>
      <c r="Y439"/>
      <c r="Z439">
        <v>0</v>
      </c>
      <c r="AA439"/>
      <c r="AB439"/>
      <c r="AD439">
        <v>22</v>
      </c>
      <c r="AE439" s="55">
        <f t="shared" si="25"/>
        <v>533.40567999999996</v>
      </c>
      <c r="AF439" s="57">
        <v>0</v>
      </c>
      <c r="AG439" s="55">
        <v>0</v>
      </c>
      <c r="AH439" s="55">
        <v>0</v>
      </c>
      <c r="AI439" s="52"/>
      <c r="AJ439" s="52"/>
      <c r="AK439" s="52"/>
      <c r="AL439" s="52"/>
      <c r="AM439" s="28">
        <v>1.6</v>
      </c>
      <c r="AN439" s="28">
        <v>1.92</v>
      </c>
      <c r="AO439" s="28">
        <v>0.48</v>
      </c>
      <c r="AP439" s="28">
        <v>0</v>
      </c>
      <c r="AQ439" s="28">
        <v>0.4</v>
      </c>
      <c r="AR439" s="28">
        <v>0.48</v>
      </c>
      <c r="AS439" s="28">
        <v>0.12</v>
      </c>
      <c r="AT439" s="28">
        <v>0</v>
      </c>
      <c r="AU439" s="25">
        <v>1</v>
      </c>
      <c r="AV439" s="25">
        <v>3.44</v>
      </c>
      <c r="AW439" s="25">
        <v>2.44</v>
      </c>
      <c r="AX439" s="25">
        <v>2.6055999999999999</v>
      </c>
      <c r="AY439">
        <v>2.6055999999999999</v>
      </c>
      <c r="AZ439">
        <v>6.5338195732382802</v>
      </c>
      <c r="BD439">
        <v>4.1244405196435109E-2</v>
      </c>
      <c r="BH439">
        <v>0</v>
      </c>
      <c r="BI439">
        <v>4.1244405196435109E-2</v>
      </c>
      <c r="BJ439">
        <v>0</v>
      </c>
    </row>
    <row r="440" spans="1:62" x14ac:dyDescent="0.3">
      <c r="A440" s="2" t="s">
        <v>353</v>
      </c>
      <c r="B440" s="13" t="s">
        <v>837</v>
      </c>
      <c r="C440" s="13"/>
      <c r="F440" s="2">
        <v>3.44</v>
      </c>
      <c r="G440" s="2" t="s">
        <v>361</v>
      </c>
      <c r="H440" s="9">
        <v>-1</v>
      </c>
      <c r="I440">
        <v>-1</v>
      </c>
      <c r="J440" t="s">
        <v>1242</v>
      </c>
      <c r="K440" s="2">
        <v>2</v>
      </c>
      <c r="L440" s="25">
        <v>0</v>
      </c>
      <c r="M440">
        <v>0</v>
      </c>
      <c r="N440">
        <v>0</v>
      </c>
      <c r="O440" s="2">
        <v>3.79</v>
      </c>
      <c r="P440" s="2">
        <v>3.79</v>
      </c>
      <c r="Q440" s="2">
        <v>27.2</v>
      </c>
      <c r="R440" s="2" t="s">
        <v>519</v>
      </c>
      <c r="S440" s="2">
        <v>13.6</v>
      </c>
      <c r="T440" s="25">
        <v>0</v>
      </c>
      <c r="U440"/>
      <c r="V440"/>
      <c r="W440">
        <v>0</v>
      </c>
      <c r="X440"/>
      <c r="Y440"/>
      <c r="Z440">
        <v>3.8113999999999999</v>
      </c>
      <c r="AA440">
        <v>3.8113999999999999</v>
      </c>
      <c r="AB440">
        <v>27.478000000000002</v>
      </c>
      <c r="AD440">
        <v>20</v>
      </c>
      <c r="AE440" s="55">
        <f t="shared" si="25"/>
        <v>390.70352000000003</v>
      </c>
      <c r="AF440" s="57">
        <v>0</v>
      </c>
      <c r="AG440" s="55">
        <v>0</v>
      </c>
      <c r="AH440" s="55">
        <v>399.2</v>
      </c>
      <c r="AI440" s="52">
        <f t="shared" ref="AI440:AI484" si="29">K440*AD440/AE440</f>
        <v>0.10237942058981193</v>
      </c>
      <c r="AJ440" s="52"/>
      <c r="AK440" s="52"/>
      <c r="AL440" s="52"/>
      <c r="AM440" s="28">
        <v>1.9375</v>
      </c>
      <c r="AN440" s="28">
        <v>2.5</v>
      </c>
      <c r="AO440" s="28">
        <v>0.5</v>
      </c>
      <c r="AP440" s="28">
        <v>0</v>
      </c>
      <c r="AQ440" s="28">
        <v>0.39240506329113922</v>
      </c>
      <c r="AR440" s="28">
        <v>0.50632911392405067</v>
      </c>
      <c r="AS440" s="28">
        <v>0.1012658227848101</v>
      </c>
      <c r="AT440" s="28">
        <v>0</v>
      </c>
      <c r="AU440" s="25">
        <v>1.1000000000000001</v>
      </c>
      <c r="AV440" s="25">
        <v>3.44</v>
      </c>
      <c r="AW440" s="25">
        <v>2.34</v>
      </c>
      <c r="AX440" s="25">
        <v>2.7137500000000001</v>
      </c>
      <c r="AY440">
        <v>2.7137500000000001</v>
      </c>
      <c r="AZ440">
        <v>6.1913913437406878</v>
      </c>
      <c r="BC440" s="75">
        <v>0</v>
      </c>
      <c r="BD440">
        <v>5.1189710294905967E-2</v>
      </c>
      <c r="BG440">
        <v>0</v>
      </c>
      <c r="BH440">
        <v>0.10237942058981191</v>
      </c>
      <c r="BI440">
        <v>2.559485514745298E-2</v>
      </c>
      <c r="BJ440">
        <v>0</v>
      </c>
    </row>
    <row r="441" spans="1:62" x14ac:dyDescent="0.3">
      <c r="A441" s="2" t="s">
        <v>370</v>
      </c>
      <c r="B441" s="18" t="s">
        <v>1026</v>
      </c>
      <c r="C441" s="13"/>
      <c r="F441" s="2">
        <v>3.39</v>
      </c>
      <c r="G441" s="2" t="s">
        <v>361</v>
      </c>
      <c r="H441" s="9">
        <v>-1</v>
      </c>
      <c r="I441">
        <v>-1</v>
      </c>
      <c r="J441"/>
      <c r="K441" s="2">
        <v>1</v>
      </c>
      <c r="L441" s="25">
        <v>0</v>
      </c>
      <c r="M441">
        <v>0</v>
      </c>
      <c r="N441">
        <v>0</v>
      </c>
      <c r="O441" s="2">
        <v>3.82</v>
      </c>
      <c r="P441" s="2">
        <v>3.82</v>
      </c>
      <c r="Q441" s="2">
        <v>20.2</v>
      </c>
      <c r="R441" s="2" t="s">
        <v>519</v>
      </c>
      <c r="S441" s="2">
        <v>20.2</v>
      </c>
      <c r="T441" s="25">
        <v>0</v>
      </c>
      <c r="U441"/>
      <c r="V441"/>
      <c r="W441">
        <v>0</v>
      </c>
      <c r="X441"/>
      <c r="Y441"/>
      <c r="Z441">
        <v>0</v>
      </c>
      <c r="AA441"/>
      <c r="AB441"/>
      <c r="AD441">
        <v>20</v>
      </c>
      <c r="AE441" s="55">
        <f t="shared" si="25"/>
        <v>294.76648</v>
      </c>
      <c r="AF441" s="57">
        <v>0</v>
      </c>
      <c r="AG441" s="55">
        <v>0</v>
      </c>
      <c r="AH441" s="55">
        <v>0</v>
      </c>
      <c r="AI441" s="52">
        <f t="shared" si="29"/>
        <v>6.7850320022819419E-2</v>
      </c>
      <c r="AJ441" s="52"/>
      <c r="AK441" s="52"/>
      <c r="AL441" s="52"/>
      <c r="AM441" s="28">
        <v>1.6923076923076921</v>
      </c>
      <c r="AN441" s="28">
        <v>1.8076923076923079</v>
      </c>
      <c r="AO441" s="28">
        <v>0.30769230769230771</v>
      </c>
      <c r="AP441" s="28">
        <v>0</v>
      </c>
      <c r="AQ441" s="28">
        <v>0.44444444444444448</v>
      </c>
      <c r="AR441" s="28">
        <v>0.47474747474747481</v>
      </c>
      <c r="AS441" s="28">
        <v>8.0808080808080815E-2</v>
      </c>
      <c r="AT441" s="28">
        <v>0</v>
      </c>
      <c r="AU441" s="25">
        <v>1.1000000000000001</v>
      </c>
      <c r="AV441" s="25">
        <v>3.44</v>
      </c>
      <c r="AW441" s="25">
        <v>2.34</v>
      </c>
      <c r="AX441" s="25">
        <v>2.5753846153846158</v>
      </c>
      <c r="AY441">
        <v>2.5753846153846149</v>
      </c>
      <c r="AZ441">
        <v>6.5020131619541548</v>
      </c>
      <c r="BD441">
        <v>3.3925160011409709E-2</v>
      </c>
      <c r="BH441">
        <v>6.7850320022819419E-2</v>
      </c>
      <c r="BI441">
        <v>3.3925160011409709E-2</v>
      </c>
      <c r="BJ441">
        <v>0</v>
      </c>
    </row>
    <row r="442" spans="1:62" x14ac:dyDescent="0.3">
      <c r="A442" s="2" t="s">
        <v>376</v>
      </c>
      <c r="B442" s="18" t="s">
        <v>1027</v>
      </c>
      <c r="C442" s="13"/>
      <c r="F442" s="2">
        <v>3.41</v>
      </c>
      <c r="G442" s="2" t="s">
        <v>361</v>
      </c>
      <c r="H442" s="9">
        <v>-1</v>
      </c>
      <c r="I442">
        <v>-1</v>
      </c>
      <c r="J442"/>
      <c r="K442" s="2">
        <v>2</v>
      </c>
      <c r="L442" s="25">
        <v>0</v>
      </c>
      <c r="M442">
        <v>0</v>
      </c>
      <c r="N442">
        <v>0</v>
      </c>
      <c r="O442" s="2">
        <v>3.83</v>
      </c>
      <c r="P442" s="2">
        <v>3.83</v>
      </c>
      <c r="Q442" s="2">
        <v>39.5</v>
      </c>
      <c r="R442" s="2" t="s">
        <v>519</v>
      </c>
      <c r="S442" s="2">
        <v>19.8</v>
      </c>
      <c r="T442" s="25">
        <v>0</v>
      </c>
      <c r="U442"/>
      <c r="V442"/>
      <c r="W442">
        <v>0</v>
      </c>
      <c r="X442"/>
      <c r="Y442"/>
      <c r="Z442">
        <v>0</v>
      </c>
      <c r="AA442"/>
      <c r="AB442"/>
      <c r="AD442">
        <v>20</v>
      </c>
      <c r="AE442" s="55">
        <f t="shared" si="25"/>
        <v>579.42155000000002</v>
      </c>
      <c r="AF442" s="57">
        <v>0</v>
      </c>
      <c r="AG442" s="55">
        <v>0</v>
      </c>
      <c r="AH442" s="55">
        <v>0</v>
      </c>
      <c r="AI442" s="52">
        <f t="shared" si="29"/>
        <v>6.9034367120104523E-2</v>
      </c>
      <c r="AJ442" s="52"/>
      <c r="AK442" s="52"/>
      <c r="AL442" s="52"/>
      <c r="AM442" s="28">
        <v>1.72</v>
      </c>
      <c r="AN442" s="28">
        <v>1.92</v>
      </c>
      <c r="AO442" s="28">
        <v>0.32</v>
      </c>
      <c r="AP442" s="28">
        <v>0</v>
      </c>
      <c r="AQ442" s="28">
        <v>0.43434343434343442</v>
      </c>
      <c r="AR442" s="28">
        <v>0.48484848484848492</v>
      </c>
      <c r="AS442" s="28">
        <v>8.0808080808080815E-2</v>
      </c>
      <c r="AT442" s="28">
        <v>0</v>
      </c>
      <c r="AU442" s="25">
        <v>1.1000000000000001</v>
      </c>
      <c r="AV442" s="25">
        <v>3.44</v>
      </c>
      <c r="AW442" s="25">
        <v>2.34</v>
      </c>
      <c r="AX442" s="25">
        <v>2.6063999999999998</v>
      </c>
      <c r="AY442">
        <v>2.6063999999999998</v>
      </c>
      <c r="AZ442">
        <v>6.4873336424382799</v>
      </c>
      <c r="BD442">
        <v>3.7968901916057493E-2</v>
      </c>
      <c r="BH442">
        <v>6.9034367120104523E-2</v>
      </c>
      <c r="BI442">
        <v>3.7968901916057493E-2</v>
      </c>
      <c r="BJ442">
        <v>0</v>
      </c>
    </row>
    <row r="443" spans="1:62" x14ac:dyDescent="0.3">
      <c r="A443" s="2" t="s">
        <v>63</v>
      </c>
      <c r="B443" s="34" t="s">
        <v>773</v>
      </c>
      <c r="C443" s="34"/>
      <c r="F443" s="2">
        <v>3.49</v>
      </c>
      <c r="G443" s="2" t="s">
        <v>362</v>
      </c>
      <c r="H443" s="35">
        <v>-1</v>
      </c>
      <c r="I443" s="2">
        <v>-1</v>
      </c>
      <c r="K443" s="2">
        <v>1</v>
      </c>
      <c r="L443" s="29">
        <v>0</v>
      </c>
      <c r="M443">
        <v>0</v>
      </c>
      <c r="N443">
        <v>0</v>
      </c>
      <c r="O443" s="2">
        <v>3.8531</v>
      </c>
      <c r="P443" s="2">
        <v>3.8531</v>
      </c>
      <c r="Q443" s="2">
        <v>16.2151</v>
      </c>
      <c r="R443" s="2" t="s">
        <v>519</v>
      </c>
      <c r="S443" s="5"/>
      <c r="T443" s="41">
        <v>0</v>
      </c>
      <c r="U443" s="5"/>
      <c r="V443" s="5"/>
      <c r="W443">
        <v>0</v>
      </c>
      <c r="X443"/>
      <c r="Y443"/>
      <c r="Z443">
        <v>0</v>
      </c>
      <c r="AA443"/>
      <c r="AB443"/>
      <c r="AC443" s="5"/>
      <c r="AD443" s="5">
        <v>20</v>
      </c>
      <c r="AE443" s="55">
        <f t="shared" si="25"/>
        <v>240.73553001411099</v>
      </c>
      <c r="AF443" s="57">
        <v>0</v>
      </c>
      <c r="AG443" s="55">
        <v>0</v>
      </c>
      <c r="AH443" s="55">
        <v>0</v>
      </c>
      <c r="AI443" s="52">
        <f t="shared" si="29"/>
        <v>8.3078721279022161E-2</v>
      </c>
      <c r="AJ443" s="52"/>
      <c r="AK443" s="52"/>
      <c r="AL443" s="52"/>
      <c r="AM443" s="5">
        <v>1.75</v>
      </c>
      <c r="AN443" s="5">
        <v>2.5</v>
      </c>
      <c r="AO443" s="5">
        <v>0.75</v>
      </c>
      <c r="AP443" s="5">
        <v>0</v>
      </c>
      <c r="AQ443" s="5">
        <v>0.35</v>
      </c>
      <c r="AR443" s="5">
        <v>0.5</v>
      </c>
      <c r="AS443" s="5">
        <v>0.15</v>
      </c>
      <c r="AT443" s="5">
        <v>0</v>
      </c>
      <c r="AU443" s="41">
        <v>1</v>
      </c>
      <c r="AV443" s="41">
        <v>3.44</v>
      </c>
      <c r="AW443" s="41">
        <v>2.44</v>
      </c>
      <c r="AX443" s="41">
        <v>2.7124999999999999</v>
      </c>
      <c r="AY443" s="5">
        <v>2.7124999999999999</v>
      </c>
      <c r="AZ443" s="5">
        <v>6.264025610615688</v>
      </c>
      <c r="BD443">
        <v>4.153936063951108E-2</v>
      </c>
      <c r="BH443">
        <v>8.3078721279022161E-2</v>
      </c>
      <c r="BI443">
        <v>4.153936063951108E-2</v>
      </c>
      <c r="BJ443">
        <v>0</v>
      </c>
    </row>
    <row r="444" spans="1:62" x14ac:dyDescent="0.3">
      <c r="A444" s="2" t="s">
        <v>363</v>
      </c>
      <c r="B444" s="48" t="s">
        <v>1028</v>
      </c>
      <c r="C444" s="34"/>
      <c r="F444" s="2">
        <v>3.56</v>
      </c>
      <c r="G444" s="2" t="s">
        <v>362</v>
      </c>
      <c r="H444" s="35">
        <v>-1</v>
      </c>
      <c r="I444" s="2">
        <v>-1</v>
      </c>
      <c r="K444" s="2">
        <v>1</v>
      </c>
      <c r="L444" s="29">
        <v>0</v>
      </c>
      <c r="M444">
        <v>0</v>
      </c>
      <c r="N444">
        <v>0</v>
      </c>
      <c r="O444" s="2">
        <v>3.86</v>
      </c>
      <c r="P444" s="2">
        <v>3.86</v>
      </c>
      <c r="Q444" s="2">
        <v>16.079999999999998</v>
      </c>
      <c r="R444" s="2" t="s">
        <v>519</v>
      </c>
      <c r="S444" s="5"/>
      <c r="T444" s="41">
        <v>0</v>
      </c>
      <c r="U444" s="5"/>
      <c r="V444" s="5"/>
      <c r="W444">
        <v>0</v>
      </c>
      <c r="X444"/>
      <c r="Y444"/>
      <c r="Z444">
        <v>0</v>
      </c>
      <c r="AA444"/>
      <c r="AB444"/>
      <c r="AC444" s="5"/>
      <c r="AD444" s="5">
        <v>20</v>
      </c>
      <c r="AE444" s="55">
        <f t="shared" si="25"/>
        <v>239.58556799999997</v>
      </c>
      <c r="AF444" s="57">
        <v>0</v>
      </c>
      <c r="AG444" s="55">
        <v>0</v>
      </c>
      <c r="AH444" s="55">
        <v>0</v>
      </c>
      <c r="AI444" s="52">
        <f t="shared" si="29"/>
        <v>8.34774822496821E-2</v>
      </c>
      <c r="AJ444" s="52"/>
      <c r="AK444" s="52"/>
      <c r="AL444" s="52"/>
      <c r="AM444" s="5">
        <v>1.5909090909090911</v>
      </c>
      <c r="AN444" s="5">
        <v>1.9090909090909089</v>
      </c>
      <c r="AO444" s="5">
        <v>0.54545454545454541</v>
      </c>
      <c r="AP444" s="5">
        <v>0</v>
      </c>
      <c r="AQ444" s="5">
        <v>0.3932584269662921</v>
      </c>
      <c r="AR444" s="5">
        <v>0.47191011235955049</v>
      </c>
      <c r="AS444" s="5">
        <v>0.1348314606741573</v>
      </c>
      <c r="AT444" s="5">
        <v>0</v>
      </c>
      <c r="AU444" s="41">
        <v>1</v>
      </c>
      <c r="AV444" s="41">
        <v>3.44</v>
      </c>
      <c r="AW444" s="41">
        <v>2.44</v>
      </c>
      <c r="AX444" s="41">
        <v>2.5886363636363638</v>
      </c>
      <c r="AY444" s="5">
        <v>2.588636363636363</v>
      </c>
      <c r="AZ444" s="5">
        <v>6.4712814579593632</v>
      </c>
      <c r="BD444">
        <v>4.173874112484105E-2</v>
      </c>
      <c r="BH444">
        <v>8.34774822496821E-2</v>
      </c>
      <c r="BI444">
        <v>4.173874112484105E-2</v>
      </c>
      <c r="BJ444">
        <v>0</v>
      </c>
    </row>
    <row r="445" spans="1:62" x14ac:dyDescent="0.3">
      <c r="A445" s="2" t="s">
        <v>364</v>
      </c>
      <c r="B445" s="48" t="s">
        <v>1029</v>
      </c>
      <c r="C445" s="34"/>
      <c r="F445" s="2">
        <v>3.6</v>
      </c>
      <c r="G445" s="2" t="s">
        <v>362</v>
      </c>
      <c r="H445" s="35">
        <v>-1</v>
      </c>
      <c r="I445" s="2">
        <v>-1</v>
      </c>
      <c r="K445" s="2">
        <v>1</v>
      </c>
      <c r="L445" s="29">
        <v>0</v>
      </c>
      <c r="M445">
        <v>0</v>
      </c>
      <c r="N445">
        <v>0</v>
      </c>
      <c r="O445" s="2">
        <v>3.87</v>
      </c>
      <c r="P445" s="2">
        <v>3.87</v>
      </c>
      <c r="Q445" s="2">
        <v>20.49</v>
      </c>
      <c r="R445" s="2" t="s">
        <v>519</v>
      </c>
      <c r="S445" s="5"/>
      <c r="T445" s="41">
        <v>0</v>
      </c>
      <c r="U445" s="5"/>
      <c r="V445" s="5"/>
      <c r="W445">
        <v>0</v>
      </c>
      <c r="X445"/>
      <c r="Y445"/>
      <c r="Z445">
        <v>0</v>
      </c>
      <c r="AA445"/>
      <c r="AB445"/>
      <c r="AC445" s="5"/>
      <c r="AD445" s="5">
        <v>20</v>
      </c>
      <c r="AE445" s="55">
        <f t="shared" si="25"/>
        <v>306.87668099999996</v>
      </c>
      <c r="AF445" s="57">
        <v>0</v>
      </c>
      <c r="AG445" s="55">
        <v>0</v>
      </c>
      <c r="AH445" s="55">
        <v>0</v>
      </c>
      <c r="AI445" s="52">
        <f t="shared" si="29"/>
        <v>6.517275908624677E-2</v>
      </c>
      <c r="AJ445" s="52"/>
      <c r="AK445" s="52"/>
      <c r="AL445" s="52"/>
      <c r="AM445" s="5">
        <v>1.56</v>
      </c>
      <c r="AN445" s="5">
        <v>1.76</v>
      </c>
      <c r="AO445" s="5">
        <v>0.48</v>
      </c>
      <c r="AP445" s="5">
        <v>0</v>
      </c>
      <c r="AQ445" s="5">
        <v>0.41052631578947368</v>
      </c>
      <c r="AR445" s="5">
        <v>0.4631578947368421</v>
      </c>
      <c r="AS445" s="5">
        <v>0.12631578947368419</v>
      </c>
      <c r="AT445" s="5">
        <v>0</v>
      </c>
      <c r="AU445" s="41">
        <v>1</v>
      </c>
      <c r="AV445" s="41">
        <v>3.44</v>
      </c>
      <c r="AW445" s="41">
        <v>2.44</v>
      </c>
      <c r="AX445" s="41">
        <v>2.556</v>
      </c>
      <c r="AY445" s="5">
        <v>2.556</v>
      </c>
      <c r="AZ445" s="5">
        <v>6.5192970192323214</v>
      </c>
      <c r="BD445">
        <v>3.2586379543123392E-2</v>
      </c>
      <c r="BH445">
        <v>6.517275908624677E-2</v>
      </c>
      <c r="BI445">
        <v>3.2586379543123392E-2</v>
      </c>
      <c r="BJ445">
        <v>0</v>
      </c>
    </row>
    <row r="446" spans="1:62" x14ac:dyDescent="0.3">
      <c r="A446" s="2" t="s">
        <v>365</v>
      </c>
      <c r="B446" s="48" t="s">
        <v>1030</v>
      </c>
      <c r="C446" s="34"/>
      <c r="F446" s="2">
        <v>3.55</v>
      </c>
      <c r="G446" s="2" t="s">
        <v>362</v>
      </c>
      <c r="H446" s="35">
        <v>-1</v>
      </c>
      <c r="I446" s="2">
        <v>-1</v>
      </c>
      <c r="K446" s="2">
        <v>1</v>
      </c>
      <c r="L446" s="29">
        <v>0</v>
      </c>
      <c r="M446">
        <v>0</v>
      </c>
      <c r="N446">
        <v>0</v>
      </c>
      <c r="O446" s="2">
        <v>3.87</v>
      </c>
      <c r="P446" s="2">
        <v>3.87</v>
      </c>
      <c r="Q446" s="2">
        <v>22.22</v>
      </c>
      <c r="R446" s="2" t="s">
        <v>519</v>
      </c>
      <c r="S446" s="5"/>
      <c r="T446" s="41">
        <v>0</v>
      </c>
      <c r="U446" s="5"/>
      <c r="V446" s="5"/>
      <c r="W446">
        <v>0</v>
      </c>
      <c r="X446"/>
      <c r="Y446"/>
      <c r="Z446">
        <v>0</v>
      </c>
      <c r="AA446"/>
      <c r="AB446"/>
      <c r="AC446" s="5"/>
      <c r="AD446" s="5">
        <v>20</v>
      </c>
      <c r="AE446" s="55">
        <f t="shared" si="25"/>
        <v>332.78671800000001</v>
      </c>
      <c r="AF446" s="57">
        <v>0</v>
      </c>
      <c r="AG446" s="55">
        <v>0</v>
      </c>
      <c r="AH446" s="55">
        <v>0</v>
      </c>
      <c r="AI446" s="52">
        <f t="shared" si="29"/>
        <v>6.0098552370710899E-2</v>
      </c>
      <c r="AJ446" s="52"/>
      <c r="AK446" s="52"/>
      <c r="AL446" s="52"/>
      <c r="AM446" s="5">
        <v>1.535714285714286</v>
      </c>
      <c r="AN446" s="5">
        <v>1.642857142857143</v>
      </c>
      <c r="AO446" s="5">
        <v>0.42857142857142849</v>
      </c>
      <c r="AP446" s="5">
        <v>0</v>
      </c>
      <c r="AQ446" s="5">
        <v>0.42574257425742579</v>
      </c>
      <c r="AR446" s="5">
        <v>0.45544554455445541</v>
      </c>
      <c r="AS446" s="5">
        <v>0.11881188118811881</v>
      </c>
      <c r="AT446" s="5">
        <v>0</v>
      </c>
      <c r="AU446" s="41">
        <v>1</v>
      </c>
      <c r="AV446" s="41">
        <v>3.44</v>
      </c>
      <c r="AW446" s="41">
        <v>2.44</v>
      </c>
      <c r="AX446" s="41">
        <v>2.530357142857143</v>
      </c>
      <c r="AY446" s="5">
        <v>2.530357142857143</v>
      </c>
      <c r="AZ446" s="5">
        <v>6.5570235316610717</v>
      </c>
      <c r="BD446">
        <v>3.004927618535545E-2</v>
      </c>
      <c r="BH446">
        <v>6.0098552370710899E-2</v>
      </c>
      <c r="BI446">
        <v>3.004927618535545E-2</v>
      </c>
      <c r="BJ446">
        <v>0</v>
      </c>
    </row>
    <row r="447" spans="1:62" x14ac:dyDescent="0.3">
      <c r="A447" s="2" t="s">
        <v>366</v>
      </c>
      <c r="B447" s="48" t="s">
        <v>1031</v>
      </c>
      <c r="C447" s="34"/>
      <c r="F447" s="2">
        <v>3.62</v>
      </c>
      <c r="G447" s="2" t="s">
        <v>362</v>
      </c>
      <c r="H447" s="35">
        <v>-1</v>
      </c>
      <c r="I447" s="2">
        <v>-1</v>
      </c>
      <c r="K447" s="2">
        <v>1</v>
      </c>
      <c r="L447" s="29">
        <v>0</v>
      </c>
      <c r="M447">
        <v>0</v>
      </c>
      <c r="N447">
        <v>0</v>
      </c>
      <c r="O447" s="2">
        <v>3.86</v>
      </c>
      <c r="P447" s="2">
        <v>3.86</v>
      </c>
      <c r="Q447" s="2">
        <v>25.35</v>
      </c>
      <c r="R447" s="2" t="s">
        <v>519</v>
      </c>
      <c r="S447" s="5"/>
      <c r="T447" s="41">
        <v>0</v>
      </c>
      <c r="U447" s="5"/>
      <c r="V447" s="5"/>
      <c r="W447">
        <v>0</v>
      </c>
      <c r="X447"/>
      <c r="Y447"/>
      <c r="Z447">
        <v>0</v>
      </c>
      <c r="AA447"/>
      <c r="AB447"/>
      <c r="AC447" s="5"/>
      <c r="AD447" s="5">
        <v>20</v>
      </c>
      <c r="AE447" s="55">
        <f t="shared" si="25"/>
        <v>377.70486</v>
      </c>
      <c r="AF447" s="57">
        <v>0</v>
      </c>
      <c r="AG447" s="55">
        <v>0</v>
      </c>
      <c r="AH447" s="55">
        <v>0</v>
      </c>
      <c r="AI447" s="52">
        <f t="shared" si="29"/>
        <v>5.2951397024650411E-2</v>
      </c>
      <c r="AJ447" s="52"/>
      <c r="AK447" s="52"/>
      <c r="AL447" s="52"/>
      <c r="AM447" s="5">
        <v>1.5161290322580649</v>
      </c>
      <c r="AN447" s="5">
        <v>1.5483870967741939</v>
      </c>
      <c r="AO447" s="5">
        <v>0.38709677419354838</v>
      </c>
      <c r="AP447" s="5">
        <v>0</v>
      </c>
      <c r="AQ447" s="5">
        <v>0.43925233644859812</v>
      </c>
      <c r="AR447" s="5">
        <v>0.44859813084112149</v>
      </c>
      <c r="AS447" s="5">
        <v>0.1121495327102804</v>
      </c>
      <c r="AT447" s="5">
        <v>0</v>
      </c>
      <c r="AU447" s="41">
        <v>1</v>
      </c>
      <c r="AV447" s="41">
        <v>3.44</v>
      </c>
      <c r="AW447" s="41">
        <v>2.44</v>
      </c>
      <c r="AX447" s="41">
        <v>2.5096774193548388</v>
      </c>
      <c r="AY447" s="5">
        <v>2.5096774193548388</v>
      </c>
      <c r="AZ447" s="5">
        <v>6.587448138458452</v>
      </c>
      <c r="BD447">
        <v>2.6475698512325209E-2</v>
      </c>
      <c r="BH447">
        <v>5.2951397024650411E-2</v>
      </c>
      <c r="BI447">
        <v>2.6475698512325209E-2</v>
      </c>
      <c r="BJ447">
        <v>0</v>
      </c>
    </row>
    <row r="448" spans="1:62" x14ac:dyDescent="0.3">
      <c r="A448" s="2" t="s">
        <v>367</v>
      </c>
      <c r="B448" s="48" t="s">
        <v>1032</v>
      </c>
      <c r="C448" s="34"/>
      <c r="F448" s="2">
        <v>3.55</v>
      </c>
      <c r="G448" s="2" t="s">
        <v>362</v>
      </c>
      <c r="H448" s="35">
        <v>-1</v>
      </c>
      <c r="I448" s="2">
        <v>-1</v>
      </c>
      <c r="K448" s="2">
        <v>1</v>
      </c>
      <c r="L448" s="29">
        <v>0</v>
      </c>
      <c r="M448">
        <v>0</v>
      </c>
      <c r="N448">
        <v>0</v>
      </c>
      <c r="O448" s="2">
        <v>3.86</v>
      </c>
      <c r="P448" s="2">
        <v>3.86</v>
      </c>
      <c r="Q448" s="2">
        <v>29.53</v>
      </c>
      <c r="R448" s="2" t="s">
        <v>519</v>
      </c>
      <c r="S448" s="5"/>
      <c r="T448" s="41">
        <v>0</v>
      </c>
      <c r="U448" s="5"/>
      <c r="V448" s="5"/>
      <c r="W448">
        <v>0</v>
      </c>
      <c r="X448"/>
      <c r="Y448"/>
      <c r="Z448">
        <v>0</v>
      </c>
      <c r="AA448"/>
      <c r="AB448"/>
      <c r="AC448" s="5"/>
      <c r="AD448" s="5">
        <v>20</v>
      </c>
      <c r="AE448" s="55">
        <f t="shared" si="25"/>
        <v>439.98518799999999</v>
      </c>
      <c r="AF448" s="57">
        <v>0</v>
      </c>
      <c r="AG448" s="55">
        <v>0</v>
      </c>
      <c r="AH448" s="55">
        <v>0</v>
      </c>
      <c r="AI448" s="52">
        <f t="shared" si="29"/>
        <v>4.5456075671347372E-2</v>
      </c>
      <c r="AJ448" s="52"/>
      <c r="AK448" s="52"/>
      <c r="AL448" s="52"/>
      <c r="AM448" s="5">
        <v>1.486486486486486</v>
      </c>
      <c r="AN448" s="5">
        <v>1.405405405405405</v>
      </c>
      <c r="AO448" s="5">
        <v>0.32432432432432429</v>
      </c>
      <c r="AP448" s="5">
        <v>0</v>
      </c>
      <c r="AQ448" s="5">
        <v>0.4621848739495798</v>
      </c>
      <c r="AR448" s="5">
        <v>0.43697478991596639</v>
      </c>
      <c r="AS448" s="5">
        <v>0.1008403361344538</v>
      </c>
      <c r="AT448" s="5">
        <v>0</v>
      </c>
      <c r="AU448" s="41">
        <v>1</v>
      </c>
      <c r="AV448" s="41">
        <v>3.44</v>
      </c>
      <c r="AW448" s="41">
        <v>2.44</v>
      </c>
      <c r="AX448" s="41">
        <v>2.4783783783783782</v>
      </c>
      <c r="AY448" s="5">
        <v>2.478378378378379</v>
      </c>
      <c r="AZ448" s="5">
        <v>6.6334961919896216</v>
      </c>
      <c r="BD448">
        <v>2.272803783567369E-2</v>
      </c>
      <c r="BH448">
        <v>4.5456075671347372E-2</v>
      </c>
      <c r="BI448">
        <v>2.272803783567369E-2</v>
      </c>
      <c r="BJ448">
        <v>0</v>
      </c>
    </row>
    <row r="449" spans="1:62" x14ac:dyDescent="0.3">
      <c r="A449" s="2" t="s">
        <v>368</v>
      </c>
      <c r="B449" s="48" t="s">
        <v>1033</v>
      </c>
      <c r="C449" s="34"/>
      <c r="F449" s="2">
        <v>2.6</v>
      </c>
      <c r="G449" s="2" t="s">
        <v>362</v>
      </c>
      <c r="H449" s="35">
        <v>-1</v>
      </c>
      <c r="I449" s="2">
        <v>-1</v>
      </c>
      <c r="K449" s="2">
        <v>1</v>
      </c>
      <c r="L449" s="29">
        <v>0</v>
      </c>
      <c r="M449">
        <v>0</v>
      </c>
      <c r="N449">
        <v>0</v>
      </c>
      <c r="O449" s="2">
        <v>3.86</v>
      </c>
      <c r="P449" s="2">
        <v>3.86</v>
      </c>
      <c r="Q449" s="2">
        <v>33.53</v>
      </c>
      <c r="R449" s="2" t="s">
        <v>519</v>
      </c>
      <c r="S449" s="5"/>
      <c r="T449" s="41">
        <v>0</v>
      </c>
      <c r="U449" s="5"/>
      <c r="V449" s="5"/>
      <c r="W449">
        <v>0</v>
      </c>
      <c r="X449"/>
      <c r="Y449"/>
      <c r="Z449">
        <v>0</v>
      </c>
      <c r="AA449"/>
      <c r="AB449"/>
      <c r="AC449" s="5"/>
      <c r="AD449" s="5">
        <v>20</v>
      </c>
      <c r="AE449" s="55">
        <f t="shared" si="25"/>
        <v>499.58358800000002</v>
      </c>
      <c r="AF449" s="57">
        <v>0</v>
      </c>
      <c r="AG449" s="55">
        <v>0</v>
      </c>
      <c r="AH449" s="55">
        <v>0</v>
      </c>
      <c r="AI449" s="52">
        <f t="shared" si="29"/>
        <v>4.0033340726957585E-2</v>
      </c>
      <c r="AJ449" s="52"/>
      <c r="AK449" s="52"/>
      <c r="AL449" s="52"/>
      <c r="AM449" s="5">
        <v>1.4651162790697669</v>
      </c>
      <c r="AN449" s="5">
        <v>1.3023255813953489</v>
      </c>
      <c r="AO449" s="5">
        <v>0.27906976744186052</v>
      </c>
      <c r="AP449" s="5">
        <v>0</v>
      </c>
      <c r="AQ449" s="5">
        <v>0.48091603053435111</v>
      </c>
      <c r="AR449" s="5">
        <v>0.4274809160305344</v>
      </c>
      <c r="AS449" s="5">
        <v>9.1603053435114504E-2</v>
      </c>
      <c r="AT449" s="5">
        <v>0</v>
      </c>
      <c r="AU449" s="41">
        <v>1</v>
      </c>
      <c r="AV449" s="41">
        <v>3.44</v>
      </c>
      <c r="AW449" s="41">
        <v>2.44</v>
      </c>
      <c r="AX449" s="41">
        <v>2.4558139534883718</v>
      </c>
      <c r="AY449" s="5">
        <v>2.4558139534883718</v>
      </c>
      <c r="AZ449" s="5">
        <v>6.6666936259306979</v>
      </c>
      <c r="BD449">
        <v>2.0016670363478789E-2</v>
      </c>
      <c r="BH449">
        <v>4.0033340726957578E-2</v>
      </c>
      <c r="BI449">
        <v>2.0016670363478789E-2</v>
      </c>
      <c r="BJ449">
        <v>0</v>
      </c>
    </row>
    <row r="450" spans="1:62" x14ac:dyDescent="0.3">
      <c r="A450" s="2" t="s">
        <v>353</v>
      </c>
      <c r="B450" s="13" t="s">
        <v>834</v>
      </c>
      <c r="C450" s="13"/>
      <c r="F450" s="2">
        <v>3.44</v>
      </c>
      <c r="G450" s="2" t="s">
        <v>380</v>
      </c>
      <c r="H450" s="9">
        <v>-1</v>
      </c>
      <c r="I450">
        <v>-1</v>
      </c>
      <c r="J450"/>
      <c r="K450" s="2">
        <v>2</v>
      </c>
      <c r="L450" s="25">
        <v>0</v>
      </c>
      <c r="M450">
        <v>0</v>
      </c>
      <c r="N450">
        <v>0</v>
      </c>
      <c r="O450" s="2">
        <v>3.79</v>
      </c>
      <c r="P450" s="2">
        <v>3.79</v>
      </c>
      <c r="Q450" s="2">
        <v>27.2</v>
      </c>
      <c r="R450" s="2" t="s">
        <v>519</v>
      </c>
      <c r="S450" s="2">
        <v>13.6</v>
      </c>
      <c r="T450" s="25">
        <v>0</v>
      </c>
      <c r="U450"/>
      <c r="V450"/>
      <c r="W450">
        <v>0</v>
      </c>
      <c r="X450"/>
      <c r="Y450"/>
      <c r="Z450">
        <v>0</v>
      </c>
      <c r="AA450"/>
      <c r="AB450"/>
      <c r="AD450">
        <v>20</v>
      </c>
      <c r="AE450" s="55">
        <f t="shared" si="25"/>
        <v>390.70352000000003</v>
      </c>
      <c r="AF450" s="57">
        <v>0</v>
      </c>
      <c r="AG450" s="55">
        <v>0</v>
      </c>
      <c r="AH450" s="55">
        <v>0</v>
      </c>
      <c r="AI450" s="52">
        <f t="shared" si="29"/>
        <v>0.10237942058981193</v>
      </c>
      <c r="AJ450" s="52"/>
      <c r="AK450" s="52"/>
      <c r="AL450" s="52"/>
      <c r="AM450" s="28">
        <v>1.882352941176471</v>
      </c>
      <c r="AN450" s="28">
        <v>2.3529411764705879</v>
      </c>
      <c r="AO450" s="28">
        <v>0.47058823529411759</v>
      </c>
      <c r="AP450" s="28">
        <v>0</v>
      </c>
      <c r="AQ450" s="28">
        <v>0.4</v>
      </c>
      <c r="AR450" s="28">
        <v>0.5</v>
      </c>
      <c r="AS450" s="28">
        <v>9.9999999999999992E-2</v>
      </c>
      <c r="AT450" s="28">
        <v>0</v>
      </c>
      <c r="AU450" s="25">
        <v>1.1000000000000001</v>
      </c>
      <c r="AV450" s="25">
        <v>3.44</v>
      </c>
      <c r="AW450" s="25">
        <v>2.34</v>
      </c>
      <c r="AX450" s="25">
        <v>2.6835294117647059</v>
      </c>
      <c r="AY450">
        <v>2.6835294117647059</v>
      </c>
      <c r="AZ450">
        <v>6.2493398705707062</v>
      </c>
      <c r="BD450">
        <v>5.1189710294905967E-2</v>
      </c>
      <c r="BH450">
        <v>0.10237942058981191</v>
      </c>
      <c r="BI450">
        <v>5.1189710294905967E-2</v>
      </c>
      <c r="BJ450">
        <v>0</v>
      </c>
    </row>
    <row r="451" spans="1:62" x14ac:dyDescent="0.3">
      <c r="A451" s="2" t="s">
        <v>369</v>
      </c>
      <c r="B451" s="18" t="s">
        <v>1034</v>
      </c>
      <c r="C451" s="13"/>
      <c r="F451" s="2">
        <v>3.34</v>
      </c>
      <c r="G451" s="2" t="s">
        <v>380</v>
      </c>
      <c r="H451" s="9">
        <v>-1</v>
      </c>
      <c r="I451">
        <v>-1</v>
      </c>
      <c r="J451"/>
      <c r="K451" s="2">
        <v>2</v>
      </c>
      <c r="L451" s="25">
        <v>0</v>
      </c>
      <c r="M451">
        <v>0</v>
      </c>
      <c r="N451">
        <v>0</v>
      </c>
      <c r="O451" s="2">
        <v>3.83</v>
      </c>
      <c r="P451" s="2">
        <v>3.83</v>
      </c>
      <c r="Q451" s="2">
        <v>36.700000000000003</v>
      </c>
      <c r="R451" s="2" t="s">
        <v>519</v>
      </c>
      <c r="S451" s="2">
        <v>18.399999999999999</v>
      </c>
      <c r="T451" s="25">
        <v>0</v>
      </c>
      <c r="U451"/>
      <c r="V451"/>
      <c r="W451">
        <v>0</v>
      </c>
      <c r="X451"/>
      <c r="Y451"/>
      <c r="Z451">
        <v>0</v>
      </c>
      <c r="AA451"/>
      <c r="AB451"/>
      <c r="AD451">
        <v>20</v>
      </c>
      <c r="AE451" s="55">
        <f t="shared" ref="AE451:AE514" si="30">O451*P451*Q451</f>
        <v>538.34863000000007</v>
      </c>
      <c r="AF451" s="57">
        <v>0</v>
      </c>
      <c r="AG451" s="55">
        <v>0</v>
      </c>
      <c r="AH451" s="55">
        <v>0</v>
      </c>
      <c r="AI451" s="52">
        <f t="shared" si="29"/>
        <v>7.4301294311829108E-2</v>
      </c>
      <c r="AJ451" s="52"/>
      <c r="AK451" s="52"/>
      <c r="AL451" s="52"/>
      <c r="AM451" s="28">
        <v>1.7391304347826091</v>
      </c>
      <c r="AN451" s="28">
        <v>1.956521739130435</v>
      </c>
      <c r="AO451" s="28">
        <v>0.34782608695652167</v>
      </c>
      <c r="AP451" s="28">
        <v>0</v>
      </c>
      <c r="AQ451" s="28">
        <v>0.43010752688172038</v>
      </c>
      <c r="AR451" s="28">
        <v>0.48387096774193539</v>
      </c>
      <c r="AS451" s="28">
        <v>8.6021505376344079E-2</v>
      </c>
      <c r="AT451" s="28">
        <v>0</v>
      </c>
      <c r="AU451" s="25">
        <v>1.1000000000000001</v>
      </c>
      <c r="AV451" s="25">
        <v>3.44</v>
      </c>
      <c r="AW451" s="25">
        <v>2.34</v>
      </c>
      <c r="AX451" s="25">
        <v>2.609130434782609</v>
      </c>
      <c r="AY451">
        <v>2.609130434782609</v>
      </c>
      <c r="AZ451">
        <v>6.4538308176133041</v>
      </c>
      <c r="BD451">
        <v>3.7150647155914547E-2</v>
      </c>
      <c r="BH451">
        <v>7.4301294311829108E-2</v>
      </c>
      <c r="BI451">
        <v>3.7150647155914547E-2</v>
      </c>
      <c r="BJ451">
        <v>0</v>
      </c>
    </row>
    <row r="452" spans="1:62" x14ac:dyDescent="0.3">
      <c r="A452" s="2" t="s">
        <v>370</v>
      </c>
      <c r="B452" s="18" t="s">
        <v>1026</v>
      </c>
      <c r="C452" s="13"/>
      <c r="F452" s="2">
        <v>3.39</v>
      </c>
      <c r="G452" s="2" t="s">
        <v>380</v>
      </c>
      <c r="H452" s="9">
        <v>-1</v>
      </c>
      <c r="I452">
        <v>-1</v>
      </c>
      <c r="J452"/>
      <c r="K452" s="2">
        <v>1</v>
      </c>
      <c r="L452" s="25">
        <v>0</v>
      </c>
      <c r="M452">
        <v>0</v>
      </c>
      <c r="N452">
        <v>0</v>
      </c>
      <c r="O452" s="2">
        <v>3.82</v>
      </c>
      <c r="P452" s="2">
        <v>3.82</v>
      </c>
      <c r="Q452" s="2">
        <v>20.2</v>
      </c>
      <c r="R452" s="2" t="s">
        <v>519</v>
      </c>
      <c r="S452" s="2">
        <v>20.2</v>
      </c>
      <c r="T452" s="25">
        <v>0</v>
      </c>
      <c r="U452"/>
      <c r="V452"/>
      <c r="W452">
        <v>0</v>
      </c>
      <c r="X452"/>
      <c r="Y452"/>
      <c r="Z452">
        <v>0</v>
      </c>
      <c r="AA452"/>
      <c r="AB452"/>
      <c r="AD452">
        <v>20</v>
      </c>
      <c r="AE452" s="55">
        <f t="shared" si="30"/>
        <v>294.76648</v>
      </c>
      <c r="AF452" s="57">
        <v>0</v>
      </c>
      <c r="AG452" s="55">
        <v>0</v>
      </c>
      <c r="AH452" s="55">
        <v>0</v>
      </c>
      <c r="AI452" s="52">
        <f t="shared" si="29"/>
        <v>6.7850320022819419E-2</v>
      </c>
      <c r="AJ452" s="52"/>
      <c r="AK452" s="52"/>
      <c r="AL452" s="52"/>
      <c r="AM452" s="28">
        <v>1.6923076923076921</v>
      </c>
      <c r="AN452" s="28">
        <v>1.8076923076923079</v>
      </c>
      <c r="AO452" s="28">
        <v>0.30769230769230771</v>
      </c>
      <c r="AP452" s="28">
        <v>0</v>
      </c>
      <c r="AQ452" s="28">
        <v>0.44444444444444448</v>
      </c>
      <c r="AR452" s="28">
        <v>0.47474747474747481</v>
      </c>
      <c r="AS452" s="28">
        <v>8.0808080808080815E-2</v>
      </c>
      <c r="AT452" s="28">
        <v>0</v>
      </c>
      <c r="AU452" s="25">
        <v>1.1000000000000001</v>
      </c>
      <c r="AV452" s="25">
        <v>3.44</v>
      </c>
      <c r="AW452" s="25">
        <v>2.34</v>
      </c>
      <c r="AX452" s="25">
        <v>2.5753846153846158</v>
      </c>
      <c r="AY452">
        <v>2.5753846153846149</v>
      </c>
      <c r="AZ452">
        <v>6.5020131619541548</v>
      </c>
      <c r="BD452">
        <v>3.3925160011409709E-2</v>
      </c>
      <c r="BH452">
        <v>6.7850320022819419E-2</v>
      </c>
      <c r="BI452">
        <v>3.3925160011409709E-2</v>
      </c>
      <c r="BJ452">
        <v>0</v>
      </c>
    </row>
    <row r="453" spans="1:62" x14ac:dyDescent="0.3">
      <c r="A453" s="2" t="s">
        <v>371</v>
      </c>
      <c r="B453" s="18" t="s">
        <v>1035</v>
      </c>
      <c r="C453" s="13"/>
      <c r="F453" s="2">
        <v>3.4</v>
      </c>
      <c r="G453" s="2" t="s">
        <v>380</v>
      </c>
      <c r="H453" s="9">
        <v>-1</v>
      </c>
      <c r="I453">
        <v>-1</v>
      </c>
      <c r="J453"/>
      <c r="K453" s="2">
        <v>1</v>
      </c>
      <c r="L453" s="25">
        <v>0</v>
      </c>
      <c r="M453">
        <v>0</v>
      </c>
      <c r="N453">
        <v>0</v>
      </c>
      <c r="O453" s="2">
        <v>3.82</v>
      </c>
      <c r="P453" s="2">
        <v>3.82</v>
      </c>
      <c r="Q453" s="2">
        <v>21.7</v>
      </c>
      <c r="R453" s="2" t="s">
        <v>519</v>
      </c>
      <c r="S453" s="2">
        <v>21.7</v>
      </c>
      <c r="T453" s="25">
        <v>0</v>
      </c>
      <c r="U453"/>
      <c r="V453"/>
      <c r="W453">
        <v>0</v>
      </c>
      <c r="X453"/>
      <c r="Y453"/>
      <c r="Z453">
        <v>0</v>
      </c>
      <c r="AA453"/>
      <c r="AB453"/>
      <c r="AD453">
        <v>20</v>
      </c>
      <c r="AE453" s="55">
        <f t="shared" si="30"/>
        <v>316.65508</v>
      </c>
      <c r="AF453" s="57">
        <v>0</v>
      </c>
      <c r="AG453" s="55">
        <v>0</v>
      </c>
      <c r="AH453" s="55">
        <v>0</v>
      </c>
      <c r="AI453" s="52">
        <f t="shared" si="29"/>
        <v>6.3160205735527761E-2</v>
      </c>
      <c r="AJ453" s="52"/>
      <c r="AK453" s="52"/>
      <c r="AL453" s="52"/>
      <c r="AM453" s="28">
        <v>1.655172413793103</v>
      </c>
      <c r="AN453" s="28">
        <v>1.6896551724137929</v>
      </c>
      <c r="AO453" s="28">
        <v>0.27586206896551718</v>
      </c>
      <c r="AP453" s="28">
        <v>0</v>
      </c>
      <c r="AQ453" s="28">
        <v>0.45714285714285707</v>
      </c>
      <c r="AR453" s="28">
        <v>0.46666666666666667</v>
      </c>
      <c r="AS453" s="28">
        <v>7.6190476190476197E-2</v>
      </c>
      <c r="AT453" s="28">
        <v>0</v>
      </c>
      <c r="AU453" s="25">
        <v>1.1000000000000001</v>
      </c>
      <c r="AV453" s="25">
        <v>3.44</v>
      </c>
      <c r="AW453" s="25">
        <v>2.34</v>
      </c>
      <c r="AX453" s="25">
        <v>2.5486206896551722</v>
      </c>
      <c r="AY453">
        <v>2.5486206896551722</v>
      </c>
      <c r="AZ453">
        <v>6.5402267453968976</v>
      </c>
      <c r="BD453">
        <v>3.158010286776388E-2</v>
      </c>
      <c r="BH453">
        <v>6.3160205735527761E-2</v>
      </c>
      <c r="BI453">
        <v>3.158010286776388E-2</v>
      </c>
      <c r="BJ453">
        <v>0</v>
      </c>
    </row>
    <row r="454" spans="1:62" x14ac:dyDescent="0.3">
      <c r="A454" s="2" t="s">
        <v>372</v>
      </c>
      <c r="B454" s="18" t="s">
        <v>1036</v>
      </c>
      <c r="C454" s="13"/>
      <c r="F454" s="2">
        <v>3.42</v>
      </c>
      <c r="G454" s="2" t="s">
        <v>380</v>
      </c>
      <c r="H454" s="9">
        <v>-1</v>
      </c>
      <c r="I454">
        <v>-1</v>
      </c>
      <c r="J454"/>
      <c r="K454" s="2">
        <v>1</v>
      </c>
      <c r="L454" s="25">
        <v>0</v>
      </c>
      <c r="M454">
        <v>0</v>
      </c>
      <c r="N454">
        <v>0</v>
      </c>
      <c r="O454" s="2">
        <v>3.81</v>
      </c>
      <c r="P454" s="2">
        <v>3.81</v>
      </c>
      <c r="Q454" s="2">
        <v>24.7</v>
      </c>
      <c r="R454" s="2" t="s">
        <v>519</v>
      </c>
      <c r="S454" s="2">
        <v>24.7</v>
      </c>
      <c r="T454" s="25">
        <v>0</v>
      </c>
      <c r="U454"/>
      <c r="V454"/>
      <c r="W454">
        <v>0</v>
      </c>
      <c r="X454"/>
      <c r="Y454"/>
      <c r="Z454">
        <v>0</v>
      </c>
      <c r="AA454"/>
      <c r="AB454"/>
      <c r="AD454">
        <v>20</v>
      </c>
      <c r="AE454" s="55">
        <f t="shared" si="30"/>
        <v>358.54766999999998</v>
      </c>
      <c r="AF454" s="57">
        <v>0</v>
      </c>
      <c r="AG454" s="55">
        <v>0</v>
      </c>
      <c r="AH454" s="55">
        <v>0</v>
      </c>
      <c r="AI454" s="52">
        <f t="shared" si="29"/>
        <v>5.5780588394285201E-2</v>
      </c>
      <c r="AJ454" s="52"/>
      <c r="AK454" s="52"/>
      <c r="AL454" s="52"/>
      <c r="AM454" s="28">
        <v>1.625</v>
      </c>
      <c r="AN454" s="28">
        <v>1.59375</v>
      </c>
      <c r="AO454" s="28">
        <v>0.25</v>
      </c>
      <c r="AP454" s="28">
        <v>0</v>
      </c>
      <c r="AQ454" s="28">
        <v>0.46846846846846851</v>
      </c>
      <c r="AR454" s="28">
        <v>0.45945945945945948</v>
      </c>
      <c r="AS454" s="28">
        <v>7.2072072072072071E-2</v>
      </c>
      <c r="AT454" s="28">
        <v>0</v>
      </c>
      <c r="AU454" s="25">
        <v>1.1000000000000001</v>
      </c>
      <c r="AV454" s="25">
        <v>3.44</v>
      </c>
      <c r="AW454" s="25">
        <v>2.34</v>
      </c>
      <c r="AX454" s="25">
        <v>2.526875</v>
      </c>
      <c r="AY454">
        <v>2.526875</v>
      </c>
      <c r="AZ454">
        <v>6.5712752819441249</v>
      </c>
      <c r="BD454">
        <v>2.78902941971426E-2</v>
      </c>
      <c r="BH454">
        <v>5.5780588394285201E-2</v>
      </c>
      <c r="BI454">
        <v>2.78902941971426E-2</v>
      </c>
      <c r="BJ454">
        <v>0</v>
      </c>
    </row>
    <row r="455" spans="1:62" x14ac:dyDescent="0.3">
      <c r="A455" s="2" t="s">
        <v>373</v>
      </c>
      <c r="B455" s="18" t="s">
        <v>1037</v>
      </c>
      <c r="C455" s="13"/>
      <c r="F455" s="2">
        <v>3.41</v>
      </c>
      <c r="G455" s="2" t="s">
        <v>380</v>
      </c>
      <c r="H455" s="9">
        <v>-1</v>
      </c>
      <c r="I455">
        <v>-1</v>
      </c>
      <c r="J455"/>
      <c r="K455" s="2">
        <v>1</v>
      </c>
      <c r="L455" s="25">
        <v>0</v>
      </c>
      <c r="M455">
        <v>0</v>
      </c>
      <c r="N455">
        <v>0</v>
      </c>
      <c r="O455" s="2">
        <v>3.87</v>
      </c>
      <c r="P455" s="2">
        <v>3.87</v>
      </c>
      <c r="Q455" s="2">
        <v>29.4</v>
      </c>
      <c r="R455" s="2" t="s">
        <v>519</v>
      </c>
      <c r="S455" s="2">
        <v>29.4</v>
      </c>
      <c r="T455" s="25">
        <v>0</v>
      </c>
      <c r="U455"/>
      <c r="V455"/>
      <c r="W455">
        <v>0</v>
      </c>
      <c r="X455"/>
      <c r="Y455"/>
      <c r="Z455">
        <v>0</v>
      </c>
      <c r="AA455"/>
      <c r="AB455"/>
      <c r="AD455">
        <v>20</v>
      </c>
      <c r="AE455" s="55">
        <f t="shared" si="30"/>
        <v>440.32085999999998</v>
      </c>
      <c r="AF455" s="57">
        <v>0</v>
      </c>
      <c r="AG455" s="55">
        <v>0</v>
      </c>
      <c r="AH455" s="55">
        <v>0</v>
      </c>
      <c r="AI455" s="52">
        <f t="shared" si="29"/>
        <v>4.5421422914190351E-2</v>
      </c>
      <c r="AJ455" s="52"/>
      <c r="AK455" s="52"/>
      <c r="AL455" s="52"/>
      <c r="AM455" s="28">
        <v>1.5789473684210531</v>
      </c>
      <c r="AN455" s="28">
        <v>1.4473684210526321</v>
      </c>
      <c r="AO455" s="28">
        <v>0.2105263157894737</v>
      </c>
      <c r="AP455" s="28">
        <v>0</v>
      </c>
      <c r="AQ455" s="28">
        <v>0.48780487804878048</v>
      </c>
      <c r="AR455" s="28">
        <v>0.44715447154471538</v>
      </c>
      <c r="AS455" s="28">
        <v>6.5040650406504058E-2</v>
      </c>
      <c r="AT455" s="28">
        <v>0</v>
      </c>
      <c r="AU455" s="25">
        <v>1.1000000000000001</v>
      </c>
      <c r="AV455" s="25">
        <v>3.44</v>
      </c>
      <c r="AW455" s="25">
        <v>2.34</v>
      </c>
      <c r="AX455" s="25">
        <v>2.4936842105263159</v>
      </c>
      <c r="AY455">
        <v>2.4936842105263159</v>
      </c>
      <c r="AZ455">
        <v>6.6186651535162104</v>
      </c>
      <c r="BD455">
        <v>2.2710711457095179E-2</v>
      </c>
      <c r="BH455">
        <v>4.5421422914190351E-2</v>
      </c>
      <c r="BI455">
        <v>2.2710711457095179E-2</v>
      </c>
      <c r="BJ455">
        <v>0</v>
      </c>
    </row>
    <row r="456" spans="1:62" x14ac:dyDescent="0.3">
      <c r="A456" s="2" t="s">
        <v>374</v>
      </c>
      <c r="B456" s="18" t="s">
        <v>1038</v>
      </c>
      <c r="C456" s="13"/>
      <c r="F456" s="2">
        <v>3.4</v>
      </c>
      <c r="G456" s="2" t="s">
        <v>380</v>
      </c>
      <c r="H456" s="9">
        <v>-1</v>
      </c>
      <c r="I456">
        <v>-1</v>
      </c>
      <c r="J456"/>
      <c r="K456" s="2">
        <v>1</v>
      </c>
      <c r="L456" s="25">
        <v>0</v>
      </c>
      <c r="M456">
        <v>0</v>
      </c>
      <c r="N456">
        <v>0</v>
      </c>
      <c r="O456" s="2">
        <v>3.85</v>
      </c>
      <c r="P456" s="2">
        <v>3.85</v>
      </c>
      <c r="Q456" s="2">
        <v>34.200000000000003</v>
      </c>
      <c r="R456" s="2" t="s">
        <v>519</v>
      </c>
      <c r="S456" s="2">
        <v>34.200000000000003</v>
      </c>
      <c r="T456" s="25">
        <v>0</v>
      </c>
      <c r="U456"/>
      <c r="V456"/>
      <c r="W456">
        <v>0</v>
      </c>
      <c r="X456"/>
      <c r="Y456"/>
      <c r="Z456">
        <v>0</v>
      </c>
      <c r="AA456"/>
      <c r="AB456"/>
      <c r="AD456">
        <v>20</v>
      </c>
      <c r="AE456" s="55">
        <f t="shared" si="30"/>
        <v>506.92950000000008</v>
      </c>
      <c r="AF456" s="57">
        <v>0</v>
      </c>
      <c r="AG456" s="55">
        <v>0</v>
      </c>
      <c r="AH456" s="55">
        <v>0</v>
      </c>
      <c r="AI456" s="52">
        <f t="shared" si="29"/>
        <v>3.9453217853764669E-2</v>
      </c>
      <c r="AJ456" s="52"/>
      <c r="AK456" s="52"/>
      <c r="AL456" s="52"/>
      <c r="AM456" s="28">
        <v>1.545454545454545</v>
      </c>
      <c r="AN456" s="28">
        <v>1.3409090909090911</v>
      </c>
      <c r="AO456" s="28">
        <v>0.1818181818181818</v>
      </c>
      <c r="AP456" s="28">
        <v>0</v>
      </c>
      <c r="AQ456" s="28">
        <v>0.50370370370370365</v>
      </c>
      <c r="AR456" s="28">
        <v>0.437037037037037</v>
      </c>
      <c r="AS456" s="28">
        <v>5.9259259259259248E-2</v>
      </c>
      <c r="AT456" s="28">
        <v>0</v>
      </c>
      <c r="AU456" s="25">
        <v>1.1000000000000001</v>
      </c>
      <c r="AV456" s="25">
        <v>3.44</v>
      </c>
      <c r="AW456" s="25">
        <v>2.34</v>
      </c>
      <c r="AX456" s="25">
        <v>2.4695454545454552</v>
      </c>
      <c r="AY456">
        <v>2.4695454545454538</v>
      </c>
      <c r="AZ456">
        <v>6.6531305146595452</v>
      </c>
      <c r="BD456">
        <v>1.9726608926882331E-2</v>
      </c>
      <c r="BH456">
        <v>3.9453217853764669E-2</v>
      </c>
      <c r="BI456">
        <v>1.9726608926882331E-2</v>
      </c>
      <c r="BJ456">
        <v>0</v>
      </c>
    </row>
    <row r="457" spans="1:62" x14ac:dyDescent="0.3">
      <c r="A457" s="2" t="s">
        <v>375</v>
      </c>
      <c r="B457" s="18" t="s">
        <v>1039</v>
      </c>
      <c r="C457" s="13"/>
      <c r="F457" s="2">
        <v>3.33</v>
      </c>
      <c r="G457" s="2" t="s">
        <v>380</v>
      </c>
      <c r="H457" s="9">
        <v>-1</v>
      </c>
      <c r="I457">
        <v>-1</v>
      </c>
      <c r="J457"/>
      <c r="K457" s="2">
        <v>2</v>
      </c>
      <c r="L457" s="25">
        <v>0</v>
      </c>
      <c r="M457">
        <v>0</v>
      </c>
      <c r="N457">
        <v>0</v>
      </c>
      <c r="O457" s="2">
        <v>3.81</v>
      </c>
      <c r="P457" s="2">
        <v>3.81</v>
      </c>
      <c r="Q457" s="2">
        <v>35.1</v>
      </c>
      <c r="R457" s="2" t="s">
        <v>519</v>
      </c>
      <c r="S457" s="2">
        <v>17.600000000000001</v>
      </c>
      <c r="T457" s="25">
        <v>0</v>
      </c>
      <c r="U457"/>
      <c r="V457"/>
      <c r="W457">
        <v>0</v>
      </c>
      <c r="X457"/>
      <c r="Y457"/>
      <c r="Z457">
        <v>0</v>
      </c>
      <c r="AA457"/>
      <c r="AB457"/>
      <c r="AD457">
        <v>20</v>
      </c>
      <c r="AE457" s="55">
        <f t="shared" si="30"/>
        <v>509.51510999999999</v>
      </c>
      <c r="AF457" s="57">
        <v>0</v>
      </c>
      <c r="AG457" s="55">
        <v>0</v>
      </c>
      <c r="AH457" s="55">
        <v>0</v>
      </c>
      <c r="AI457" s="52">
        <f t="shared" si="29"/>
        <v>7.8506013295660648E-2</v>
      </c>
      <c r="AJ457" s="52"/>
      <c r="AK457" s="52"/>
      <c r="AL457" s="52"/>
      <c r="AM457" s="28">
        <v>1.7727272727272729</v>
      </c>
      <c r="AN457" s="28">
        <v>2.0909090909090908</v>
      </c>
      <c r="AO457" s="28">
        <v>0.36363636363636359</v>
      </c>
      <c r="AP457" s="28">
        <v>0</v>
      </c>
      <c r="AQ457" s="28">
        <v>0.41935483870967738</v>
      </c>
      <c r="AR457" s="28">
        <v>0.49462365591397839</v>
      </c>
      <c r="AS457" s="28">
        <v>8.6021505376344079E-2</v>
      </c>
      <c r="AT457" s="28">
        <v>0</v>
      </c>
      <c r="AU457" s="25">
        <v>1.1000000000000001</v>
      </c>
      <c r="AV457" s="25">
        <v>3.44</v>
      </c>
      <c r="AW457" s="25">
        <v>2.34</v>
      </c>
      <c r="AX457" s="25">
        <v>2.645909090909091</v>
      </c>
      <c r="AY457">
        <v>2.645909090909091</v>
      </c>
      <c r="AZ457">
        <v>6.4349594388752269</v>
      </c>
      <c r="BD457">
        <v>4.3178307312613358E-2</v>
      </c>
      <c r="BH457">
        <v>7.8506013295660648E-2</v>
      </c>
      <c r="BI457">
        <v>4.3178307312613358E-2</v>
      </c>
      <c r="BJ457">
        <v>0</v>
      </c>
    </row>
    <row r="458" spans="1:62" x14ac:dyDescent="0.3">
      <c r="A458" s="2" t="s">
        <v>376</v>
      </c>
      <c r="B458" s="18" t="s">
        <v>1027</v>
      </c>
      <c r="C458" s="13"/>
      <c r="F458" s="2">
        <v>3.41</v>
      </c>
      <c r="G458" s="2" t="s">
        <v>380</v>
      </c>
      <c r="H458" s="9">
        <v>-1</v>
      </c>
      <c r="I458">
        <v>-1</v>
      </c>
      <c r="J458"/>
      <c r="K458" s="2">
        <v>2</v>
      </c>
      <c r="L458" s="25">
        <v>0</v>
      </c>
      <c r="M458">
        <v>0</v>
      </c>
      <c r="N458">
        <v>0</v>
      </c>
      <c r="O458" s="2">
        <v>3.83</v>
      </c>
      <c r="P458" s="2">
        <v>3.83</v>
      </c>
      <c r="Q458" s="2">
        <v>39.5</v>
      </c>
      <c r="R458" s="2" t="s">
        <v>519</v>
      </c>
      <c r="S458" s="2">
        <v>19.8</v>
      </c>
      <c r="T458" s="25">
        <v>0</v>
      </c>
      <c r="U458"/>
      <c r="V458"/>
      <c r="W458">
        <v>0</v>
      </c>
      <c r="X458"/>
      <c r="Y458"/>
      <c r="Z458">
        <v>0</v>
      </c>
      <c r="AA458"/>
      <c r="AB458"/>
      <c r="AD458">
        <v>20</v>
      </c>
      <c r="AE458" s="55">
        <f t="shared" si="30"/>
        <v>579.42155000000002</v>
      </c>
      <c r="AF458" s="57">
        <v>0</v>
      </c>
      <c r="AG458" s="55">
        <v>0</v>
      </c>
      <c r="AH458" s="55">
        <v>0</v>
      </c>
      <c r="AI458" s="52">
        <f t="shared" si="29"/>
        <v>6.9034367120104523E-2</v>
      </c>
      <c r="AJ458" s="52"/>
      <c r="AK458" s="52"/>
      <c r="AL458" s="52"/>
      <c r="AM458" s="28">
        <v>1.72</v>
      </c>
      <c r="AN458" s="28">
        <v>1.92</v>
      </c>
      <c r="AO458" s="28">
        <v>0.32</v>
      </c>
      <c r="AP458" s="28">
        <v>0</v>
      </c>
      <c r="AQ458" s="28">
        <v>0.43434343434343442</v>
      </c>
      <c r="AR458" s="28">
        <v>0.48484848484848492</v>
      </c>
      <c r="AS458" s="28">
        <v>8.0808080808080815E-2</v>
      </c>
      <c r="AT458" s="28">
        <v>0</v>
      </c>
      <c r="AU458" s="25">
        <v>1.1000000000000001</v>
      </c>
      <c r="AV458" s="25">
        <v>3.44</v>
      </c>
      <c r="AW458" s="25">
        <v>2.34</v>
      </c>
      <c r="AX458" s="25">
        <v>2.6063999999999998</v>
      </c>
      <c r="AY458">
        <v>2.6063999999999998</v>
      </c>
      <c r="AZ458">
        <v>6.4873336424382799</v>
      </c>
      <c r="BD458">
        <v>3.7968901916057493E-2</v>
      </c>
      <c r="BH458">
        <v>6.9034367120104523E-2</v>
      </c>
      <c r="BI458">
        <v>3.7968901916057493E-2</v>
      </c>
      <c r="BJ458">
        <v>0</v>
      </c>
    </row>
    <row r="459" spans="1:62" x14ac:dyDescent="0.3">
      <c r="A459" s="2" t="s">
        <v>377</v>
      </c>
      <c r="B459" s="18" t="s">
        <v>1040</v>
      </c>
      <c r="C459" s="13"/>
      <c r="F459" s="2">
        <v>3.38</v>
      </c>
      <c r="G459" s="2" t="s">
        <v>380</v>
      </c>
      <c r="H459" s="9">
        <v>-1</v>
      </c>
      <c r="I459">
        <v>-1</v>
      </c>
      <c r="J459"/>
      <c r="K459" s="2">
        <v>2</v>
      </c>
      <c r="L459" s="25">
        <v>0</v>
      </c>
      <c r="M459">
        <v>0</v>
      </c>
      <c r="N459">
        <v>0</v>
      </c>
      <c r="O459" s="2">
        <v>3.83</v>
      </c>
      <c r="P459" s="2">
        <v>3.83</v>
      </c>
      <c r="Q459" s="2">
        <v>44.2</v>
      </c>
      <c r="R459" s="2" t="s">
        <v>519</v>
      </c>
      <c r="S459" s="2">
        <v>22.1</v>
      </c>
      <c r="T459" s="25">
        <v>0</v>
      </c>
      <c r="U459"/>
      <c r="V459"/>
      <c r="W459">
        <v>0</v>
      </c>
      <c r="X459"/>
      <c r="Y459"/>
      <c r="Z459">
        <v>0</v>
      </c>
      <c r="AA459"/>
      <c r="AB459"/>
      <c r="AD459">
        <v>20</v>
      </c>
      <c r="AE459" s="55">
        <f t="shared" si="30"/>
        <v>648.36538000000007</v>
      </c>
      <c r="AF459" s="57">
        <v>0</v>
      </c>
      <c r="AG459" s="55">
        <v>0</v>
      </c>
      <c r="AH459" s="55">
        <v>0</v>
      </c>
      <c r="AI459" s="52">
        <f t="shared" si="29"/>
        <v>6.1693608625432772E-2</v>
      </c>
      <c r="AJ459" s="52"/>
      <c r="AK459" s="52"/>
      <c r="AL459" s="52"/>
      <c r="AM459" s="28">
        <v>1.678571428571429</v>
      </c>
      <c r="AN459" s="28">
        <v>1.785714285714286</v>
      </c>
      <c r="AO459" s="28">
        <v>0.2857142857142857</v>
      </c>
      <c r="AP459" s="28">
        <v>0</v>
      </c>
      <c r="AQ459" s="28">
        <v>0.44761904761904758</v>
      </c>
      <c r="AR459" s="28">
        <v>0.47619047619047622</v>
      </c>
      <c r="AS459" s="28">
        <v>7.6190476190476183E-2</v>
      </c>
      <c r="AT459" s="28">
        <v>0</v>
      </c>
      <c r="AU459" s="25">
        <v>1.1000000000000001</v>
      </c>
      <c r="AV459" s="25">
        <v>3.44</v>
      </c>
      <c r="AW459" s="25">
        <v>2.34</v>
      </c>
      <c r="AX459" s="25">
        <v>2.5753571428571429</v>
      </c>
      <c r="AY459">
        <v>2.5753571428571429</v>
      </c>
      <c r="AZ459">
        <v>6.5284848023806781</v>
      </c>
      <c r="BD459">
        <v>3.3931484743988022E-2</v>
      </c>
      <c r="BH459">
        <v>6.1693608625432772E-2</v>
      </c>
      <c r="BI459">
        <v>3.3931484743988022E-2</v>
      </c>
      <c r="BJ459">
        <v>0</v>
      </c>
    </row>
    <row r="460" spans="1:62" x14ac:dyDescent="0.3">
      <c r="A460" s="2" t="s">
        <v>378</v>
      </c>
      <c r="B460" s="18" t="s">
        <v>1041</v>
      </c>
      <c r="C460" s="13"/>
      <c r="F460" s="2">
        <v>3.4</v>
      </c>
      <c r="G460" s="2" t="s">
        <v>380</v>
      </c>
      <c r="H460" s="9">
        <v>-1</v>
      </c>
      <c r="I460">
        <v>-1</v>
      </c>
      <c r="J460"/>
      <c r="K460" s="2">
        <v>2</v>
      </c>
      <c r="L460" s="25">
        <v>0</v>
      </c>
      <c r="M460">
        <v>0</v>
      </c>
      <c r="N460">
        <v>0</v>
      </c>
      <c r="O460" s="2">
        <v>3.82</v>
      </c>
      <c r="P460" s="2">
        <v>3.82</v>
      </c>
      <c r="Q460" s="2">
        <v>48.5</v>
      </c>
      <c r="R460" s="2" t="s">
        <v>519</v>
      </c>
      <c r="S460" s="2">
        <v>24.3</v>
      </c>
      <c r="T460" s="25">
        <v>0</v>
      </c>
      <c r="U460"/>
      <c r="V460"/>
      <c r="W460">
        <v>0</v>
      </c>
      <c r="X460"/>
      <c r="Y460"/>
      <c r="Z460">
        <v>0</v>
      </c>
      <c r="AA460"/>
      <c r="AB460"/>
      <c r="AD460">
        <v>20</v>
      </c>
      <c r="AE460" s="55">
        <f t="shared" si="30"/>
        <v>707.73140000000001</v>
      </c>
      <c r="AF460" s="57">
        <v>0</v>
      </c>
      <c r="AG460" s="55">
        <v>0</v>
      </c>
      <c r="AH460" s="55">
        <v>0</v>
      </c>
      <c r="AI460" s="52">
        <f t="shared" si="29"/>
        <v>5.6518617091173291E-2</v>
      </c>
      <c r="AJ460" s="52"/>
      <c r="AK460" s="52"/>
      <c r="AL460" s="52"/>
      <c r="AM460" s="28">
        <v>1.645161290322581</v>
      </c>
      <c r="AN460" s="28">
        <v>1.67741935483871</v>
      </c>
      <c r="AO460" s="28">
        <v>0.25806451612903231</v>
      </c>
      <c r="AP460" s="28">
        <v>0</v>
      </c>
      <c r="AQ460" s="28">
        <v>0.45945945945945948</v>
      </c>
      <c r="AR460" s="28">
        <v>0.46846846846846851</v>
      </c>
      <c r="AS460" s="28">
        <v>7.2072072072072071E-2</v>
      </c>
      <c r="AT460" s="28">
        <v>0</v>
      </c>
      <c r="AU460" s="25">
        <v>1.1000000000000001</v>
      </c>
      <c r="AV460" s="25">
        <v>3.44</v>
      </c>
      <c r="AW460" s="25">
        <v>2.34</v>
      </c>
      <c r="AX460" s="25">
        <v>2.5503225806451608</v>
      </c>
      <c r="AY460">
        <v>2.5503225806451608</v>
      </c>
      <c r="AZ460">
        <v>6.5616712216890649</v>
      </c>
      <c r="BD460">
        <v>3.108523940014531E-2</v>
      </c>
      <c r="BH460">
        <v>5.6518617091173291E-2</v>
      </c>
      <c r="BI460">
        <v>3.108523940014531E-2</v>
      </c>
      <c r="BJ460">
        <v>0</v>
      </c>
    </row>
    <row r="461" spans="1:62" x14ac:dyDescent="0.3">
      <c r="A461" s="2" t="s">
        <v>379</v>
      </c>
      <c r="B461" s="18" t="s">
        <v>1042</v>
      </c>
      <c r="C461" s="13"/>
      <c r="F461" s="2">
        <v>3.4</v>
      </c>
      <c r="G461" s="2" t="s">
        <v>380</v>
      </c>
      <c r="H461" s="9">
        <v>-1</v>
      </c>
      <c r="I461">
        <v>-1</v>
      </c>
      <c r="J461"/>
      <c r="K461" s="2">
        <v>1</v>
      </c>
      <c r="L461" s="25">
        <v>0</v>
      </c>
      <c r="M461">
        <v>0</v>
      </c>
      <c r="N461">
        <v>0</v>
      </c>
      <c r="O461" s="2">
        <v>3.82</v>
      </c>
      <c r="P461" s="2">
        <v>3.82</v>
      </c>
      <c r="Q461" s="2">
        <v>29.2</v>
      </c>
      <c r="R461" s="2" t="s">
        <v>519</v>
      </c>
      <c r="S461" s="2">
        <v>29.2</v>
      </c>
      <c r="T461" s="25">
        <v>0</v>
      </c>
      <c r="U461"/>
      <c r="V461"/>
      <c r="W461">
        <v>0</v>
      </c>
      <c r="X461"/>
      <c r="Y461"/>
      <c r="Z461">
        <v>0</v>
      </c>
      <c r="AA461"/>
      <c r="AB461"/>
      <c r="AD461">
        <v>20</v>
      </c>
      <c r="AE461" s="55">
        <f t="shared" si="30"/>
        <v>426.09807999999998</v>
      </c>
      <c r="AF461" s="57">
        <v>0</v>
      </c>
      <c r="AG461" s="55">
        <v>0</v>
      </c>
      <c r="AH461" s="55">
        <v>0</v>
      </c>
      <c r="AI461" s="52">
        <f t="shared" si="29"/>
        <v>4.6937550152772338E-2</v>
      </c>
      <c r="AJ461" s="52"/>
      <c r="AK461" s="52"/>
      <c r="AL461" s="52"/>
      <c r="AM461" s="28">
        <v>1.594594594594595</v>
      </c>
      <c r="AN461" s="28">
        <v>1.513513513513514</v>
      </c>
      <c r="AO461" s="28">
        <v>0.2162162162162162</v>
      </c>
      <c r="AP461" s="28">
        <v>0</v>
      </c>
      <c r="AQ461" s="28">
        <v>0.47967479674796748</v>
      </c>
      <c r="AR461" s="28">
        <v>0.45528455284552849</v>
      </c>
      <c r="AS461" s="28">
        <v>6.5040650406504072E-2</v>
      </c>
      <c r="AT461" s="28">
        <v>0</v>
      </c>
      <c r="AU461" s="25">
        <v>1.1000000000000001</v>
      </c>
      <c r="AV461" s="25">
        <v>3.44</v>
      </c>
      <c r="AW461" s="25">
        <v>2.34</v>
      </c>
      <c r="AX461" s="25">
        <v>2.512432432432433</v>
      </c>
      <c r="AY461">
        <v>2.512432432432433</v>
      </c>
      <c r="AZ461">
        <v>6.6118993157774328</v>
      </c>
      <c r="BD461">
        <v>2.5815652584024788E-2</v>
      </c>
      <c r="BH461">
        <v>4.6937550152772338E-2</v>
      </c>
      <c r="BI461">
        <v>2.5815652584024788E-2</v>
      </c>
      <c r="BJ461">
        <v>0</v>
      </c>
    </row>
    <row r="462" spans="1:62" x14ac:dyDescent="0.3">
      <c r="A462" s="2" t="s">
        <v>1134</v>
      </c>
      <c r="B462" s="18" t="s">
        <v>1043</v>
      </c>
      <c r="C462" s="13"/>
      <c r="F462" s="2">
        <v>3.38</v>
      </c>
      <c r="G462" s="2" t="s">
        <v>380</v>
      </c>
      <c r="H462" s="9">
        <v>-1</v>
      </c>
      <c r="I462">
        <v>-1</v>
      </c>
      <c r="J462"/>
      <c r="K462" s="2">
        <v>1</v>
      </c>
      <c r="L462" s="25">
        <v>0</v>
      </c>
      <c r="M462">
        <v>0</v>
      </c>
      <c r="N462">
        <v>0</v>
      </c>
      <c r="O462" s="2">
        <v>3.82</v>
      </c>
      <c r="P462" s="2">
        <v>3.82</v>
      </c>
      <c r="Q462" s="2">
        <v>31.3</v>
      </c>
      <c r="R462" s="2" t="s">
        <v>519</v>
      </c>
      <c r="S462" s="2">
        <v>31.3</v>
      </c>
      <c r="T462" s="25">
        <v>0</v>
      </c>
      <c r="U462"/>
      <c r="V462"/>
      <c r="W462">
        <v>0</v>
      </c>
      <c r="X462"/>
      <c r="Y462"/>
      <c r="Z462">
        <v>0</v>
      </c>
      <c r="AA462"/>
      <c r="AB462"/>
      <c r="AD462">
        <v>20</v>
      </c>
      <c r="AE462" s="55">
        <f t="shared" si="30"/>
        <v>456.74212</v>
      </c>
      <c r="AF462" s="57">
        <v>0</v>
      </c>
      <c r="AG462" s="55">
        <v>0</v>
      </c>
      <c r="AH462" s="55">
        <v>0</v>
      </c>
      <c r="AI462" s="52">
        <f t="shared" si="29"/>
        <v>4.3788385446036811E-2</v>
      </c>
      <c r="AJ462" s="52"/>
      <c r="AK462" s="52"/>
      <c r="AL462" s="52"/>
      <c r="AM462" s="28">
        <v>1.558139534883721</v>
      </c>
      <c r="AN462" s="28">
        <v>1.3953488372093019</v>
      </c>
      <c r="AO462" s="28">
        <v>0.186046511627907</v>
      </c>
      <c r="AP462" s="28">
        <v>0</v>
      </c>
      <c r="AQ462" s="28">
        <v>0.49629629629629629</v>
      </c>
      <c r="AR462" s="28">
        <v>0.44444444444444448</v>
      </c>
      <c r="AS462" s="28">
        <v>5.9259259259259262E-2</v>
      </c>
      <c r="AT462" s="28">
        <v>0</v>
      </c>
      <c r="AU462" s="25">
        <v>1.1000000000000001</v>
      </c>
      <c r="AV462" s="25">
        <v>3.44</v>
      </c>
      <c r="AW462" s="25">
        <v>2.34</v>
      </c>
      <c r="AX462" s="25">
        <v>2.4851162790697678</v>
      </c>
      <c r="AY462">
        <v>2.485116279069767</v>
      </c>
      <c r="AZ462">
        <v>6.6481102673295114</v>
      </c>
      <c r="BD462">
        <v>2.4083611995320251E-2</v>
      </c>
      <c r="BH462">
        <v>4.3788385446036811E-2</v>
      </c>
      <c r="BI462">
        <v>2.4083611995320251E-2</v>
      </c>
      <c r="BJ462">
        <v>0</v>
      </c>
    </row>
    <row r="463" spans="1:62" x14ac:dyDescent="0.3">
      <c r="A463" s="2" t="s">
        <v>381</v>
      </c>
      <c r="B463" s="13" t="s">
        <v>838</v>
      </c>
      <c r="C463" s="13"/>
      <c r="F463" s="2">
        <v>3.47</v>
      </c>
      <c r="G463" s="2" t="s">
        <v>380</v>
      </c>
      <c r="H463" s="9">
        <v>-1</v>
      </c>
      <c r="I463">
        <v>-1</v>
      </c>
      <c r="J463"/>
      <c r="K463" s="2">
        <v>2</v>
      </c>
      <c r="L463" s="25">
        <v>0</v>
      </c>
      <c r="M463">
        <v>0</v>
      </c>
      <c r="N463">
        <v>0</v>
      </c>
      <c r="O463" s="2">
        <v>3.78</v>
      </c>
      <c r="P463" s="2">
        <v>3.78</v>
      </c>
      <c r="Q463" s="2">
        <v>27.2</v>
      </c>
      <c r="R463" s="2" t="s">
        <v>519</v>
      </c>
      <c r="S463" s="2">
        <v>13.6</v>
      </c>
      <c r="T463" s="25">
        <v>0</v>
      </c>
      <c r="U463"/>
      <c r="V463"/>
      <c r="W463">
        <v>0</v>
      </c>
      <c r="X463"/>
      <c r="Y463"/>
      <c r="Z463">
        <v>0</v>
      </c>
      <c r="AA463"/>
      <c r="AB463"/>
      <c r="AD463">
        <v>20</v>
      </c>
      <c r="AE463" s="55">
        <f t="shared" si="30"/>
        <v>388.64447999999999</v>
      </c>
      <c r="AF463" s="57">
        <v>0</v>
      </c>
      <c r="AG463" s="55">
        <v>0</v>
      </c>
      <c r="AH463" s="55">
        <v>0</v>
      </c>
      <c r="AI463" s="52">
        <f t="shared" si="29"/>
        <v>0.10292182716708083</v>
      </c>
      <c r="AJ463" s="52"/>
      <c r="AK463" s="52"/>
      <c r="AL463" s="52"/>
      <c r="AM463" s="28">
        <v>1.882352941176471</v>
      </c>
      <c r="AN463" s="28">
        <v>2.3529411764705879</v>
      </c>
      <c r="AO463" s="28">
        <v>0.35294117647058831</v>
      </c>
      <c r="AP463" s="28">
        <v>0.47058823529411759</v>
      </c>
      <c r="AQ463" s="28">
        <v>0.37209302325581389</v>
      </c>
      <c r="AR463" s="28">
        <v>0.46511627906976749</v>
      </c>
      <c r="AS463" s="28">
        <v>6.9767441860465129E-2</v>
      </c>
      <c r="AT463" s="28">
        <v>9.3023255813953487E-2</v>
      </c>
      <c r="AU463" s="25">
        <v>1.1399999999999999</v>
      </c>
      <c r="AV463" s="25">
        <v>3.44</v>
      </c>
      <c r="AW463" s="25">
        <v>2.2999999999999998</v>
      </c>
      <c r="AX463" s="25">
        <v>2.6882352941176468</v>
      </c>
      <c r="AY463">
        <v>2.6882352941176468</v>
      </c>
      <c r="AZ463">
        <v>6.2192249941001183</v>
      </c>
      <c r="BD463">
        <v>5.1460913583540407E-2</v>
      </c>
      <c r="BH463">
        <v>0.1029218271670808</v>
      </c>
      <c r="BI463">
        <v>5.1460913583540407E-2</v>
      </c>
      <c r="BJ463">
        <v>0</v>
      </c>
    </row>
    <row r="464" spans="1:62" x14ac:dyDescent="0.3">
      <c r="A464" s="2" t="s">
        <v>382</v>
      </c>
      <c r="B464" s="18" t="s">
        <v>1044</v>
      </c>
      <c r="C464" s="13"/>
      <c r="F464" s="2">
        <v>3.4</v>
      </c>
      <c r="G464" s="2" t="s">
        <v>380</v>
      </c>
      <c r="H464" s="9">
        <v>-1</v>
      </c>
      <c r="I464">
        <v>-1</v>
      </c>
      <c r="J464"/>
      <c r="K464" s="2">
        <v>2</v>
      </c>
      <c r="L464" s="25">
        <v>0</v>
      </c>
      <c r="M464">
        <v>0</v>
      </c>
      <c r="N464">
        <v>0</v>
      </c>
      <c r="O464" s="2">
        <v>3.81</v>
      </c>
      <c r="P464" s="2">
        <v>3.81</v>
      </c>
      <c r="Q464" s="2">
        <v>35.4</v>
      </c>
      <c r="R464" s="2" t="s">
        <v>519</v>
      </c>
      <c r="S464" s="2">
        <v>17.7</v>
      </c>
      <c r="T464" s="25">
        <v>0</v>
      </c>
      <c r="U464"/>
      <c r="V464"/>
      <c r="W464">
        <v>0</v>
      </c>
      <c r="X464"/>
      <c r="Y464"/>
      <c r="Z464">
        <v>0</v>
      </c>
      <c r="AA464"/>
      <c r="AB464"/>
      <c r="AD464">
        <v>20</v>
      </c>
      <c r="AE464" s="55">
        <f t="shared" si="30"/>
        <v>513.86993999999993</v>
      </c>
      <c r="AF464" s="57">
        <v>0</v>
      </c>
      <c r="AG464" s="55">
        <v>0</v>
      </c>
      <c r="AH464" s="55">
        <v>0</v>
      </c>
      <c r="AI464" s="52">
        <f t="shared" si="29"/>
        <v>7.7840708098239814E-2</v>
      </c>
      <c r="AJ464" s="52"/>
      <c r="AK464" s="52"/>
      <c r="AL464" s="52"/>
      <c r="AM464" s="28">
        <v>1.695652173913043</v>
      </c>
      <c r="AN464" s="28">
        <v>1.826086956521739</v>
      </c>
      <c r="AO464" s="28">
        <v>0.2608695652173913</v>
      </c>
      <c r="AP464" s="28">
        <v>0.34782608695652167</v>
      </c>
      <c r="AQ464" s="28">
        <v>0.41052631578947368</v>
      </c>
      <c r="AR464" s="28">
        <v>0.44210526315789472</v>
      </c>
      <c r="AS464" s="28">
        <v>6.3157894736842107E-2</v>
      </c>
      <c r="AT464" s="28">
        <v>8.4210526315789472E-2</v>
      </c>
      <c r="AU464" s="25">
        <v>1.1399999999999999</v>
      </c>
      <c r="AV464" s="25">
        <v>3.44</v>
      </c>
      <c r="AW464" s="25">
        <v>2.2999999999999998</v>
      </c>
      <c r="AX464" s="25">
        <v>2.5760869565217388</v>
      </c>
      <c r="AY464">
        <v>2.5760869565217388</v>
      </c>
      <c r="AZ464">
        <v>6.4291568349981301</v>
      </c>
      <c r="BD464">
        <v>3.8920354049119907E-2</v>
      </c>
      <c r="BH464">
        <v>7.7840708098239814E-2</v>
      </c>
      <c r="BI464">
        <v>3.8920354049119907E-2</v>
      </c>
      <c r="BJ464">
        <v>0</v>
      </c>
    </row>
    <row r="465" spans="1:62" x14ac:dyDescent="0.3">
      <c r="A465" s="2" t="s">
        <v>383</v>
      </c>
      <c r="B465" s="18" t="s">
        <v>1045</v>
      </c>
      <c r="C465" s="13"/>
      <c r="F465" s="2">
        <v>3.32</v>
      </c>
      <c r="G465" s="2" t="s">
        <v>380</v>
      </c>
      <c r="H465" s="9">
        <v>-1</v>
      </c>
      <c r="I465">
        <v>-1</v>
      </c>
      <c r="J465"/>
      <c r="K465" s="2">
        <v>1</v>
      </c>
      <c r="L465" s="25">
        <v>0</v>
      </c>
      <c r="M465">
        <v>0</v>
      </c>
      <c r="N465">
        <v>0</v>
      </c>
      <c r="O465" s="2">
        <v>3.8</v>
      </c>
      <c r="P465" s="2">
        <v>3.8</v>
      </c>
      <c r="Q465" s="2">
        <v>19.899999999999999</v>
      </c>
      <c r="R465" s="2" t="s">
        <v>519</v>
      </c>
      <c r="S465" s="2">
        <v>19.899999999999999</v>
      </c>
      <c r="T465" s="25">
        <v>0</v>
      </c>
      <c r="U465"/>
      <c r="V465"/>
      <c r="W465">
        <v>0</v>
      </c>
      <c r="X465"/>
      <c r="Y465"/>
      <c r="Z465">
        <v>0</v>
      </c>
      <c r="AA465"/>
      <c r="AB465"/>
      <c r="AD465">
        <v>20</v>
      </c>
      <c r="AE465" s="55">
        <f t="shared" si="30"/>
        <v>287.35599999999999</v>
      </c>
      <c r="AF465" s="57">
        <v>0</v>
      </c>
      <c r="AG465" s="55">
        <v>0</v>
      </c>
      <c r="AH465" s="55">
        <v>0</v>
      </c>
      <c r="AI465" s="52">
        <f t="shared" si="29"/>
        <v>6.9600077952087308E-2</v>
      </c>
      <c r="AJ465" s="52"/>
      <c r="AK465" s="52"/>
      <c r="AL465" s="52"/>
      <c r="AM465" s="28">
        <v>1.653846153846154</v>
      </c>
      <c r="AN465" s="28">
        <v>1.6923076923076921</v>
      </c>
      <c r="AO465" s="28">
        <v>0.23076923076923081</v>
      </c>
      <c r="AP465" s="28">
        <v>0.30769230769230771</v>
      </c>
      <c r="AQ465" s="28">
        <v>0.42574257425742568</v>
      </c>
      <c r="AR465" s="28">
        <v>0.43564356435643559</v>
      </c>
      <c r="AS465" s="28">
        <v>5.940594059405941E-2</v>
      </c>
      <c r="AT465" s="28">
        <v>7.9207920792079209E-2</v>
      </c>
      <c r="AU465" s="25">
        <v>1.1399999999999999</v>
      </c>
      <c r="AV465" s="25">
        <v>3.44</v>
      </c>
      <c r="AW465" s="25">
        <v>2.2999999999999998</v>
      </c>
      <c r="AX465" s="25">
        <v>2.546153846153846</v>
      </c>
      <c r="AY465">
        <v>2.546153846153846</v>
      </c>
      <c r="AZ465">
        <v>6.4801861773330387</v>
      </c>
      <c r="BD465">
        <v>3.4800038976043647E-2</v>
      </c>
      <c r="BH465">
        <v>6.9600077952087308E-2</v>
      </c>
      <c r="BI465">
        <v>3.4800038976043647E-2</v>
      </c>
      <c r="BJ465">
        <v>0</v>
      </c>
    </row>
    <row r="466" spans="1:62" x14ac:dyDescent="0.3">
      <c r="A466" s="2" t="s">
        <v>384</v>
      </c>
      <c r="B466" s="18" t="s">
        <v>1046</v>
      </c>
      <c r="C466" s="13"/>
      <c r="F466" s="2">
        <v>3.33</v>
      </c>
      <c r="G466" s="2" t="s">
        <v>380</v>
      </c>
      <c r="H466" s="9">
        <v>-1</v>
      </c>
      <c r="I466">
        <v>-1</v>
      </c>
      <c r="J466"/>
      <c r="K466" s="2">
        <v>1</v>
      </c>
      <c r="L466" s="25">
        <v>0</v>
      </c>
      <c r="M466">
        <v>0</v>
      </c>
      <c r="N466">
        <v>0</v>
      </c>
      <c r="O466" s="2">
        <v>3.78</v>
      </c>
      <c r="P466" s="2">
        <v>3.78</v>
      </c>
      <c r="Q466" s="2">
        <v>21.5</v>
      </c>
      <c r="R466" s="2" t="s">
        <v>519</v>
      </c>
      <c r="S466" s="2">
        <v>21.5</v>
      </c>
      <c r="T466" s="25">
        <v>0</v>
      </c>
      <c r="U466"/>
      <c r="V466"/>
      <c r="W466">
        <v>0</v>
      </c>
      <c r="X466"/>
      <c r="Y466"/>
      <c r="Z466">
        <v>0</v>
      </c>
      <c r="AA466"/>
      <c r="AB466"/>
      <c r="AD466">
        <v>20</v>
      </c>
      <c r="AE466" s="55">
        <f t="shared" si="30"/>
        <v>307.20060000000001</v>
      </c>
      <c r="AF466" s="57">
        <v>0</v>
      </c>
      <c r="AG466" s="55">
        <v>0</v>
      </c>
      <c r="AH466" s="55">
        <v>0</v>
      </c>
      <c r="AI466" s="52">
        <f t="shared" si="29"/>
        <v>6.5104039510339495E-2</v>
      </c>
      <c r="AJ466" s="52"/>
      <c r="AK466" s="52"/>
      <c r="AL466" s="52"/>
      <c r="AM466" s="28">
        <v>1.6206896551724139</v>
      </c>
      <c r="AN466" s="28">
        <v>1.586206896551724</v>
      </c>
      <c r="AO466" s="28">
        <v>0.2068965517241379</v>
      </c>
      <c r="AP466" s="28">
        <v>0.27586206896551718</v>
      </c>
      <c r="AQ466" s="28">
        <v>0.43925233644859812</v>
      </c>
      <c r="AR466" s="28">
        <v>0.42990654205607481</v>
      </c>
      <c r="AS466" s="28">
        <v>5.6074766355140193E-2</v>
      </c>
      <c r="AT466" s="28">
        <v>7.476635514018691E-2</v>
      </c>
      <c r="AU466" s="25">
        <v>1.1399999999999999</v>
      </c>
      <c r="AV466" s="25">
        <v>3.44</v>
      </c>
      <c r="AW466" s="25">
        <v>2.2999999999999998</v>
      </c>
      <c r="AX466" s="25">
        <v>2.522413793103448</v>
      </c>
      <c r="AY466">
        <v>2.522413793103448</v>
      </c>
      <c r="AZ466">
        <v>6.5206577247021036</v>
      </c>
      <c r="BD466">
        <v>3.2552019755169748E-2</v>
      </c>
      <c r="BH466">
        <v>6.5104039510339495E-2</v>
      </c>
      <c r="BI466">
        <v>3.2552019755169748E-2</v>
      </c>
      <c r="BJ466">
        <v>0</v>
      </c>
    </row>
    <row r="467" spans="1:62" x14ac:dyDescent="0.3">
      <c r="A467" s="2" t="s">
        <v>385</v>
      </c>
      <c r="B467" s="18" t="s">
        <v>1047</v>
      </c>
      <c r="C467" s="13"/>
      <c r="F467" s="2">
        <v>3.33</v>
      </c>
      <c r="G467" s="2" t="s">
        <v>380</v>
      </c>
      <c r="H467" s="9">
        <v>-1</v>
      </c>
      <c r="I467">
        <v>-1</v>
      </c>
      <c r="J467"/>
      <c r="K467" s="2">
        <v>1</v>
      </c>
      <c r="L467" s="25">
        <v>0</v>
      </c>
      <c r="M467">
        <v>0</v>
      </c>
      <c r="N467">
        <v>0</v>
      </c>
      <c r="O467" s="2">
        <v>3.78</v>
      </c>
      <c r="P467" s="2">
        <v>3.78</v>
      </c>
      <c r="Q467" s="2">
        <v>24.4</v>
      </c>
      <c r="R467" s="2" t="s">
        <v>519</v>
      </c>
      <c r="S467" s="2">
        <v>24.4</v>
      </c>
      <c r="T467" s="25">
        <v>0</v>
      </c>
      <c r="U467"/>
      <c r="V467"/>
      <c r="W467">
        <v>0</v>
      </c>
      <c r="X467"/>
      <c r="Y467"/>
      <c r="Z467">
        <v>0</v>
      </c>
      <c r="AA467"/>
      <c r="AB467"/>
      <c r="AD467">
        <v>20</v>
      </c>
      <c r="AE467" s="55">
        <f t="shared" si="30"/>
        <v>348.63695999999999</v>
      </c>
      <c r="AF467" s="57">
        <v>0</v>
      </c>
      <c r="AG467" s="55">
        <v>0</v>
      </c>
      <c r="AH467" s="55">
        <v>0</v>
      </c>
      <c r="AI467" s="52">
        <f t="shared" si="29"/>
        <v>5.7366264322635217E-2</v>
      </c>
      <c r="AJ467" s="52"/>
      <c r="AK467" s="52"/>
      <c r="AL467" s="52"/>
      <c r="AM467" s="28">
        <v>1.59375</v>
      </c>
      <c r="AN467" s="28">
        <v>1.5</v>
      </c>
      <c r="AO467" s="28">
        <v>0.1875</v>
      </c>
      <c r="AP467" s="28">
        <v>0.25</v>
      </c>
      <c r="AQ467" s="28">
        <v>0.45132743362831862</v>
      </c>
      <c r="AR467" s="28">
        <v>0.4247787610619469</v>
      </c>
      <c r="AS467" s="28">
        <v>5.3097345132743362E-2</v>
      </c>
      <c r="AT467" s="28">
        <v>7.0796460176991149E-2</v>
      </c>
      <c r="AU467" s="25">
        <v>1.1399999999999999</v>
      </c>
      <c r="AV467" s="25">
        <v>3.44</v>
      </c>
      <c r="AW467" s="25">
        <v>2.2999999999999998</v>
      </c>
      <c r="AX467" s="25">
        <v>2.5031249999999998</v>
      </c>
      <c r="AY467">
        <v>2.5031249999999998</v>
      </c>
      <c r="AZ467">
        <v>6.5535408569394704</v>
      </c>
      <c r="BD467">
        <v>2.8683132161317609E-2</v>
      </c>
      <c r="BH467">
        <v>5.7366264322635217E-2</v>
      </c>
      <c r="BI467">
        <v>2.8683132161317609E-2</v>
      </c>
      <c r="BJ467">
        <v>0</v>
      </c>
    </row>
    <row r="468" spans="1:62" x14ac:dyDescent="0.3">
      <c r="A468" s="2" t="s">
        <v>386</v>
      </c>
      <c r="B468" s="18" t="s">
        <v>1048</v>
      </c>
      <c r="C468" s="13"/>
      <c r="F468" s="2">
        <v>3.35</v>
      </c>
      <c r="G468" s="2" t="s">
        <v>380</v>
      </c>
      <c r="H468" s="9">
        <v>-1</v>
      </c>
      <c r="I468">
        <v>-1</v>
      </c>
      <c r="J468"/>
      <c r="K468" s="2">
        <v>1</v>
      </c>
      <c r="L468" s="25">
        <v>0</v>
      </c>
      <c r="M468">
        <v>0</v>
      </c>
      <c r="N468">
        <v>0</v>
      </c>
      <c r="O468" s="2">
        <v>3.8</v>
      </c>
      <c r="P468" s="2">
        <v>3.8</v>
      </c>
      <c r="Q468" s="2">
        <v>29.2</v>
      </c>
      <c r="R468" s="2" t="s">
        <v>519</v>
      </c>
      <c r="S468" s="2">
        <v>29.2</v>
      </c>
      <c r="T468" s="25">
        <v>0</v>
      </c>
      <c r="U468"/>
      <c r="V468"/>
      <c r="W468">
        <v>0</v>
      </c>
      <c r="X468"/>
      <c r="Y468"/>
      <c r="Z468">
        <v>0</v>
      </c>
      <c r="AA468"/>
      <c r="AB468"/>
      <c r="AD468">
        <v>20</v>
      </c>
      <c r="AE468" s="55">
        <f t="shared" si="30"/>
        <v>421.64799999999997</v>
      </c>
      <c r="AF468" s="57">
        <v>0</v>
      </c>
      <c r="AG468" s="55">
        <v>0</v>
      </c>
      <c r="AH468" s="55">
        <v>0</v>
      </c>
      <c r="AI468" s="52">
        <f t="shared" si="29"/>
        <v>4.7432929837210189E-2</v>
      </c>
      <c r="AJ468" s="52"/>
      <c r="AK468" s="52"/>
      <c r="AL468" s="52"/>
      <c r="AM468" s="28">
        <v>1.5526315789473679</v>
      </c>
      <c r="AN468" s="28">
        <v>1.368421052631579</v>
      </c>
      <c r="AO468" s="28">
        <v>0.15789473684210531</v>
      </c>
      <c r="AP468" s="28">
        <v>0.2105263157894737</v>
      </c>
      <c r="AQ468" s="28">
        <v>0.47199999999999998</v>
      </c>
      <c r="AR468" s="28">
        <v>0.41599999999999998</v>
      </c>
      <c r="AS468" s="28">
        <v>4.8000000000000001E-2</v>
      </c>
      <c r="AT468" s="28">
        <v>6.4000000000000001E-2</v>
      </c>
      <c r="AU468" s="25">
        <v>1.1399999999999999</v>
      </c>
      <c r="AV468" s="25">
        <v>3.44</v>
      </c>
      <c r="AW468" s="25">
        <v>2.2999999999999998</v>
      </c>
      <c r="AX468" s="25">
        <v>2.4736842105263159</v>
      </c>
      <c r="AY468">
        <v>2.473684210526315</v>
      </c>
      <c r="AZ468">
        <v>6.6037309008807101</v>
      </c>
      <c r="BD468">
        <v>2.3716464918605091E-2</v>
      </c>
      <c r="BH468">
        <v>4.7432929837210189E-2</v>
      </c>
      <c r="BI468">
        <v>2.3716464918605091E-2</v>
      </c>
      <c r="BJ468">
        <v>0</v>
      </c>
    </row>
    <row r="469" spans="1:62" x14ac:dyDescent="0.3">
      <c r="A469" s="2" t="s">
        <v>387</v>
      </c>
      <c r="B469" s="18" t="s">
        <v>1049</v>
      </c>
      <c r="C469" s="13"/>
      <c r="F469" s="2">
        <v>3.36</v>
      </c>
      <c r="G469" s="2" t="s">
        <v>380</v>
      </c>
      <c r="H469" s="9">
        <v>-1</v>
      </c>
      <c r="I469">
        <v>-1</v>
      </c>
      <c r="J469"/>
      <c r="K469" s="2">
        <v>1</v>
      </c>
      <c r="L469" s="25">
        <v>0</v>
      </c>
      <c r="M469">
        <v>0</v>
      </c>
      <c r="N469">
        <v>0</v>
      </c>
      <c r="O469" s="2">
        <v>3.8</v>
      </c>
      <c r="P469" s="2">
        <v>3.8</v>
      </c>
      <c r="Q469" s="2">
        <v>33.4</v>
      </c>
      <c r="R469" s="2" t="s">
        <v>519</v>
      </c>
      <c r="S469" s="2">
        <v>33.4</v>
      </c>
      <c r="T469" s="25">
        <v>0</v>
      </c>
      <c r="U469"/>
      <c r="V469"/>
      <c r="W469">
        <v>0</v>
      </c>
      <c r="X469"/>
      <c r="Y469"/>
      <c r="Z469">
        <v>0</v>
      </c>
      <c r="AA469"/>
      <c r="AB469"/>
      <c r="AD469">
        <v>20</v>
      </c>
      <c r="AE469" s="55">
        <f t="shared" si="30"/>
        <v>482.29599999999994</v>
      </c>
      <c r="AF469" s="57">
        <v>0</v>
      </c>
      <c r="AG469" s="55">
        <v>0</v>
      </c>
      <c r="AH469" s="55">
        <v>0</v>
      </c>
      <c r="AI469" s="52">
        <f t="shared" si="29"/>
        <v>4.1468309917561008E-2</v>
      </c>
      <c r="AJ469" s="52"/>
      <c r="AK469" s="52"/>
      <c r="AL469" s="52"/>
      <c r="AM469" s="28">
        <v>1.5227272727272729</v>
      </c>
      <c r="AN469" s="28">
        <v>1.2727272727272729</v>
      </c>
      <c r="AO469" s="28">
        <v>0.13636363636363641</v>
      </c>
      <c r="AP469" s="28">
        <v>0.1818181818181818</v>
      </c>
      <c r="AQ469" s="28">
        <v>0.48905109489051091</v>
      </c>
      <c r="AR469" s="28">
        <v>0.40875912408759119</v>
      </c>
      <c r="AS469" s="28">
        <v>4.3795620437956199E-2</v>
      </c>
      <c r="AT469" s="28">
        <v>5.8394160583941597E-2</v>
      </c>
      <c r="AU469" s="25">
        <v>1.1399999999999999</v>
      </c>
      <c r="AV469" s="25">
        <v>3.44</v>
      </c>
      <c r="AW469" s="25">
        <v>2.2999999999999998</v>
      </c>
      <c r="AX469" s="25">
        <v>2.452272727272728</v>
      </c>
      <c r="AY469">
        <v>2.4522727272727272</v>
      </c>
      <c r="AZ469">
        <v>6.6402327510197949</v>
      </c>
      <c r="BD469">
        <v>2.0734154958780501E-2</v>
      </c>
      <c r="BH469">
        <v>4.1468309917561008E-2</v>
      </c>
      <c r="BI469">
        <v>2.0734154958780501E-2</v>
      </c>
      <c r="BJ469">
        <v>0</v>
      </c>
    </row>
    <row r="470" spans="1:62" x14ac:dyDescent="0.3">
      <c r="A470" s="2" t="s">
        <v>388</v>
      </c>
      <c r="B470" s="18" t="s">
        <v>1050</v>
      </c>
      <c r="C470" s="13"/>
      <c r="F470" s="2">
        <v>3.33</v>
      </c>
      <c r="G470" s="2" t="s">
        <v>380</v>
      </c>
      <c r="H470" s="9">
        <v>-1</v>
      </c>
      <c r="I470">
        <v>-1</v>
      </c>
      <c r="J470"/>
      <c r="K470" s="2">
        <v>2</v>
      </c>
      <c r="L470" s="25">
        <v>0</v>
      </c>
      <c r="M470">
        <v>0</v>
      </c>
      <c r="N470">
        <v>0</v>
      </c>
      <c r="O470" s="2">
        <v>3.76</v>
      </c>
      <c r="P470" s="2">
        <v>3.76</v>
      </c>
      <c r="Q470" s="2">
        <v>34.1</v>
      </c>
      <c r="R470" s="2" t="s">
        <v>519</v>
      </c>
      <c r="S470" s="2">
        <v>17.100000000000001</v>
      </c>
      <c r="T470" s="25">
        <v>0</v>
      </c>
      <c r="U470"/>
      <c r="V470"/>
      <c r="W470">
        <v>0</v>
      </c>
      <c r="X470"/>
      <c r="Y470"/>
      <c r="Z470">
        <v>0</v>
      </c>
      <c r="AA470"/>
      <c r="AB470"/>
      <c r="AD470">
        <v>22</v>
      </c>
      <c r="AE470" s="55">
        <f t="shared" si="30"/>
        <v>482.09215999999998</v>
      </c>
      <c r="AF470" s="57">
        <v>0</v>
      </c>
      <c r="AG470" s="55">
        <v>0</v>
      </c>
      <c r="AH470" s="55">
        <v>0</v>
      </c>
      <c r="AI470" s="52">
        <f t="shared" si="29"/>
        <v>9.12688561456797E-2</v>
      </c>
      <c r="AJ470" s="52"/>
      <c r="AK470" s="52"/>
      <c r="AL470" s="52"/>
      <c r="AM470" s="28">
        <v>1.7391304347826091</v>
      </c>
      <c r="AN470" s="28">
        <v>2</v>
      </c>
      <c r="AO470" s="28">
        <v>0.2608695652173913</v>
      </c>
      <c r="AP470" s="28">
        <v>0.34782608695652167</v>
      </c>
      <c r="AQ470" s="28">
        <v>0.4</v>
      </c>
      <c r="AR470" s="28">
        <v>0.46</v>
      </c>
      <c r="AS470" s="28">
        <v>0.06</v>
      </c>
      <c r="AT470" s="28">
        <v>0.08</v>
      </c>
      <c r="AU470" s="25">
        <v>1.1399999999999999</v>
      </c>
      <c r="AV470" s="25">
        <v>3.44</v>
      </c>
      <c r="AW470" s="25">
        <v>2.2999999999999998</v>
      </c>
      <c r="AX470" s="25">
        <v>2.63</v>
      </c>
      <c r="AY470">
        <v>2.63</v>
      </c>
      <c r="AZ470">
        <v>6.444942219787217</v>
      </c>
      <c r="BD470">
        <v>4.563442807283985E-2</v>
      </c>
      <c r="BH470">
        <v>9.12688561456797E-2</v>
      </c>
      <c r="BI470">
        <v>4.563442807283985E-2</v>
      </c>
      <c r="BJ470">
        <v>0</v>
      </c>
    </row>
    <row r="471" spans="1:62" x14ac:dyDescent="0.3">
      <c r="A471" s="2" t="s">
        <v>389</v>
      </c>
      <c r="B471" s="18" t="s">
        <v>1051</v>
      </c>
      <c r="C471" s="13"/>
      <c r="F471" s="2">
        <v>3.33</v>
      </c>
      <c r="G471" s="2" t="s">
        <v>380</v>
      </c>
      <c r="H471" s="9">
        <v>-1</v>
      </c>
      <c r="I471">
        <v>-1</v>
      </c>
      <c r="J471"/>
      <c r="K471" s="2">
        <v>2</v>
      </c>
      <c r="L471" s="25">
        <v>0</v>
      </c>
      <c r="M471">
        <v>0</v>
      </c>
      <c r="N471">
        <v>0</v>
      </c>
      <c r="O471" s="2">
        <v>3.77</v>
      </c>
      <c r="P471" s="2">
        <v>3.77</v>
      </c>
      <c r="Q471" s="2">
        <v>40.9</v>
      </c>
      <c r="R471" s="2" t="s">
        <v>519</v>
      </c>
      <c r="S471" s="2">
        <v>20.5</v>
      </c>
      <c r="T471" s="25">
        <v>0</v>
      </c>
      <c r="U471"/>
      <c r="V471"/>
      <c r="W471">
        <v>0</v>
      </c>
      <c r="X471"/>
      <c r="Y471"/>
      <c r="Z471">
        <v>0</v>
      </c>
      <c r="AA471"/>
      <c r="AB471"/>
      <c r="AD471">
        <v>22</v>
      </c>
      <c r="AE471" s="55">
        <f t="shared" si="30"/>
        <v>581.30760999999995</v>
      </c>
      <c r="AF471" s="57">
        <v>0</v>
      </c>
      <c r="AG471" s="55">
        <v>0</v>
      </c>
      <c r="AH471" s="55">
        <v>0</v>
      </c>
      <c r="AI471" s="52">
        <f t="shared" si="29"/>
        <v>7.5691422653145726E-2</v>
      </c>
      <c r="AJ471" s="52"/>
      <c r="AK471" s="52"/>
      <c r="AL471" s="52"/>
      <c r="AM471" s="28">
        <v>1.6923076923076921</v>
      </c>
      <c r="AN471" s="28">
        <v>1.846153846153846</v>
      </c>
      <c r="AO471" s="28">
        <v>0.23076923076923081</v>
      </c>
      <c r="AP471" s="28">
        <v>0.30769230769230771</v>
      </c>
      <c r="AQ471" s="28">
        <v>0.41509433962264147</v>
      </c>
      <c r="AR471" s="28">
        <v>0.45283018867924529</v>
      </c>
      <c r="AS471" s="28">
        <v>5.6603773584905669E-2</v>
      </c>
      <c r="AT471" s="28">
        <v>7.5471698113207558E-2</v>
      </c>
      <c r="AU471" s="25">
        <v>1.1399999999999999</v>
      </c>
      <c r="AV471" s="25">
        <v>3.44</v>
      </c>
      <c r="AW471" s="25">
        <v>2.2999999999999998</v>
      </c>
      <c r="AX471" s="25">
        <v>2.5938461538461541</v>
      </c>
      <c r="AY471">
        <v>2.5938461538461541</v>
      </c>
      <c r="AZ471">
        <v>6.4941501715695384</v>
      </c>
      <c r="BD471">
        <v>3.7845711326572863E-2</v>
      </c>
      <c r="BH471">
        <v>7.5691422653145726E-2</v>
      </c>
      <c r="BI471">
        <v>3.7845711326572863E-2</v>
      </c>
      <c r="BJ471">
        <v>0</v>
      </c>
    </row>
    <row r="472" spans="1:62" x14ac:dyDescent="0.3">
      <c r="A472" s="2" t="s">
        <v>390</v>
      </c>
      <c r="B472" s="18" t="s">
        <v>1052</v>
      </c>
      <c r="C472" s="13"/>
      <c r="F472" s="2">
        <v>3.32</v>
      </c>
      <c r="G472" s="2" t="s">
        <v>380</v>
      </c>
      <c r="H472" s="9">
        <v>-1</v>
      </c>
      <c r="I472">
        <v>-1</v>
      </c>
      <c r="J472"/>
      <c r="K472" s="2">
        <v>2</v>
      </c>
      <c r="L472" s="25">
        <v>0</v>
      </c>
      <c r="M472">
        <v>0</v>
      </c>
      <c r="N472">
        <v>0</v>
      </c>
      <c r="O472" s="2">
        <v>3.79</v>
      </c>
      <c r="P472" s="2">
        <v>3.79</v>
      </c>
      <c r="Q472" s="2">
        <v>43.8</v>
      </c>
      <c r="R472" s="2" t="s">
        <v>519</v>
      </c>
      <c r="S472" s="2">
        <v>21.9</v>
      </c>
      <c r="T472" s="25">
        <v>0</v>
      </c>
      <c r="U472"/>
      <c r="V472"/>
      <c r="W472">
        <v>0</v>
      </c>
      <c r="X472"/>
      <c r="Y472"/>
      <c r="Z472">
        <v>0</v>
      </c>
      <c r="AA472"/>
      <c r="AB472"/>
      <c r="AD472">
        <v>22</v>
      </c>
      <c r="AE472" s="55">
        <f t="shared" si="30"/>
        <v>629.14757999999995</v>
      </c>
      <c r="AF472" s="57">
        <v>0</v>
      </c>
      <c r="AG472" s="55">
        <v>0</v>
      </c>
      <c r="AH472" s="55">
        <v>0</v>
      </c>
      <c r="AI472" s="52">
        <f t="shared" si="29"/>
        <v>6.9935896439433182E-2</v>
      </c>
      <c r="AJ472" s="52"/>
      <c r="AK472" s="52"/>
      <c r="AL472" s="52"/>
      <c r="AM472" s="28">
        <v>1.655172413793103</v>
      </c>
      <c r="AN472" s="28">
        <v>1.7241379310344831</v>
      </c>
      <c r="AO472" s="28">
        <v>0.2068965517241379</v>
      </c>
      <c r="AP472" s="28">
        <v>0.27586206896551718</v>
      </c>
      <c r="AQ472" s="28">
        <v>0.42857142857142849</v>
      </c>
      <c r="AR472" s="28">
        <v>0.4464285714285714</v>
      </c>
      <c r="AS472" s="28">
        <v>5.3571428571428568E-2</v>
      </c>
      <c r="AT472" s="28">
        <v>7.1428571428571425E-2</v>
      </c>
      <c r="AU472" s="25">
        <v>1.1399999999999999</v>
      </c>
      <c r="AV472" s="25">
        <v>3.44</v>
      </c>
      <c r="AW472" s="25">
        <v>2.2999999999999998</v>
      </c>
      <c r="AX472" s="25">
        <v>2.5651724137931029</v>
      </c>
      <c r="AY472">
        <v>2.5651724137931029</v>
      </c>
      <c r="AZ472">
        <v>6.53317716781069</v>
      </c>
      <c r="BD472">
        <v>3.4967948219716591E-2</v>
      </c>
      <c r="BH472">
        <v>6.9935896439433182E-2</v>
      </c>
      <c r="BI472">
        <v>3.4967948219716591E-2</v>
      </c>
      <c r="BJ472">
        <v>0</v>
      </c>
    </row>
    <row r="473" spans="1:62" x14ac:dyDescent="0.3">
      <c r="A473" s="2" t="s">
        <v>391</v>
      </c>
      <c r="B473" s="18" t="s">
        <v>1053</v>
      </c>
      <c r="C473" s="13"/>
      <c r="F473" s="2">
        <v>3.33</v>
      </c>
      <c r="G473" s="2" t="s">
        <v>380</v>
      </c>
      <c r="H473" s="9">
        <v>-1</v>
      </c>
      <c r="I473">
        <v>-1</v>
      </c>
      <c r="J473"/>
      <c r="K473" s="2">
        <v>2</v>
      </c>
      <c r="L473" s="25">
        <v>0</v>
      </c>
      <c r="M473">
        <v>0</v>
      </c>
      <c r="N473">
        <v>0</v>
      </c>
      <c r="O473" s="2">
        <v>3.78</v>
      </c>
      <c r="P473" s="2">
        <v>3.78</v>
      </c>
      <c r="Q473" s="2">
        <v>47.3</v>
      </c>
      <c r="R473" s="2" t="s">
        <v>519</v>
      </c>
      <c r="S473" s="2">
        <v>23.7</v>
      </c>
      <c r="T473" s="25">
        <v>0</v>
      </c>
      <c r="U473"/>
      <c r="V473"/>
      <c r="W473">
        <v>0</v>
      </c>
      <c r="X473"/>
      <c r="Y473"/>
      <c r="Z473">
        <v>0</v>
      </c>
      <c r="AA473"/>
      <c r="AB473"/>
      <c r="AD473">
        <v>22</v>
      </c>
      <c r="AE473" s="55">
        <f t="shared" si="30"/>
        <v>675.84131999999988</v>
      </c>
      <c r="AF473" s="57">
        <v>0</v>
      </c>
      <c r="AG473" s="55">
        <v>0</v>
      </c>
      <c r="AH473" s="55">
        <v>0</v>
      </c>
      <c r="AI473" s="52">
        <f t="shared" si="29"/>
        <v>6.5104039510339509E-2</v>
      </c>
      <c r="AJ473" s="52"/>
      <c r="AK473" s="52"/>
      <c r="AL473" s="52"/>
      <c r="AM473" s="28">
        <v>1.625</v>
      </c>
      <c r="AN473" s="28">
        <v>1.625</v>
      </c>
      <c r="AO473" s="28">
        <v>0.1875</v>
      </c>
      <c r="AP473" s="28">
        <v>0.25</v>
      </c>
      <c r="AQ473" s="28">
        <v>0.44067796610169491</v>
      </c>
      <c r="AR473" s="28">
        <v>0.44067796610169491</v>
      </c>
      <c r="AS473" s="28">
        <v>5.0847457627118647E-2</v>
      </c>
      <c r="AT473" s="28">
        <v>6.7796610169491525E-2</v>
      </c>
      <c r="AU473" s="25">
        <v>1.1399999999999999</v>
      </c>
      <c r="AV473" s="25">
        <v>3.44</v>
      </c>
      <c r="AW473" s="25">
        <v>2.2999999999999998</v>
      </c>
      <c r="AX473" s="25">
        <v>2.5418750000000001</v>
      </c>
      <c r="AY473">
        <v>2.5418750000000001</v>
      </c>
      <c r="AZ473">
        <v>6.5648866022566246</v>
      </c>
      <c r="BD473">
        <v>3.2552019755169748E-2</v>
      </c>
      <c r="BH473">
        <v>6.5104039510339509E-2</v>
      </c>
      <c r="BI473">
        <v>3.2552019755169748E-2</v>
      </c>
      <c r="BJ473">
        <v>0</v>
      </c>
    </row>
    <row r="474" spans="1:62" x14ac:dyDescent="0.3">
      <c r="A474" s="2" t="s">
        <v>392</v>
      </c>
      <c r="B474" s="18" t="s">
        <v>1054</v>
      </c>
      <c r="C474" s="13"/>
      <c r="F474" s="2">
        <v>3.35</v>
      </c>
      <c r="G474" s="2" t="s">
        <v>380</v>
      </c>
      <c r="H474" s="9">
        <v>-1</v>
      </c>
      <c r="I474">
        <v>-1</v>
      </c>
      <c r="J474"/>
      <c r="K474" s="2">
        <v>1</v>
      </c>
      <c r="L474" s="25">
        <v>0</v>
      </c>
      <c r="M474">
        <v>0</v>
      </c>
      <c r="N474">
        <v>0</v>
      </c>
      <c r="O474" s="2">
        <v>3.81</v>
      </c>
      <c r="P474" s="2">
        <v>3.81</v>
      </c>
      <c r="Q474" s="2">
        <v>28.3</v>
      </c>
      <c r="R474" s="2" t="s">
        <v>519</v>
      </c>
      <c r="S474" s="2">
        <v>28.3</v>
      </c>
      <c r="T474" s="25">
        <v>0</v>
      </c>
      <c r="U474"/>
      <c r="V474"/>
      <c r="W474">
        <v>0</v>
      </c>
      <c r="X474"/>
      <c r="Y474"/>
      <c r="Z474">
        <v>0</v>
      </c>
      <c r="AA474"/>
      <c r="AB474"/>
      <c r="AD474">
        <v>22</v>
      </c>
      <c r="AE474" s="55">
        <f t="shared" si="30"/>
        <v>410.80563000000001</v>
      </c>
      <c r="AF474" s="57">
        <v>0</v>
      </c>
      <c r="AG474" s="55">
        <v>0</v>
      </c>
      <c r="AH474" s="55">
        <v>0</v>
      </c>
      <c r="AI474" s="52">
        <f t="shared" si="29"/>
        <v>5.3553306949566393E-2</v>
      </c>
      <c r="AJ474" s="52"/>
      <c r="AK474" s="52"/>
      <c r="AL474" s="52"/>
      <c r="AM474" s="28">
        <v>1.5789473684210531</v>
      </c>
      <c r="AN474" s="28">
        <v>1.4736842105263159</v>
      </c>
      <c r="AO474" s="28">
        <v>0.15789473684210531</v>
      </c>
      <c r="AP474" s="28">
        <v>0.2105263157894737</v>
      </c>
      <c r="AQ474" s="28">
        <v>0.46153846153846162</v>
      </c>
      <c r="AR474" s="28">
        <v>0.43076923076923068</v>
      </c>
      <c r="AS474" s="28">
        <v>4.6153846153846149E-2</v>
      </c>
      <c r="AT474" s="28">
        <v>6.1538461538461528E-2</v>
      </c>
      <c r="AU474" s="25">
        <v>1.1399999999999999</v>
      </c>
      <c r="AV474" s="25">
        <v>3.44</v>
      </c>
      <c r="AW474" s="25">
        <v>2.2999999999999998</v>
      </c>
      <c r="AX474" s="25">
        <v>2.5063157894736841</v>
      </c>
      <c r="AY474">
        <v>2.5063157894736841</v>
      </c>
      <c r="AZ474">
        <v>6.6132852127267361</v>
      </c>
      <c r="BD474">
        <v>2.67766534747832E-2</v>
      </c>
      <c r="BH474">
        <v>5.3553306949566393E-2</v>
      </c>
      <c r="BI474">
        <v>2.67766534747832E-2</v>
      </c>
      <c r="BJ474">
        <v>0</v>
      </c>
    </row>
    <row r="475" spans="1:62" x14ac:dyDescent="0.3">
      <c r="A475" s="2" t="s">
        <v>1133</v>
      </c>
      <c r="B475" s="18" t="s">
        <v>1055</v>
      </c>
      <c r="C475" s="13"/>
      <c r="F475" s="2">
        <v>3.36</v>
      </c>
      <c r="G475" s="2" t="s">
        <v>380</v>
      </c>
      <c r="H475" s="9">
        <v>-1</v>
      </c>
      <c r="I475">
        <v>-1</v>
      </c>
      <c r="J475"/>
      <c r="K475" s="2">
        <v>1</v>
      </c>
      <c r="L475" s="25">
        <v>0</v>
      </c>
      <c r="M475">
        <v>0</v>
      </c>
      <c r="N475">
        <v>0</v>
      </c>
      <c r="O475" s="2">
        <v>3.74</v>
      </c>
      <c r="P475" s="2">
        <v>3.74</v>
      </c>
      <c r="Q475" s="2">
        <v>30.8</v>
      </c>
      <c r="R475" s="2" t="s">
        <v>519</v>
      </c>
      <c r="S475" s="2">
        <v>30.8</v>
      </c>
      <c r="T475" s="25">
        <v>0</v>
      </c>
      <c r="U475"/>
      <c r="V475"/>
      <c r="W475">
        <v>0</v>
      </c>
      <c r="X475"/>
      <c r="Y475"/>
      <c r="Z475">
        <v>0</v>
      </c>
      <c r="AA475"/>
      <c r="AB475"/>
      <c r="AD475">
        <v>22</v>
      </c>
      <c r="AE475" s="55">
        <f t="shared" si="30"/>
        <v>430.81808000000007</v>
      </c>
      <c r="AF475" s="57">
        <v>0</v>
      </c>
      <c r="AG475" s="55">
        <v>0</v>
      </c>
      <c r="AH475" s="55">
        <v>0</v>
      </c>
      <c r="AI475" s="52">
        <f t="shared" si="29"/>
        <v>5.1065637728110194E-2</v>
      </c>
      <c r="AJ475" s="52"/>
      <c r="AK475" s="52"/>
      <c r="AL475" s="52"/>
      <c r="AM475" s="28">
        <v>1.545454545454545</v>
      </c>
      <c r="AN475" s="28">
        <v>1.363636363636364</v>
      </c>
      <c r="AO475" s="28">
        <v>0.13636363636363641</v>
      </c>
      <c r="AP475" s="28">
        <v>0.1818181818181818</v>
      </c>
      <c r="AQ475" s="28">
        <v>0.47887323943661969</v>
      </c>
      <c r="AR475" s="28">
        <v>0.42253521126760563</v>
      </c>
      <c r="AS475" s="28">
        <v>4.2253521126760563E-2</v>
      </c>
      <c r="AT475" s="28">
        <v>5.6338028169014093E-2</v>
      </c>
      <c r="AU475" s="25">
        <v>1.1399999999999999</v>
      </c>
      <c r="AV475" s="25">
        <v>3.44</v>
      </c>
      <c r="AW475" s="25">
        <v>2.2999999999999998</v>
      </c>
      <c r="AX475" s="25">
        <v>2.4804545454545459</v>
      </c>
      <c r="AY475">
        <v>2.480454545454545</v>
      </c>
      <c r="AZ475">
        <v>6.6484842021595449</v>
      </c>
      <c r="BD475">
        <v>2.5532818864055101E-2</v>
      </c>
      <c r="BH475">
        <v>5.1065637728110187E-2</v>
      </c>
      <c r="BI475">
        <v>2.5532818864055101E-2</v>
      </c>
      <c r="BJ475">
        <v>0</v>
      </c>
    </row>
    <row r="476" spans="1:62" x14ac:dyDescent="0.3">
      <c r="A476" s="1" t="s">
        <v>394</v>
      </c>
      <c r="B476" s="18" t="s">
        <v>1056</v>
      </c>
      <c r="C476" s="13"/>
      <c r="F476" s="2">
        <v>3.29</v>
      </c>
      <c r="G476" s="2" t="s">
        <v>393</v>
      </c>
      <c r="H476" s="9">
        <v>-1</v>
      </c>
      <c r="I476">
        <v>-1</v>
      </c>
      <c r="J476" t="s">
        <v>1243</v>
      </c>
      <c r="K476" s="2">
        <v>1</v>
      </c>
      <c r="L476" s="25">
        <v>0</v>
      </c>
      <c r="M476">
        <v>0</v>
      </c>
      <c r="N476">
        <v>0</v>
      </c>
      <c r="O476" s="2">
        <v>3.85</v>
      </c>
      <c r="P476" s="2">
        <v>3.85</v>
      </c>
      <c r="Q476" s="2">
        <v>21.37</v>
      </c>
      <c r="R476" s="2" t="s">
        <v>1131</v>
      </c>
      <c r="T476" s="25">
        <v>0</v>
      </c>
      <c r="U476"/>
      <c r="V476"/>
      <c r="W476">
        <v>0</v>
      </c>
      <c r="X476"/>
      <c r="Y476"/>
      <c r="Z476">
        <v>0</v>
      </c>
      <c r="AA476"/>
      <c r="AB476"/>
      <c r="AD476">
        <v>26</v>
      </c>
      <c r="AE476" s="55">
        <f t="shared" si="30"/>
        <v>316.75682500000005</v>
      </c>
      <c r="AF476" s="57">
        <v>0</v>
      </c>
      <c r="AG476" s="55">
        <v>0</v>
      </c>
      <c r="AH476" s="55">
        <v>0</v>
      </c>
      <c r="AI476" s="52">
        <f t="shared" si="29"/>
        <v>8.2081893578772921E-2</v>
      </c>
      <c r="AJ476" s="52"/>
      <c r="AK476" s="52"/>
      <c r="AL476" s="52"/>
      <c r="AM476" s="28">
        <v>1.791666666666667</v>
      </c>
      <c r="AN476" s="28">
        <v>2.416666666666667</v>
      </c>
      <c r="AO476" s="28">
        <v>1.166666666666667</v>
      </c>
      <c r="AP476" s="28">
        <v>1.166666666666667</v>
      </c>
      <c r="AQ476" s="28">
        <v>0.27388535031847128</v>
      </c>
      <c r="AR476" s="28">
        <v>0.36942675159235672</v>
      </c>
      <c r="AS476" s="28">
        <v>0.178343949044586</v>
      </c>
      <c r="AT476" s="28">
        <v>0.178343949044586</v>
      </c>
      <c r="AU476" s="25">
        <v>0.82</v>
      </c>
      <c r="AV476" s="25">
        <v>3.44</v>
      </c>
      <c r="AW476" s="25">
        <v>2.62</v>
      </c>
      <c r="AX476" s="25">
        <v>2.689166666666666</v>
      </c>
      <c r="AY476">
        <v>2.6891666666666669</v>
      </c>
      <c r="AZ476">
        <v>6.2990365295585002</v>
      </c>
      <c r="BC476" s="75">
        <v>0</v>
      </c>
      <c r="BD476">
        <v>4.1040946789386461E-2</v>
      </c>
      <c r="BH476">
        <v>8.2081893578772921E-2</v>
      </c>
      <c r="BI476">
        <v>4.1040946789386461E-2</v>
      </c>
      <c r="BJ476">
        <v>0</v>
      </c>
    </row>
    <row r="477" spans="1:62" x14ac:dyDescent="0.3">
      <c r="A477" s="5" t="s">
        <v>395</v>
      </c>
      <c r="B477" s="43" t="s">
        <v>1057</v>
      </c>
      <c r="C477" s="39"/>
      <c r="D477" s="5"/>
      <c r="E477" s="5"/>
      <c r="F477" s="5">
        <v>3.17</v>
      </c>
      <c r="G477" s="5" t="s">
        <v>393</v>
      </c>
      <c r="H477" s="40">
        <v>-2</v>
      </c>
      <c r="I477" s="5">
        <v>-1</v>
      </c>
      <c r="J477" s="5"/>
      <c r="K477" s="5">
        <v>1</v>
      </c>
      <c r="L477" s="41">
        <v>0</v>
      </c>
      <c r="M477">
        <v>0</v>
      </c>
      <c r="N477">
        <v>0</v>
      </c>
      <c r="O477" s="2">
        <v>3.85</v>
      </c>
      <c r="P477" s="2">
        <v>3.85</v>
      </c>
      <c r="Q477" s="5">
        <v>21.88</v>
      </c>
      <c r="R477" s="5"/>
      <c r="S477" s="5"/>
      <c r="T477" s="41">
        <v>0</v>
      </c>
      <c r="U477" s="5"/>
      <c r="V477" s="5"/>
      <c r="W477">
        <v>0</v>
      </c>
      <c r="X477"/>
      <c r="Y477"/>
      <c r="Z477">
        <v>0</v>
      </c>
      <c r="AA477"/>
      <c r="AB477"/>
      <c r="AC477" s="5"/>
      <c r="AD477" s="5">
        <v>26</v>
      </c>
      <c r="AE477" s="55">
        <f t="shared" si="30"/>
        <v>324.31630000000001</v>
      </c>
      <c r="AF477" s="57">
        <v>0</v>
      </c>
      <c r="AG477" s="55">
        <v>0</v>
      </c>
      <c r="AH477" s="55">
        <v>0</v>
      </c>
      <c r="AI477" s="52">
        <f t="shared" si="29"/>
        <v>8.0168650172686359E-2</v>
      </c>
      <c r="AJ477" s="52"/>
      <c r="AK477" s="52"/>
      <c r="AL477" s="52"/>
      <c r="AM477" s="5">
        <v>1.7272727272727271</v>
      </c>
      <c r="AN477" s="5">
        <v>2.1818181818181821</v>
      </c>
      <c r="AO477" s="5">
        <v>1.0181818181818181</v>
      </c>
      <c r="AP477" s="5">
        <v>1.0181818181818181</v>
      </c>
      <c r="AQ477" s="5">
        <v>0.29051987767584098</v>
      </c>
      <c r="AR477" s="5">
        <v>0.36697247706422009</v>
      </c>
      <c r="AS477" s="5">
        <v>0.17125382262996941</v>
      </c>
      <c r="AT477" s="5">
        <v>0.17125382262996941</v>
      </c>
      <c r="AU477" s="41">
        <v>0.82</v>
      </c>
      <c r="AV477" s="41">
        <v>3.44</v>
      </c>
      <c r="AW477" s="41">
        <v>2.62</v>
      </c>
      <c r="AX477" s="41">
        <v>2.6647272727272728</v>
      </c>
      <c r="AY477" s="5">
        <v>2.6647272727272728</v>
      </c>
      <c r="AZ477" s="5">
        <v>6.4638943890893454</v>
      </c>
      <c r="BD477">
        <v>4.008432508634318E-2</v>
      </c>
      <c r="BH477">
        <v>8.0168650172686359E-2</v>
      </c>
      <c r="BI477">
        <v>4.008432508634318E-2</v>
      </c>
      <c r="BJ477">
        <v>0</v>
      </c>
    </row>
    <row r="478" spans="1:62" x14ac:dyDescent="0.3">
      <c r="A478" s="5" t="s">
        <v>396</v>
      </c>
      <c r="B478" s="43" t="s">
        <v>1058</v>
      </c>
      <c r="C478" s="39"/>
      <c r="D478" s="5"/>
      <c r="E478" s="5"/>
      <c r="F478" s="5">
        <v>3.19</v>
      </c>
      <c r="G478" s="5" t="s">
        <v>393</v>
      </c>
      <c r="H478" s="40">
        <v>-2</v>
      </c>
      <c r="I478" s="5">
        <v>-1</v>
      </c>
      <c r="J478" s="5"/>
      <c r="K478" s="5">
        <v>1</v>
      </c>
      <c r="L478" s="41">
        <v>0</v>
      </c>
      <c r="M478">
        <v>0</v>
      </c>
      <c r="N478">
        <v>0</v>
      </c>
      <c r="O478" s="2">
        <v>3.85</v>
      </c>
      <c r="P478" s="2">
        <v>3.85</v>
      </c>
      <c r="Q478" s="5">
        <v>23.3</v>
      </c>
      <c r="R478" s="5"/>
      <c r="S478" s="5"/>
      <c r="T478" s="41">
        <v>0</v>
      </c>
      <c r="U478" s="5"/>
      <c r="V478" s="5"/>
      <c r="W478">
        <v>0</v>
      </c>
      <c r="X478"/>
      <c r="Y478"/>
      <c r="Z478">
        <v>0</v>
      </c>
      <c r="AA478"/>
      <c r="AB478"/>
      <c r="AC478" s="5"/>
      <c r="AD478" s="5">
        <v>26</v>
      </c>
      <c r="AE478" s="55">
        <f t="shared" si="30"/>
        <v>345.36425000000003</v>
      </c>
      <c r="AF478" s="57">
        <v>0</v>
      </c>
      <c r="AG478" s="55">
        <v>0</v>
      </c>
      <c r="AH478" s="55">
        <v>0</v>
      </c>
      <c r="AI478" s="52">
        <f t="shared" si="29"/>
        <v>7.5282835441132068E-2</v>
      </c>
      <c r="AJ478" s="52"/>
      <c r="AK478" s="52"/>
      <c r="AL478" s="52"/>
      <c r="AM478" s="5">
        <v>1.693548387096774</v>
      </c>
      <c r="AN478" s="5">
        <v>2.0483870967741939</v>
      </c>
      <c r="AO478" s="5">
        <v>1.064516129032258</v>
      </c>
      <c r="AP478" s="5">
        <v>1.129032258064516</v>
      </c>
      <c r="AQ478" s="5">
        <v>0.28532608695652167</v>
      </c>
      <c r="AR478" s="5">
        <v>0.34510869565217389</v>
      </c>
      <c r="AS478" s="5">
        <v>0.17934782608695651</v>
      </c>
      <c r="AT478" s="5">
        <v>0.19021739130434781</v>
      </c>
      <c r="AU478" s="41">
        <v>0.82</v>
      </c>
      <c r="AV478" s="41">
        <v>3.44</v>
      </c>
      <c r="AW478" s="41">
        <v>2.62</v>
      </c>
      <c r="AX478" s="41">
        <v>2.620645161290323</v>
      </c>
      <c r="AY478" s="5">
        <v>2.620645161290323</v>
      </c>
      <c r="AZ478" s="5">
        <v>6.4654289883277096</v>
      </c>
      <c r="BD478">
        <v>3.7641417720566027E-2</v>
      </c>
      <c r="BH478">
        <v>7.5282835441132068E-2</v>
      </c>
      <c r="BI478">
        <v>3.7641417720566027E-2</v>
      </c>
      <c r="BJ478">
        <v>0</v>
      </c>
    </row>
    <row r="479" spans="1:62" x14ac:dyDescent="0.3">
      <c r="A479" s="5" t="s">
        <v>397</v>
      </c>
      <c r="B479" s="43" t="s">
        <v>1059</v>
      </c>
      <c r="C479" s="39"/>
      <c r="D479" s="5"/>
      <c r="E479" s="5"/>
      <c r="F479" s="5">
        <v>3.19</v>
      </c>
      <c r="G479" s="5" t="s">
        <v>393</v>
      </c>
      <c r="H479" s="40">
        <v>-2</v>
      </c>
      <c r="I479" s="5">
        <v>-1</v>
      </c>
      <c r="J479" s="5"/>
      <c r="K479" s="5">
        <v>1</v>
      </c>
      <c r="L479" s="41">
        <v>0</v>
      </c>
      <c r="M479">
        <v>0</v>
      </c>
      <c r="N479">
        <v>0</v>
      </c>
      <c r="O479" s="2">
        <v>3.85</v>
      </c>
      <c r="P479" s="2">
        <v>3.85</v>
      </c>
      <c r="Q479" s="5">
        <v>25.26</v>
      </c>
      <c r="R479" s="5"/>
      <c r="S479" s="5"/>
      <c r="T479" s="41">
        <v>0</v>
      </c>
      <c r="U479" s="41"/>
      <c r="V479" s="41"/>
      <c r="W479">
        <v>0</v>
      </c>
      <c r="X479"/>
      <c r="Y479"/>
      <c r="Z479">
        <v>0</v>
      </c>
      <c r="AA479"/>
      <c r="AB479"/>
      <c r="AC479" s="5"/>
      <c r="AD479" s="5">
        <v>26</v>
      </c>
      <c r="AE479" s="55">
        <f t="shared" si="30"/>
        <v>374.41635000000008</v>
      </c>
      <c r="AF479" s="57">
        <v>0</v>
      </c>
      <c r="AG479" s="55">
        <v>0</v>
      </c>
      <c r="AH479" s="55">
        <v>0</v>
      </c>
      <c r="AI479" s="52">
        <f t="shared" si="29"/>
        <v>6.9441411946887452E-2</v>
      </c>
      <c r="AJ479" s="51"/>
      <c r="AK479" s="52"/>
      <c r="AL479" s="52"/>
      <c r="AM479" s="5">
        <v>1.661764705882353</v>
      </c>
      <c r="AN479" s="5">
        <v>1.9264705882352939</v>
      </c>
      <c r="AO479" s="5">
        <v>0.97058823529411764</v>
      </c>
      <c r="AP479" s="5">
        <v>1.029411764705882</v>
      </c>
      <c r="AQ479" s="5">
        <v>0.29736842105263162</v>
      </c>
      <c r="AR479" s="5">
        <v>0.34473684210526317</v>
      </c>
      <c r="AS479" s="5">
        <v>0.1736842105263158</v>
      </c>
      <c r="AT479" s="5">
        <v>0.18421052631578949</v>
      </c>
      <c r="AU479" s="41">
        <v>0.82</v>
      </c>
      <c r="AV479" s="41">
        <v>3.44</v>
      </c>
      <c r="AW479" s="41">
        <v>2.62</v>
      </c>
      <c r="AX479" s="41">
        <v>2.5938235294117651</v>
      </c>
      <c r="AY479" s="5">
        <v>2.5938235294117651</v>
      </c>
      <c r="AZ479" s="5">
        <v>6.5012509424665001</v>
      </c>
      <c r="BD479">
        <v>3.4720705973443733E-2</v>
      </c>
      <c r="BH479">
        <v>6.9441411946887452E-2</v>
      </c>
      <c r="BI479">
        <v>3.4720705973443733E-2</v>
      </c>
      <c r="BJ479">
        <v>0</v>
      </c>
    </row>
    <row r="480" spans="1:62" x14ac:dyDescent="0.3">
      <c r="A480" s="5" t="s">
        <v>398</v>
      </c>
      <c r="B480" s="43" t="s">
        <v>1060</v>
      </c>
      <c r="C480" s="39"/>
      <c r="D480" s="5"/>
      <c r="E480" s="5"/>
      <c r="F480" s="5">
        <v>3.17</v>
      </c>
      <c r="G480" s="5" t="s">
        <v>393</v>
      </c>
      <c r="H480" s="40">
        <v>-2</v>
      </c>
      <c r="I480" s="5">
        <v>-1</v>
      </c>
      <c r="J480" s="5"/>
      <c r="K480" s="5">
        <v>1</v>
      </c>
      <c r="L480" s="41">
        <v>0</v>
      </c>
      <c r="M480">
        <v>0</v>
      </c>
      <c r="N480">
        <v>0</v>
      </c>
      <c r="O480" s="2">
        <v>3.85</v>
      </c>
      <c r="P480" s="2">
        <v>3.85</v>
      </c>
      <c r="Q480" s="5">
        <v>27.23</v>
      </c>
      <c r="R480" s="5"/>
      <c r="S480" s="5"/>
      <c r="T480" s="41">
        <v>0</v>
      </c>
      <c r="U480" s="41"/>
      <c r="V480" s="41"/>
      <c r="W480">
        <v>0</v>
      </c>
      <c r="X480"/>
      <c r="Y480"/>
      <c r="Z480">
        <v>0</v>
      </c>
      <c r="AA480"/>
      <c r="AB480"/>
      <c r="AC480" s="5"/>
      <c r="AD480" s="5">
        <v>26</v>
      </c>
      <c r="AE480" s="55">
        <f t="shared" si="30"/>
        <v>403.61667500000004</v>
      </c>
      <c r="AF480" s="57">
        <v>0</v>
      </c>
      <c r="AG480" s="55">
        <v>0</v>
      </c>
      <c r="AH480" s="55">
        <v>0</v>
      </c>
      <c r="AI480" s="52">
        <f t="shared" si="29"/>
        <v>6.4417556583855201E-2</v>
      </c>
      <c r="AJ480" s="51"/>
      <c r="AK480" s="52"/>
      <c r="AL480" s="52"/>
      <c r="AM480" s="5">
        <v>1.6351351351351351</v>
      </c>
      <c r="AN480" s="5">
        <v>1.8243243243243239</v>
      </c>
      <c r="AO480" s="5">
        <v>0.89189189189189189</v>
      </c>
      <c r="AP480" s="5">
        <v>0.94594594594594594</v>
      </c>
      <c r="AQ480" s="5">
        <v>0.30867346938775508</v>
      </c>
      <c r="AR480" s="5">
        <v>0.34438775510204078</v>
      </c>
      <c r="AS480" s="5">
        <v>0.1683673469387755</v>
      </c>
      <c r="AT480" s="5">
        <v>0.1785714285714286</v>
      </c>
      <c r="AU480" s="41">
        <v>0.82</v>
      </c>
      <c r="AV480" s="41">
        <v>3.44</v>
      </c>
      <c r="AW480" s="41">
        <v>2.62</v>
      </c>
      <c r="AX480" s="41">
        <v>2.5713513513513511</v>
      </c>
      <c r="AY480" s="5">
        <v>2.571351351351352</v>
      </c>
      <c r="AZ480" s="5">
        <v>6.5312639310692706</v>
      </c>
      <c r="BD480">
        <v>3.2208778291927601E-2</v>
      </c>
      <c r="BH480">
        <v>6.4417556583855201E-2</v>
      </c>
      <c r="BI480">
        <v>3.2208778291927601E-2</v>
      </c>
      <c r="BJ480">
        <v>0</v>
      </c>
    </row>
    <row r="481" spans="1:62" x14ac:dyDescent="0.3">
      <c r="A481" s="5" t="s">
        <v>399</v>
      </c>
      <c r="B481" s="43" t="s">
        <v>1061</v>
      </c>
      <c r="C481" s="39"/>
      <c r="D481" s="5"/>
      <c r="E481" s="5"/>
      <c r="F481" s="5">
        <v>3.15</v>
      </c>
      <c r="G481" s="5" t="s">
        <v>393</v>
      </c>
      <c r="H481" s="40">
        <v>-2</v>
      </c>
      <c r="I481" s="5">
        <v>-1</v>
      </c>
      <c r="J481" s="5"/>
      <c r="K481" s="5">
        <v>1</v>
      </c>
      <c r="L481" s="41">
        <v>0</v>
      </c>
      <c r="M481">
        <v>0</v>
      </c>
      <c r="N481">
        <v>0</v>
      </c>
      <c r="O481" s="2">
        <v>3.85</v>
      </c>
      <c r="P481" s="2">
        <v>3.85</v>
      </c>
      <c r="Q481" s="5">
        <v>33.19</v>
      </c>
      <c r="R481" s="5"/>
      <c r="S481" s="5"/>
      <c r="T481" s="41">
        <v>0</v>
      </c>
      <c r="U481" s="41"/>
      <c r="V481" s="41"/>
      <c r="W481">
        <v>0</v>
      </c>
      <c r="X481"/>
      <c r="Y481"/>
      <c r="Z481">
        <v>0</v>
      </c>
      <c r="AA481"/>
      <c r="AB481"/>
      <c r="AC481" s="5"/>
      <c r="AD481" s="5">
        <v>26</v>
      </c>
      <c r="AE481" s="55">
        <f t="shared" si="30"/>
        <v>491.958775</v>
      </c>
      <c r="AF481" s="57">
        <v>0</v>
      </c>
      <c r="AG481" s="55">
        <v>0</v>
      </c>
      <c r="AH481" s="55">
        <v>0</v>
      </c>
      <c r="AI481" s="52">
        <f t="shared" si="29"/>
        <v>5.2849956787537733E-2</v>
      </c>
      <c r="AJ481" s="51"/>
      <c r="AK481" s="52"/>
      <c r="AL481" s="52"/>
      <c r="AM481" s="5">
        <v>1.593023255813953</v>
      </c>
      <c r="AN481" s="5">
        <v>1.6627906976744189</v>
      </c>
      <c r="AO481" s="5">
        <v>0.76744186046511631</v>
      </c>
      <c r="AP481" s="5">
        <v>0.81395348837209303</v>
      </c>
      <c r="AQ481" s="5">
        <v>0.32932692307692307</v>
      </c>
      <c r="AR481" s="5">
        <v>0.34375000000000011</v>
      </c>
      <c r="AS481" s="5">
        <v>0.1586538461538462</v>
      </c>
      <c r="AT481" s="5">
        <v>0.16826923076923081</v>
      </c>
      <c r="AU481" s="41">
        <v>0.82</v>
      </c>
      <c r="AV481" s="41">
        <v>3.44</v>
      </c>
      <c r="AW481" s="41">
        <v>2.62</v>
      </c>
      <c r="AX481" s="41">
        <v>2.5358139534883719</v>
      </c>
      <c r="AY481" s="5">
        <v>2.5358139534883719</v>
      </c>
      <c r="AZ481" s="5">
        <v>6.5787263316503957</v>
      </c>
      <c r="BD481">
        <v>2.642497839376887E-2</v>
      </c>
      <c r="BH481">
        <v>5.2849956787537733E-2</v>
      </c>
      <c r="BI481">
        <v>2.642497839376887E-2</v>
      </c>
      <c r="BJ481">
        <v>0</v>
      </c>
    </row>
    <row r="482" spans="1:62" x14ac:dyDescent="0.3">
      <c r="A482" s="5" t="s">
        <v>400</v>
      </c>
      <c r="B482" s="43" t="s">
        <v>1062</v>
      </c>
      <c r="C482" s="39"/>
      <c r="D482" s="5"/>
      <c r="E482" s="5"/>
      <c r="F482" s="5">
        <v>3.15</v>
      </c>
      <c r="G482" s="5" t="s">
        <v>393</v>
      </c>
      <c r="H482" s="49">
        <v>-2</v>
      </c>
      <c r="I482" s="5">
        <v>-1</v>
      </c>
      <c r="J482" s="5"/>
      <c r="K482" s="5">
        <v>1</v>
      </c>
      <c r="L482" s="41">
        <v>0</v>
      </c>
      <c r="M482">
        <v>0</v>
      </c>
      <c r="N482">
        <v>0</v>
      </c>
      <c r="O482" s="2">
        <v>3.85</v>
      </c>
      <c r="P482" s="2">
        <v>3.85</v>
      </c>
      <c r="Q482" s="5">
        <v>38.67</v>
      </c>
      <c r="R482" s="5"/>
      <c r="S482" s="5"/>
      <c r="T482" s="41">
        <v>0</v>
      </c>
      <c r="U482" s="41"/>
      <c r="V482" s="41"/>
      <c r="W482">
        <v>0</v>
      </c>
      <c r="X482"/>
      <c r="Y482"/>
      <c r="Z482">
        <v>0</v>
      </c>
      <c r="AA482"/>
      <c r="AB482"/>
      <c r="AC482" s="5"/>
      <c r="AD482" s="5">
        <v>26</v>
      </c>
      <c r="AE482" s="55">
        <f t="shared" si="30"/>
        <v>573.18607500000007</v>
      </c>
      <c r="AF482" s="57">
        <v>0</v>
      </c>
      <c r="AG482" s="55">
        <v>0</v>
      </c>
      <c r="AH482" s="55">
        <v>0</v>
      </c>
      <c r="AI482" s="52">
        <f t="shared" si="29"/>
        <v>4.5360487866004065E-2</v>
      </c>
      <c r="AJ482" s="51"/>
      <c r="AK482" s="52"/>
      <c r="AL482" s="52"/>
      <c r="AM482" s="5">
        <v>1.561224489795918</v>
      </c>
      <c r="AN482" s="5">
        <v>1.5408163265306121</v>
      </c>
      <c r="AO482" s="5">
        <v>0.67346938775510201</v>
      </c>
      <c r="AP482" s="5">
        <v>0.7142857142857143</v>
      </c>
      <c r="AQ482" s="5">
        <v>0.34772727272727277</v>
      </c>
      <c r="AR482" s="5">
        <v>0.3431818181818182</v>
      </c>
      <c r="AS482" s="5">
        <v>0.15</v>
      </c>
      <c r="AT482" s="5">
        <v>0.15909090909090909</v>
      </c>
      <c r="AU482" s="41">
        <v>0.82</v>
      </c>
      <c r="AV482" s="41">
        <v>3.44</v>
      </c>
      <c r="AW482" s="41">
        <v>2.62</v>
      </c>
      <c r="AX482" s="41">
        <v>2.5089795918367348</v>
      </c>
      <c r="AY482" s="5">
        <v>2.5089795918367348</v>
      </c>
      <c r="AZ482" s="5">
        <v>6.6145652871912439</v>
      </c>
      <c r="BD482">
        <v>2.2680243933002029E-2</v>
      </c>
      <c r="BH482">
        <v>4.5360487866004072E-2</v>
      </c>
      <c r="BI482">
        <v>2.2680243933002029E-2</v>
      </c>
      <c r="BJ482">
        <v>0</v>
      </c>
    </row>
    <row r="483" spans="1:62" x14ac:dyDescent="0.3">
      <c r="A483" s="2" t="s">
        <v>381</v>
      </c>
      <c r="B483" s="13" t="s">
        <v>838</v>
      </c>
      <c r="C483" s="13"/>
      <c r="F483" s="2">
        <v>3.46</v>
      </c>
      <c r="G483" s="2" t="s">
        <v>401</v>
      </c>
      <c r="H483" s="9">
        <v>-1</v>
      </c>
      <c r="I483">
        <v>-1</v>
      </c>
      <c r="J483"/>
      <c r="K483" s="2">
        <v>2</v>
      </c>
      <c r="L483" s="25">
        <v>0</v>
      </c>
      <c r="M483">
        <v>0</v>
      </c>
      <c r="N483">
        <v>0</v>
      </c>
      <c r="O483" s="2">
        <v>3.7829999999999999</v>
      </c>
      <c r="P483" s="2">
        <v>3.7829999999999999</v>
      </c>
      <c r="Q483" s="2">
        <v>27.18</v>
      </c>
      <c r="R483" s="2" t="s">
        <v>1131</v>
      </c>
      <c r="T483" s="25">
        <v>0</v>
      </c>
      <c r="U483" s="25"/>
      <c r="V483" s="25"/>
      <c r="W483">
        <v>0</v>
      </c>
      <c r="X483"/>
      <c r="Y483"/>
      <c r="Z483">
        <v>0</v>
      </c>
      <c r="AA483"/>
      <c r="AB483"/>
      <c r="AD483">
        <v>20</v>
      </c>
      <c r="AE483" s="55">
        <f t="shared" si="30"/>
        <v>388.97539902</v>
      </c>
      <c r="AF483" s="57">
        <v>0</v>
      </c>
      <c r="AG483" s="55">
        <v>0</v>
      </c>
      <c r="AH483" s="55">
        <v>0</v>
      </c>
      <c r="AI483" s="52">
        <f t="shared" si="29"/>
        <v>0.10283426689908304</v>
      </c>
      <c r="AJ483" s="51"/>
      <c r="AK483" s="52"/>
      <c r="AL483" s="52"/>
      <c r="AM483" s="28">
        <v>1.882352941176471</v>
      </c>
      <c r="AN483" s="28">
        <v>2.3529411764705879</v>
      </c>
      <c r="AO483" s="28">
        <v>0.35294117647058831</v>
      </c>
      <c r="AP483" s="28">
        <v>0.47058823529411759</v>
      </c>
      <c r="AQ483" s="28">
        <v>0.37209302325581389</v>
      </c>
      <c r="AR483" s="28">
        <v>0.46511627906976749</v>
      </c>
      <c r="AS483" s="28">
        <v>6.9767441860465129E-2</v>
      </c>
      <c r="AT483" s="28">
        <v>9.3023255813953487E-2</v>
      </c>
      <c r="AU483" s="25">
        <v>1.1399999999999999</v>
      </c>
      <c r="AV483" s="25">
        <v>3.44</v>
      </c>
      <c r="AW483" s="25">
        <v>2.2999999999999998</v>
      </c>
      <c r="AX483" s="25">
        <v>2.6882352941176468</v>
      </c>
      <c r="AY483">
        <v>2.6882352941176468</v>
      </c>
      <c r="AZ483">
        <v>6.2192249941001183</v>
      </c>
      <c r="BD483">
        <v>5.1417133449541519E-2</v>
      </c>
      <c r="BH483">
        <v>0.102834266899083</v>
      </c>
      <c r="BI483">
        <v>5.1417133449541519E-2</v>
      </c>
      <c r="BJ483">
        <v>0</v>
      </c>
    </row>
    <row r="484" spans="1:62" x14ac:dyDescent="0.3">
      <c r="A484" s="2" t="s">
        <v>385</v>
      </c>
      <c r="B484" s="18" t="s">
        <v>1063</v>
      </c>
      <c r="C484" s="13"/>
      <c r="F484" s="2">
        <v>3.58</v>
      </c>
      <c r="G484" s="2" t="s">
        <v>401</v>
      </c>
      <c r="H484" s="9">
        <v>-1</v>
      </c>
      <c r="I484">
        <v>-1</v>
      </c>
      <c r="J484"/>
      <c r="K484" s="2">
        <v>1</v>
      </c>
      <c r="L484" s="25">
        <v>0</v>
      </c>
      <c r="M484">
        <v>0</v>
      </c>
      <c r="N484">
        <v>0</v>
      </c>
      <c r="O484" s="2">
        <v>3.802</v>
      </c>
      <c r="P484" s="2">
        <v>3.802</v>
      </c>
      <c r="Q484" s="2">
        <v>24.7</v>
      </c>
      <c r="R484" s="2" t="s">
        <v>439</v>
      </c>
      <c r="T484" s="25">
        <v>0</v>
      </c>
      <c r="U484" s="25"/>
      <c r="V484" s="25"/>
      <c r="W484">
        <v>0</v>
      </c>
      <c r="X484"/>
      <c r="Y484"/>
      <c r="Z484">
        <v>0</v>
      </c>
      <c r="AA484"/>
      <c r="AB484"/>
      <c r="AD484">
        <v>20</v>
      </c>
      <c r="AE484" s="55">
        <f t="shared" si="30"/>
        <v>357.04353880000002</v>
      </c>
      <c r="AF484" s="57">
        <v>0</v>
      </c>
      <c r="AG484" s="55">
        <v>0</v>
      </c>
      <c r="AH484" s="55">
        <v>0</v>
      </c>
      <c r="AI484" s="52">
        <f t="shared" si="29"/>
        <v>5.6015577448113731E-2</v>
      </c>
      <c r="AJ484" s="51"/>
      <c r="AK484" s="52"/>
      <c r="AL484" s="52"/>
      <c r="AM484" s="28">
        <v>1.606060606060606</v>
      </c>
      <c r="AN484" s="28">
        <v>1.545454545454545</v>
      </c>
      <c r="AO484" s="28">
        <v>0.1818181818181818</v>
      </c>
      <c r="AP484" s="28">
        <v>0.2424242424242424</v>
      </c>
      <c r="AQ484" s="28">
        <v>0.44915254237288132</v>
      </c>
      <c r="AR484" s="28">
        <v>0.43220338983050849</v>
      </c>
      <c r="AS484" s="28">
        <v>5.0847457627118647E-2</v>
      </c>
      <c r="AT484" s="28">
        <v>6.7796610169491525E-2</v>
      </c>
      <c r="AU484" s="25">
        <v>1.1399999999999999</v>
      </c>
      <c r="AV484" s="25">
        <v>3.44</v>
      </c>
      <c r="AW484" s="25">
        <v>2.2999999999999998</v>
      </c>
      <c r="AX484" s="25">
        <v>2.51939393939394</v>
      </c>
      <c r="AY484">
        <v>2.51939393939394</v>
      </c>
      <c r="AZ484">
        <v>6.5741021946079687</v>
      </c>
      <c r="BD484">
        <v>2.8007788724056869E-2</v>
      </c>
      <c r="BH484">
        <v>5.6015577448113731E-2</v>
      </c>
      <c r="BI484">
        <v>2.8007788724056869E-2</v>
      </c>
      <c r="BJ484">
        <v>0</v>
      </c>
    </row>
    <row r="485" spans="1:62" x14ac:dyDescent="0.3">
      <c r="A485" s="2" t="s">
        <v>51</v>
      </c>
      <c r="B485" s="13" t="s">
        <v>703</v>
      </c>
      <c r="C485" s="13"/>
      <c r="F485" s="2">
        <v>5.5</v>
      </c>
      <c r="G485" s="2" t="s">
        <v>52</v>
      </c>
      <c r="H485" s="70" t="s">
        <v>536</v>
      </c>
      <c r="I485" t="s">
        <v>617</v>
      </c>
      <c r="J485"/>
      <c r="L485" s="25">
        <v>1</v>
      </c>
      <c r="M485">
        <v>4</v>
      </c>
      <c r="N485">
        <v>0</v>
      </c>
      <c r="O485" s="2">
        <v>-1</v>
      </c>
      <c r="T485" s="25">
        <v>12.88926011</v>
      </c>
      <c r="U485" s="25">
        <v>12.88926011</v>
      </c>
      <c r="V485" s="25">
        <v>12.88926011</v>
      </c>
      <c r="W485">
        <v>5.5223699999999996</v>
      </c>
      <c r="X485">
        <v>5.5240799999999997</v>
      </c>
      <c r="Y485">
        <v>25.026399999999999</v>
      </c>
      <c r="Z485">
        <v>0</v>
      </c>
      <c r="AA485"/>
      <c r="AB485"/>
      <c r="AD485">
        <v>18</v>
      </c>
      <c r="AE485" s="55">
        <f t="shared" si="30"/>
        <v>0</v>
      </c>
      <c r="AF485" s="57">
        <v>195.03203980213701</v>
      </c>
      <c r="AG485" s="55">
        <v>763.45570050087724</v>
      </c>
      <c r="AH485" s="55">
        <v>0</v>
      </c>
      <c r="AI485" s="52"/>
      <c r="AJ485" s="51">
        <v>9.2292528029042184E-2</v>
      </c>
      <c r="AK485" s="52">
        <v>9.4308025930991482E-2</v>
      </c>
      <c r="AL485" s="52"/>
      <c r="AM485" s="28">
        <v>2</v>
      </c>
      <c r="AN485" s="28">
        <v>3</v>
      </c>
      <c r="AO485" s="28">
        <v>1.857142857142857</v>
      </c>
      <c r="AP485" s="28">
        <v>4</v>
      </c>
      <c r="AQ485" s="28">
        <v>0.18421052631578949</v>
      </c>
      <c r="AR485" s="28">
        <v>0.27631578947368418</v>
      </c>
      <c r="AS485" s="28">
        <v>0.1710526315789474</v>
      </c>
      <c r="AT485" s="28">
        <v>0.36842105263157893</v>
      </c>
      <c r="AU485" s="25">
        <v>0.95</v>
      </c>
      <c r="AV485" s="25">
        <v>3.44</v>
      </c>
      <c r="AW485" s="25">
        <v>2.4900000000000002</v>
      </c>
      <c r="AX485" s="25">
        <v>2.782142857142857</v>
      </c>
      <c r="AY485">
        <v>2.7821428571428579</v>
      </c>
      <c r="AZ485">
        <v>6.2021612289285706</v>
      </c>
      <c r="BA485" s="75">
        <v>0.52524560229640982</v>
      </c>
      <c r="BB485" s="75">
        <v>0.53671599358424449</v>
      </c>
      <c r="BE485">
        <v>4.6146264014521092E-2</v>
      </c>
      <c r="BF485">
        <v>4.7154012965495741E-2</v>
      </c>
      <c r="BH485">
        <v>9.3300276980016833E-2</v>
      </c>
      <c r="BI485">
        <v>4.6650138490008423E-2</v>
      </c>
      <c r="BJ485">
        <v>0.53098079794032715</v>
      </c>
    </row>
    <row r="486" spans="1:62" x14ac:dyDescent="0.3">
      <c r="A486" s="2" t="s">
        <v>403</v>
      </c>
      <c r="B486" s="17" t="s">
        <v>956</v>
      </c>
      <c r="C486" s="13"/>
      <c r="F486" s="2">
        <v>3.76</v>
      </c>
      <c r="G486" s="2" t="s">
        <v>402</v>
      </c>
      <c r="H486" s="9">
        <v>-1</v>
      </c>
      <c r="I486">
        <v>-1</v>
      </c>
      <c r="J486"/>
      <c r="K486" s="2">
        <v>2</v>
      </c>
      <c r="L486" s="25">
        <v>0</v>
      </c>
      <c r="M486">
        <v>0</v>
      </c>
      <c r="N486">
        <v>0</v>
      </c>
      <c r="O486" s="2">
        <v>3.9</v>
      </c>
      <c r="P486" s="2">
        <v>3.9</v>
      </c>
      <c r="Q486" s="2">
        <f>15.91*2</f>
        <v>31.82</v>
      </c>
      <c r="T486" s="25">
        <v>0</v>
      </c>
      <c r="U486" s="25"/>
      <c r="V486" s="25"/>
      <c r="W486">
        <v>0</v>
      </c>
      <c r="X486"/>
      <c r="Y486"/>
      <c r="Z486">
        <v>0</v>
      </c>
      <c r="AA486"/>
      <c r="AB486"/>
      <c r="AD486">
        <v>20</v>
      </c>
      <c r="AE486" s="55">
        <f t="shared" si="30"/>
        <v>483.98219999999998</v>
      </c>
      <c r="AF486" s="57">
        <v>0</v>
      </c>
      <c r="AG486" s="55">
        <v>0</v>
      </c>
      <c r="AH486" s="55">
        <v>0</v>
      </c>
      <c r="AI486" s="52">
        <f>K486*AD486/AE486</f>
        <v>8.2647667620833989E-2</v>
      </c>
      <c r="AJ486" s="51"/>
      <c r="AK486" s="52"/>
      <c r="AL486" s="52"/>
      <c r="AM486" s="28">
        <v>1.882352941176471</v>
      </c>
      <c r="AN486" s="28">
        <v>2.3529411764705879</v>
      </c>
      <c r="AO486" s="28">
        <v>0.43529411764705878</v>
      </c>
      <c r="AP486" s="28">
        <v>0.82352941176470584</v>
      </c>
      <c r="AQ486" s="28">
        <v>0.34261241970021411</v>
      </c>
      <c r="AR486" s="28">
        <v>0.42826552462526768</v>
      </c>
      <c r="AS486" s="28">
        <v>7.922912205567452E-2</v>
      </c>
      <c r="AT486" s="28">
        <v>0.1498929336188437</v>
      </c>
      <c r="AU486" s="25">
        <v>0.82</v>
      </c>
      <c r="AV486" s="25">
        <v>3.44</v>
      </c>
      <c r="AW486" s="25">
        <v>2.62</v>
      </c>
      <c r="AX486" s="25">
        <v>2.5324117647058819</v>
      </c>
      <c r="AY486">
        <v>2.532941176470588</v>
      </c>
      <c r="AZ486">
        <v>5.690008021176471</v>
      </c>
      <c r="BD486">
        <v>4.1323833810416988E-2</v>
      </c>
      <c r="BH486">
        <v>8.2647667620833989E-2</v>
      </c>
      <c r="BI486">
        <v>4.1323833810416988E-2</v>
      </c>
      <c r="BJ486">
        <v>0</v>
      </c>
    </row>
    <row r="487" spans="1:62" x14ac:dyDescent="0.3">
      <c r="A487" s="2" t="s">
        <v>404</v>
      </c>
      <c r="B487" s="33" t="s">
        <v>957</v>
      </c>
      <c r="C487" s="34"/>
      <c r="F487" s="2">
        <v>3.88</v>
      </c>
      <c r="G487" s="2" t="s">
        <v>402</v>
      </c>
      <c r="H487" s="35">
        <v>-1</v>
      </c>
      <c r="I487" s="2">
        <v>-1</v>
      </c>
      <c r="K487" s="2">
        <v>2</v>
      </c>
      <c r="L487" s="29">
        <v>0</v>
      </c>
      <c r="M487">
        <v>0</v>
      </c>
      <c r="N487">
        <v>0</v>
      </c>
      <c r="O487" s="2">
        <v>3.8050000000000002</v>
      </c>
      <c r="P487" s="2">
        <v>3.8050000000000002</v>
      </c>
      <c r="Q487" s="2">
        <v>27.44</v>
      </c>
      <c r="R487" s="2" t="s">
        <v>1131</v>
      </c>
      <c r="T487" s="29">
        <v>0</v>
      </c>
      <c r="U487" s="29"/>
      <c r="V487" s="29"/>
      <c r="W487">
        <v>0</v>
      </c>
      <c r="X487"/>
      <c r="Y487"/>
      <c r="Z487">
        <v>0</v>
      </c>
      <c r="AA487"/>
      <c r="AB487"/>
      <c r="AD487" s="2">
        <v>20</v>
      </c>
      <c r="AE487" s="55">
        <f t="shared" si="30"/>
        <v>397.27700600000003</v>
      </c>
      <c r="AF487" s="57">
        <v>0</v>
      </c>
      <c r="AG487" s="55">
        <v>0</v>
      </c>
      <c r="AH487" s="55">
        <v>0</v>
      </c>
      <c r="AI487" s="52">
        <f>K487*AD487/AE487</f>
        <v>0.10068541444857747</v>
      </c>
      <c r="AJ487" s="51"/>
      <c r="AK487" s="52"/>
      <c r="AL487" s="52"/>
      <c r="AM487" s="2">
        <v>1.882352941176471</v>
      </c>
      <c r="AN487" s="2">
        <v>2.3529411764705879</v>
      </c>
      <c r="AO487" s="2">
        <v>0.43529411764705878</v>
      </c>
      <c r="AP487" s="2">
        <v>0.82352941176470584</v>
      </c>
      <c r="AQ487" s="2">
        <v>0.34261241970021411</v>
      </c>
      <c r="AR487" s="2">
        <v>0.42826552462526768</v>
      </c>
      <c r="AS487" s="2">
        <v>7.922912205567452E-2</v>
      </c>
      <c r="AT487" s="2">
        <v>0.1498929336188437</v>
      </c>
      <c r="AU487" s="29">
        <v>1.1850000000000001</v>
      </c>
      <c r="AV487" s="29">
        <v>3.44</v>
      </c>
      <c r="AW487" s="29">
        <v>2.2549999999999999</v>
      </c>
      <c r="AX487" s="29">
        <v>2.6947647058823532</v>
      </c>
      <c r="AY487" s="2">
        <v>2.6952941176470588</v>
      </c>
      <c r="AZ487" s="2">
        <v>6.2494732999824709</v>
      </c>
      <c r="BD487">
        <v>5.0342707224288727E-2</v>
      </c>
      <c r="BH487">
        <v>0.1006854144485775</v>
      </c>
      <c r="BI487">
        <v>5.0342707224288727E-2</v>
      </c>
      <c r="BJ487">
        <v>0</v>
      </c>
    </row>
    <row r="488" spans="1:62" x14ac:dyDescent="0.3">
      <c r="A488" s="2" t="s">
        <v>405</v>
      </c>
      <c r="B488" s="17" t="s">
        <v>958</v>
      </c>
      <c r="C488" s="13"/>
      <c r="F488" s="2">
        <v>4.51</v>
      </c>
      <c r="G488" s="2" t="s">
        <v>402</v>
      </c>
      <c r="H488" s="9">
        <v>-1</v>
      </c>
      <c r="I488">
        <v>-1</v>
      </c>
      <c r="J488" s="1" t="s">
        <v>1184</v>
      </c>
      <c r="L488" s="25">
        <v>0</v>
      </c>
      <c r="M488">
        <v>0</v>
      </c>
      <c r="N488">
        <v>0</v>
      </c>
      <c r="O488" s="2">
        <v>-1</v>
      </c>
      <c r="T488" s="25">
        <v>0</v>
      </c>
      <c r="U488" s="25"/>
      <c r="V488" s="25"/>
      <c r="W488">
        <v>0</v>
      </c>
      <c r="X488"/>
      <c r="Y488"/>
      <c r="Z488">
        <v>0</v>
      </c>
      <c r="AA488"/>
      <c r="AB488"/>
      <c r="AD488">
        <v>14</v>
      </c>
      <c r="AE488" s="55">
        <f t="shared" si="30"/>
        <v>0</v>
      </c>
      <c r="AF488" s="57">
        <v>0</v>
      </c>
      <c r="AG488" s="55">
        <v>0</v>
      </c>
      <c r="AH488" s="55">
        <v>0</v>
      </c>
      <c r="AI488" s="52"/>
      <c r="AJ488" s="51"/>
      <c r="AK488" s="52"/>
      <c r="AL488" s="52"/>
      <c r="AM488" s="28">
        <v>1.9090909090909089</v>
      </c>
      <c r="AN488" s="28">
        <v>2.545454545454545</v>
      </c>
      <c r="AO488" s="28">
        <v>0.60909090909090913</v>
      </c>
      <c r="AP488" s="28">
        <v>2.790909090909091</v>
      </c>
      <c r="AQ488" s="28">
        <v>0.24305555555555561</v>
      </c>
      <c r="AR488" s="28">
        <v>0.32407407407407413</v>
      </c>
      <c r="AS488" s="28">
        <v>7.7546296296296308E-2</v>
      </c>
      <c r="AT488" s="28">
        <v>0.35532407407407413</v>
      </c>
      <c r="AU488" s="25">
        <v>0.82</v>
      </c>
      <c r="AV488" s="25">
        <v>3.44</v>
      </c>
      <c r="AW488" s="25">
        <v>2.62</v>
      </c>
      <c r="AX488" s="25">
        <v>2.6393636363636359</v>
      </c>
      <c r="AY488">
        <v>2.6363636363636358</v>
      </c>
      <c r="AZ488">
        <v>6.0025089159090914</v>
      </c>
      <c r="BH488">
        <v>0</v>
      </c>
      <c r="BI488">
        <v>0</v>
      </c>
      <c r="BJ488">
        <v>0</v>
      </c>
    </row>
    <row r="489" spans="1:62" x14ac:dyDescent="0.3">
      <c r="A489" s="2" t="s">
        <v>1190</v>
      </c>
      <c r="B489" s="33" t="s">
        <v>959</v>
      </c>
      <c r="C489" s="34"/>
      <c r="F489" s="2">
        <v>5.4</v>
      </c>
      <c r="G489" s="2" t="s">
        <v>402</v>
      </c>
      <c r="H489" s="35">
        <v>-1</v>
      </c>
      <c r="I489" s="2">
        <v>-1</v>
      </c>
      <c r="J489" s="2" t="s">
        <v>1164</v>
      </c>
      <c r="L489" s="29">
        <v>0</v>
      </c>
      <c r="M489">
        <v>0</v>
      </c>
      <c r="N489">
        <v>1</v>
      </c>
      <c r="O489" s="2">
        <v>3.89</v>
      </c>
      <c r="P489" s="2">
        <v>3.89</v>
      </c>
      <c r="Q489" s="2">
        <v>10.34</v>
      </c>
      <c r="R489" s="2" t="s">
        <v>440</v>
      </c>
      <c r="T489" s="29">
        <v>0</v>
      </c>
      <c r="U489" s="29"/>
      <c r="V489" s="29"/>
      <c r="W489">
        <v>0</v>
      </c>
      <c r="X489"/>
      <c r="Y489"/>
      <c r="Z489">
        <v>3.88</v>
      </c>
      <c r="AA489">
        <v>3.88</v>
      </c>
      <c r="AB489">
        <v>10.66</v>
      </c>
      <c r="AD489" s="2">
        <v>14</v>
      </c>
      <c r="AE489" s="55">
        <f t="shared" si="30"/>
        <v>156.465914</v>
      </c>
      <c r="AF489" s="57">
        <v>0</v>
      </c>
      <c r="AG489" s="55">
        <v>0</v>
      </c>
      <c r="AH489" s="55">
        <v>160.479904</v>
      </c>
      <c r="AI489" s="52"/>
      <c r="AJ489" s="51"/>
      <c r="AK489" s="52"/>
      <c r="AL489" s="67">
        <f>N489*AD489/AH489</f>
        <v>8.7238337331009372E-2</v>
      </c>
      <c r="AM489" s="2">
        <v>2</v>
      </c>
      <c r="AN489" s="2">
        <v>2.8</v>
      </c>
      <c r="AO489" s="2">
        <v>0.67</v>
      </c>
      <c r="AP489" s="2">
        <v>3.07</v>
      </c>
      <c r="AQ489" s="2">
        <v>0.23419203747072601</v>
      </c>
      <c r="AR489" s="2">
        <v>0.32786885245901642</v>
      </c>
      <c r="AS489" s="2">
        <v>7.8454332552693226E-2</v>
      </c>
      <c r="AT489" s="2">
        <v>0.35948477751756441</v>
      </c>
      <c r="AU489" s="29">
        <v>1.1000000000000001</v>
      </c>
      <c r="AV489" s="29">
        <v>3.44</v>
      </c>
      <c r="AW489" s="29">
        <v>2.34</v>
      </c>
      <c r="AX489" s="29">
        <v>2.8212999999999999</v>
      </c>
      <c r="AY489" s="2">
        <v>2.8180000000000001</v>
      </c>
      <c r="AZ489" s="2">
        <v>6.3696075919999986</v>
      </c>
      <c r="BC489" s="75">
        <v>0</v>
      </c>
      <c r="BG489">
        <v>4.3619168665504693E-2</v>
      </c>
      <c r="BH489">
        <v>8.7238337331009372E-2</v>
      </c>
      <c r="BI489">
        <v>4.3619168665504693E-2</v>
      </c>
      <c r="BJ489">
        <v>0</v>
      </c>
    </row>
    <row r="490" spans="1:62" x14ac:dyDescent="0.3">
      <c r="A490" s="2" t="s">
        <v>406</v>
      </c>
      <c r="B490" s="17" t="s">
        <v>960</v>
      </c>
      <c r="C490" s="13"/>
      <c r="F490" s="2">
        <v>0.01</v>
      </c>
      <c r="G490" s="2" t="s">
        <v>408</v>
      </c>
      <c r="H490" s="9">
        <v>-1</v>
      </c>
      <c r="I490">
        <v>4101345</v>
      </c>
      <c r="J490"/>
      <c r="L490" s="25">
        <v>0</v>
      </c>
      <c r="M490">
        <v>2</v>
      </c>
      <c r="N490">
        <v>2</v>
      </c>
      <c r="O490" s="2">
        <v>5.3959999999999999</v>
      </c>
      <c r="P490" s="2">
        <v>5.4489999999999998</v>
      </c>
      <c r="Q490" s="2">
        <v>20.521999999999998</v>
      </c>
      <c r="R490" s="2" t="s">
        <v>1135</v>
      </c>
      <c r="T490" s="25">
        <v>0</v>
      </c>
      <c r="U490" s="25"/>
      <c r="V490" s="25"/>
      <c r="W490">
        <v>3.9685999999999999</v>
      </c>
      <c r="X490">
        <v>3.9685999999999999</v>
      </c>
      <c r="Y490">
        <v>19.3154</v>
      </c>
      <c r="Z490">
        <v>0</v>
      </c>
      <c r="AA490"/>
      <c r="AB490"/>
      <c r="AD490">
        <v>13.84</v>
      </c>
      <c r="AE490" s="55">
        <f t="shared" si="30"/>
        <v>603.40434368799993</v>
      </c>
      <c r="AF490" s="57">
        <v>0</v>
      </c>
      <c r="AG490" s="55">
        <v>0</v>
      </c>
      <c r="AH490" s="55">
        <v>304.20999999999998</v>
      </c>
      <c r="AI490" s="52"/>
      <c r="AJ490" s="51"/>
      <c r="AK490" s="52"/>
      <c r="AL490" s="67">
        <f>N490*AD490/AH490</f>
        <v>9.0989776798921798E-2</v>
      </c>
      <c r="AM490" s="28">
        <v>2</v>
      </c>
      <c r="AN490" s="28">
        <v>2.3221476510067109</v>
      </c>
      <c r="AO490" s="28">
        <v>1.593959731543624</v>
      </c>
      <c r="AP490" s="28">
        <v>0</v>
      </c>
      <c r="AQ490" s="28">
        <v>0.33806012478729441</v>
      </c>
      <c r="AR490" s="28">
        <v>0.39251276233692572</v>
      </c>
      <c r="AS490" s="28">
        <v>0.26942711287577992</v>
      </c>
      <c r="AT490" s="28">
        <v>0</v>
      </c>
      <c r="AU490" s="25">
        <v>1.1000000000000001</v>
      </c>
      <c r="AV490" s="25">
        <v>3.44</v>
      </c>
      <c r="AW490" s="25">
        <v>2.34</v>
      </c>
      <c r="AX490" s="25">
        <v>2.5943624161073831</v>
      </c>
      <c r="AY490">
        <v>2.5943624161073831</v>
      </c>
      <c r="AZ490">
        <v>5.8869633505033558</v>
      </c>
      <c r="BB490" s="75">
        <v>0.46352185946891089</v>
      </c>
      <c r="BF490" t="s">
        <v>459</v>
      </c>
      <c r="BG490">
        <v>4.5494888399460899E-2</v>
      </c>
      <c r="BH490">
        <v>9.0989776798921798E-2</v>
      </c>
      <c r="BI490" t="s">
        <v>459</v>
      </c>
      <c r="BJ490">
        <v>0.46352185946891089</v>
      </c>
    </row>
    <row r="491" spans="1:62" x14ac:dyDescent="0.3">
      <c r="A491" s="2" t="s">
        <v>407</v>
      </c>
      <c r="B491" s="17" t="s">
        <v>961</v>
      </c>
      <c r="C491" s="13"/>
      <c r="F491" s="2">
        <v>0.15</v>
      </c>
      <c r="G491" s="2" t="s">
        <v>408</v>
      </c>
      <c r="H491" s="9">
        <v>-1</v>
      </c>
      <c r="I491" t="s">
        <v>673</v>
      </c>
      <c r="J491"/>
      <c r="L491" s="25">
        <v>0</v>
      </c>
      <c r="M491">
        <v>2</v>
      </c>
      <c r="N491">
        <v>2</v>
      </c>
      <c r="O491" s="2">
        <v>5.484</v>
      </c>
      <c r="P491" s="2">
        <v>5.4790000000000001</v>
      </c>
      <c r="Q491" s="2">
        <v>20.064</v>
      </c>
      <c r="R491" s="2" t="s">
        <v>1135</v>
      </c>
      <c r="T491" s="25">
        <v>0</v>
      </c>
      <c r="U491" s="25"/>
      <c r="V491" s="25"/>
      <c r="W491">
        <v>3.9685999999999999</v>
      </c>
      <c r="X491">
        <v>3.9685999999999999</v>
      </c>
      <c r="Y491">
        <v>19.3154</v>
      </c>
      <c r="Z491">
        <v>0</v>
      </c>
      <c r="AA491"/>
      <c r="AB491"/>
      <c r="AD491">
        <v>12.7</v>
      </c>
      <c r="AE491" s="55">
        <f t="shared" si="30"/>
        <v>602.85971750399995</v>
      </c>
      <c r="AF491" s="57">
        <v>0</v>
      </c>
      <c r="AG491" s="55">
        <v>304.21341573178398</v>
      </c>
      <c r="AH491" s="55"/>
      <c r="AI491" s="52"/>
      <c r="AJ491" s="51"/>
      <c r="AK491" s="52">
        <v>9.098875515866349E-2</v>
      </c>
      <c r="AL491" s="52"/>
      <c r="AM491" s="28">
        <v>2</v>
      </c>
      <c r="AN491" s="28">
        <v>2.2378854625550662</v>
      </c>
      <c r="AO491" s="28">
        <v>1.6740088105726869</v>
      </c>
      <c r="AP491" s="28">
        <v>0</v>
      </c>
      <c r="AQ491" s="28">
        <v>0.33830104321907611</v>
      </c>
      <c r="AR491" s="28">
        <v>0.37853949329359171</v>
      </c>
      <c r="AS491" s="28">
        <v>0.2831594634873324</v>
      </c>
      <c r="AT491" s="28">
        <v>0</v>
      </c>
      <c r="AU491" s="25">
        <v>1.1000000000000001</v>
      </c>
      <c r="AV491" s="25">
        <v>3.44</v>
      </c>
      <c r="AW491" s="25">
        <v>2.34</v>
      </c>
      <c r="AX491" s="25">
        <v>2.5518942731277532</v>
      </c>
      <c r="AY491">
        <v>2.5518942731277532</v>
      </c>
      <c r="AZ491">
        <v>5.8039684980176212</v>
      </c>
      <c r="BB491" s="75">
        <v>0.46352185946891089</v>
      </c>
      <c r="BF491">
        <v>4.1747008327855002E-2</v>
      </c>
      <c r="BH491">
        <v>9.098875515866349E-2</v>
      </c>
      <c r="BI491">
        <v>4.1747008327855002E-2</v>
      </c>
      <c r="BJ491">
        <v>0.46352185946891089</v>
      </c>
    </row>
    <row r="492" spans="1:62" x14ac:dyDescent="0.3">
      <c r="A492" s="2" t="s">
        <v>409</v>
      </c>
      <c r="B492" s="17" t="s">
        <v>962</v>
      </c>
      <c r="C492" s="13"/>
      <c r="F492" s="2">
        <v>3.22</v>
      </c>
      <c r="G492" s="2" t="s">
        <v>411</v>
      </c>
      <c r="H492" s="9">
        <v>-1</v>
      </c>
      <c r="I492">
        <v>-1</v>
      </c>
      <c r="J492"/>
      <c r="L492" s="25">
        <v>0</v>
      </c>
      <c r="M492">
        <v>2</v>
      </c>
      <c r="N492">
        <v>0</v>
      </c>
      <c r="O492" s="2">
        <v>7.8239999999999998</v>
      </c>
      <c r="P492" s="2">
        <v>7.8432000000000004</v>
      </c>
      <c r="Q492" s="2">
        <v>7.9165000000000001</v>
      </c>
      <c r="R492" s="2" t="s">
        <v>1136</v>
      </c>
      <c r="T492" s="25">
        <v>0</v>
      </c>
      <c r="U492" s="25"/>
      <c r="V492" s="25"/>
      <c r="W492">
        <v>3.9685999999999999</v>
      </c>
      <c r="X492">
        <v>3.9685999999999999</v>
      </c>
      <c r="Y492">
        <v>19.3154</v>
      </c>
      <c r="Z492">
        <v>0</v>
      </c>
      <c r="AA492"/>
      <c r="AB492"/>
      <c r="AD492">
        <v>6</v>
      </c>
      <c r="AE492" s="55">
        <f t="shared" si="30"/>
        <v>485.79758046720002</v>
      </c>
      <c r="AF492" s="57">
        <v>0</v>
      </c>
      <c r="AG492" s="55">
        <v>304.21341573178398</v>
      </c>
      <c r="AH492" s="55">
        <v>0</v>
      </c>
      <c r="AI492" s="52"/>
      <c r="AJ492" s="51"/>
      <c r="AK492" s="52">
        <v>8.3494016655709991E-2</v>
      </c>
      <c r="AL492" s="52"/>
      <c r="AM492" s="28">
        <v>1.7690531177829101</v>
      </c>
      <c r="AN492" s="28">
        <v>2.7713625866050808</v>
      </c>
      <c r="AO492" s="28">
        <v>1</v>
      </c>
      <c r="AP492" s="28">
        <v>0</v>
      </c>
      <c r="AQ492" s="28">
        <v>0.31929970821175491</v>
      </c>
      <c r="AR492" s="28">
        <v>0.50020842017507294</v>
      </c>
      <c r="AS492" s="28">
        <v>0.18049187161317221</v>
      </c>
      <c r="AT492" s="28">
        <v>0</v>
      </c>
      <c r="AU492" s="25">
        <v>1.1000000000000001</v>
      </c>
      <c r="AV492" s="25">
        <v>3.44</v>
      </c>
      <c r="AW492" s="25">
        <v>2.34</v>
      </c>
      <c r="AX492" s="25">
        <v>2.8367205542725169</v>
      </c>
      <c r="AY492">
        <v>2.8367205542725169</v>
      </c>
      <c r="AZ492">
        <v>6.3438920491916866</v>
      </c>
      <c r="BF492">
        <v>1.9722996060403931E-2</v>
      </c>
      <c r="BH492">
        <v>8.3494016655709991E-2</v>
      </c>
      <c r="BI492">
        <v>1.9722996060403931E-2</v>
      </c>
      <c r="BJ492">
        <v>0</v>
      </c>
    </row>
    <row r="493" spans="1:62" x14ac:dyDescent="0.3">
      <c r="A493" s="2" t="s">
        <v>90</v>
      </c>
      <c r="B493" s="17" t="s">
        <v>963</v>
      </c>
      <c r="C493" s="13"/>
      <c r="F493" s="2">
        <v>3.87</v>
      </c>
      <c r="G493" s="2" t="s">
        <v>411</v>
      </c>
      <c r="H493" s="9">
        <v>-1</v>
      </c>
      <c r="I493">
        <v>-1</v>
      </c>
      <c r="J493"/>
      <c r="L493" s="25">
        <v>0</v>
      </c>
      <c r="M493">
        <v>0</v>
      </c>
      <c r="N493">
        <v>0</v>
      </c>
      <c r="O493" s="2">
        <v>3.9186000000000001</v>
      </c>
      <c r="P493" s="2">
        <v>3.9186000000000001</v>
      </c>
      <c r="Q493" s="2">
        <v>7.9149000000000003</v>
      </c>
      <c r="R493" s="2" t="s">
        <v>439</v>
      </c>
      <c r="T493" s="25">
        <v>0</v>
      </c>
      <c r="U493" s="25"/>
      <c r="V493" s="25"/>
      <c r="W493">
        <v>0</v>
      </c>
      <c r="X493"/>
      <c r="Y493"/>
      <c r="Z493">
        <v>0</v>
      </c>
      <c r="AA493"/>
      <c r="AB493"/>
      <c r="AD493">
        <v>6</v>
      </c>
      <c r="AE493" s="55">
        <f t="shared" si="30"/>
        <v>121.536660930804</v>
      </c>
      <c r="AF493" s="57">
        <v>0</v>
      </c>
      <c r="AG493" s="55">
        <v>0</v>
      </c>
      <c r="AH493" s="55">
        <v>0</v>
      </c>
      <c r="AI493" s="52"/>
      <c r="AJ493" s="51"/>
      <c r="AK493" s="52"/>
      <c r="AL493" s="52"/>
      <c r="AM493" s="28">
        <v>2</v>
      </c>
      <c r="AN493" s="28">
        <v>2.7713625866050808</v>
      </c>
      <c r="AO493" s="28">
        <v>0.76905311778290997</v>
      </c>
      <c r="AP493" s="28">
        <v>3.2332563510392611</v>
      </c>
      <c r="AQ493" s="28">
        <v>0.2279547249276126</v>
      </c>
      <c r="AR493" s="28">
        <v>0.31587259805211898</v>
      </c>
      <c r="AS493" s="28">
        <v>8.765464595946304E-2</v>
      </c>
      <c r="AT493" s="28">
        <v>0.36851803106080561</v>
      </c>
      <c r="AU493" s="25">
        <v>1.1000000000000001</v>
      </c>
      <c r="AV493" s="25">
        <v>3.44</v>
      </c>
      <c r="AW493" s="25">
        <v>2.34</v>
      </c>
      <c r="AX493" s="25">
        <v>2.813625866050808</v>
      </c>
      <c r="AY493">
        <v>2.8136258660508089</v>
      </c>
      <c r="AZ493">
        <v>6.3665749591224019</v>
      </c>
      <c r="BH493">
        <v>0</v>
      </c>
      <c r="BI493">
        <v>0</v>
      </c>
      <c r="BJ493">
        <v>0</v>
      </c>
    </row>
    <row r="494" spans="1:62" x14ac:dyDescent="0.3">
      <c r="A494" s="2" t="s">
        <v>410</v>
      </c>
      <c r="B494" s="13" t="s">
        <v>839</v>
      </c>
      <c r="C494" s="13"/>
      <c r="F494" s="2">
        <v>3.56</v>
      </c>
      <c r="G494" s="2" t="s">
        <v>411</v>
      </c>
      <c r="H494" s="9" t="s">
        <v>602</v>
      </c>
      <c r="I494" t="s">
        <v>674</v>
      </c>
      <c r="J494"/>
      <c r="L494" s="25">
        <v>2</v>
      </c>
      <c r="M494">
        <v>0</v>
      </c>
      <c r="N494">
        <v>0</v>
      </c>
      <c r="O494" s="2">
        <v>-1</v>
      </c>
      <c r="T494" s="25">
        <v>5.44114334</v>
      </c>
      <c r="U494" s="25">
        <v>5.44114334</v>
      </c>
      <c r="V494" s="25">
        <v>5.44114334</v>
      </c>
      <c r="W494">
        <v>0</v>
      </c>
      <c r="X494"/>
      <c r="Y494"/>
      <c r="Z494">
        <v>0</v>
      </c>
      <c r="AA494"/>
      <c r="AB494"/>
      <c r="AD494">
        <v>6</v>
      </c>
      <c r="AE494" s="55">
        <f t="shared" si="30"/>
        <v>0</v>
      </c>
      <c r="AF494" s="57">
        <v>112.4131248985337</v>
      </c>
      <c r="AG494" s="55">
        <v>0</v>
      </c>
      <c r="AH494" s="55">
        <v>0</v>
      </c>
      <c r="AI494" s="52"/>
      <c r="AJ494" s="51">
        <v>0.106749100790779</v>
      </c>
      <c r="AK494" s="52"/>
      <c r="AL494" s="52"/>
      <c r="AM494" s="28">
        <v>2</v>
      </c>
      <c r="AN494" s="28">
        <v>2.4</v>
      </c>
      <c r="AO494" s="28">
        <v>0.4</v>
      </c>
      <c r="AP494" s="28">
        <v>0</v>
      </c>
      <c r="AQ494" s="28">
        <v>0.41666666666666669</v>
      </c>
      <c r="AR494" s="28">
        <v>0.5</v>
      </c>
      <c r="AS494" s="28">
        <v>8.3333333333333343E-2</v>
      </c>
      <c r="AT494" s="28">
        <v>0</v>
      </c>
      <c r="AU494" s="25">
        <v>1</v>
      </c>
      <c r="AV494" s="25">
        <v>3.44</v>
      </c>
      <c r="AW494" s="25">
        <v>2.44</v>
      </c>
      <c r="AX494" s="25">
        <v>2.5720000000000001</v>
      </c>
      <c r="AY494">
        <v>2.5720000000000001</v>
      </c>
      <c r="AZ494">
        <v>5.8278852370000003</v>
      </c>
      <c r="BA494" s="75">
        <v>0.58846120068676144</v>
      </c>
      <c r="BB494" s="75">
        <v>0.59176212397517092</v>
      </c>
      <c r="BE494">
        <v>5.3374550395389492E-2</v>
      </c>
      <c r="BH494">
        <v>0.106749100790779</v>
      </c>
      <c r="BI494">
        <v>5.3374550395389492E-2</v>
      </c>
      <c r="BJ494">
        <v>0.59011166233096612</v>
      </c>
    </row>
    <row r="495" spans="1:62" x14ac:dyDescent="0.3">
      <c r="A495" s="2" t="s">
        <v>413</v>
      </c>
      <c r="B495" s="13" t="s">
        <v>840</v>
      </c>
      <c r="C495" s="13"/>
      <c r="F495" s="2">
        <v>2.86</v>
      </c>
      <c r="G495" s="2" t="s">
        <v>412</v>
      </c>
      <c r="H495" s="9">
        <v>-1</v>
      </c>
      <c r="I495">
        <v>-1</v>
      </c>
      <c r="J495" s="69" t="s">
        <v>1244</v>
      </c>
      <c r="K495" s="2">
        <v>1</v>
      </c>
      <c r="L495" s="25">
        <v>0</v>
      </c>
      <c r="M495">
        <v>4</v>
      </c>
      <c r="N495">
        <v>0</v>
      </c>
      <c r="O495" s="2">
        <v>3.91</v>
      </c>
      <c r="P495" s="2">
        <v>3.91</v>
      </c>
      <c r="Q495" s="2">
        <v>18.495999999999999</v>
      </c>
      <c r="R495" s="2" t="s">
        <v>439</v>
      </c>
      <c r="T495" s="25">
        <v>0</v>
      </c>
      <c r="U495" s="25"/>
      <c r="V495" s="25"/>
      <c r="W495">
        <v>5.38</v>
      </c>
      <c r="X495">
        <v>5.44</v>
      </c>
      <c r="Y495">
        <v>7.6390000000000002</v>
      </c>
      <c r="Z495">
        <v>0</v>
      </c>
      <c r="AA495"/>
      <c r="AB495"/>
      <c r="AD495">
        <v>22</v>
      </c>
      <c r="AE495" s="55">
        <f t="shared" si="30"/>
        <v>282.7686976</v>
      </c>
      <c r="AF495" s="57">
        <v>0</v>
      </c>
      <c r="AG495" s="55">
        <v>223.5721408</v>
      </c>
      <c r="AH495" s="55">
        <v>0</v>
      </c>
      <c r="AI495" s="52"/>
      <c r="AJ495" s="51"/>
      <c r="AK495" s="52">
        <v>0.1073479008347001</v>
      </c>
      <c r="AL495" s="52"/>
      <c r="AM495" s="28">
        <v>2</v>
      </c>
      <c r="AN495" s="28">
        <v>3.052631578947369</v>
      </c>
      <c r="AO495" s="28">
        <v>1.8947368421052631</v>
      </c>
      <c r="AP495" s="28">
        <v>3.6842105263157889</v>
      </c>
      <c r="AQ495" s="28">
        <v>0.18811881188118809</v>
      </c>
      <c r="AR495" s="28">
        <v>0.28712871287128722</v>
      </c>
      <c r="AS495" s="28">
        <v>0.17821782178217821</v>
      </c>
      <c r="AT495" s="28">
        <v>0.34653465346534651</v>
      </c>
      <c r="AU495" s="25">
        <v>0.95</v>
      </c>
      <c r="AV495" s="25">
        <v>3.44</v>
      </c>
      <c r="AW495" s="25">
        <v>2.4900000000000002</v>
      </c>
      <c r="AX495" s="25">
        <v>2.7347368421052631</v>
      </c>
      <c r="AY495">
        <v>2.7347368421052631</v>
      </c>
      <c r="AZ495">
        <v>6.1677369702631566</v>
      </c>
      <c r="BC495" s="75">
        <v>0</v>
      </c>
      <c r="BD495">
        <v>3.8901052674367873E-2</v>
      </c>
      <c r="BF495">
        <v>0.19680448486361679</v>
      </c>
      <c r="BH495">
        <v>0.1073479008347001</v>
      </c>
      <c r="BI495">
        <v>0.1178527687689923</v>
      </c>
      <c r="BJ495">
        <v>0</v>
      </c>
    </row>
    <row r="496" spans="1:62" x14ac:dyDescent="0.3">
      <c r="A496" s="2" t="s">
        <v>414</v>
      </c>
      <c r="B496" s="13" t="s">
        <v>841</v>
      </c>
      <c r="C496" s="13"/>
      <c r="F496" s="2">
        <v>2.58</v>
      </c>
      <c r="G496" s="2" t="s">
        <v>412</v>
      </c>
      <c r="H496" s="9">
        <v>-1</v>
      </c>
      <c r="I496">
        <v>-1</v>
      </c>
      <c r="J496" s="69" t="s">
        <v>1244</v>
      </c>
      <c r="K496" s="2">
        <v>1</v>
      </c>
      <c r="L496" s="25">
        <v>0</v>
      </c>
      <c r="M496">
        <v>0</v>
      </c>
      <c r="N496">
        <v>0</v>
      </c>
      <c r="O496" s="2">
        <v>3.9119999999999999</v>
      </c>
      <c r="P496" s="2">
        <v>3.9119999999999999</v>
      </c>
      <c r="Q496" s="2">
        <v>18.582000000000001</v>
      </c>
      <c r="R496" s="2" t="s">
        <v>439</v>
      </c>
      <c r="T496" s="25">
        <v>0</v>
      </c>
      <c r="U496" s="25"/>
      <c r="V496" s="25"/>
      <c r="W496">
        <v>0</v>
      </c>
      <c r="X496"/>
      <c r="Y496"/>
      <c r="Z496">
        <v>0</v>
      </c>
      <c r="AA496"/>
      <c r="AB496"/>
      <c r="AD496">
        <v>22</v>
      </c>
      <c r="AE496" s="55">
        <f t="shared" si="30"/>
        <v>284.37417100800002</v>
      </c>
      <c r="AF496" s="57">
        <v>0</v>
      </c>
      <c r="AG496" s="55">
        <v>0</v>
      </c>
      <c r="AH496" s="55">
        <v>0</v>
      </c>
      <c r="AI496" s="52">
        <f>K496*AD496/AE496</f>
        <v>7.7362862885958422E-2</v>
      </c>
      <c r="AJ496" s="51"/>
      <c r="AK496" s="52"/>
      <c r="AL496" s="52"/>
      <c r="AM496" s="28">
        <v>2</v>
      </c>
      <c r="AN496" s="28">
        <v>3.1578947368421049</v>
      </c>
      <c r="AO496" s="28">
        <v>2.4210526315789469</v>
      </c>
      <c r="AP496" s="28">
        <v>4.4210526315789478</v>
      </c>
      <c r="AQ496" s="28">
        <v>0.16666666666666671</v>
      </c>
      <c r="AR496" s="28">
        <v>0.26315789473684209</v>
      </c>
      <c r="AS496" s="28">
        <v>0.2017543859649123</v>
      </c>
      <c r="AT496" s="28">
        <v>0.36842105263157898</v>
      </c>
      <c r="AU496" s="25">
        <v>0.95</v>
      </c>
      <c r="AV496" s="25">
        <v>3.44</v>
      </c>
      <c r="AW496" s="25">
        <v>2.4900000000000002</v>
      </c>
      <c r="AX496" s="25">
        <v>2.8073684210526308</v>
      </c>
      <c r="AY496">
        <v>2.8073684210526308</v>
      </c>
      <c r="AZ496">
        <v>6.2210650663157896</v>
      </c>
      <c r="BC496" s="75">
        <v>0</v>
      </c>
      <c r="BD496">
        <v>3.8681431442979211E-2</v>
      </c>
      <c r="BH496">
        <v>7.7362862885958422E-2</v>
      </c>
      <c r="BI496">
        <v>3.8681431442979211E-2</v>
      </c>
      <c r="BJ496">
        <v>0</v>
      </c>
    </row>
    <row r="497" spans="1:62" x14ac:dyDescent="0.3">
      <c r="A497" s="2" t="s">
        <v>415</v>
      </c>
      <c r="B497" s="13" t="s">
        <v>842</v>
      </c>
      <c r="C497" s="13"/>
      <c r="F497" s="2">
        <v>2.57</v>
      </c>
      <c r="G497" s="2" t="s">
        <v>412</v>
      </c>
      <c r="H497" s="9">
        <v>-1</v>
      </c>
      <c r="I497">
        <v>-1</v>
      </c>
      <c r="J497" s="69" t="s">
        <v>1244</v>
      </c>
      <c r="K497" s="2">
        <v>1</v>
      </c>
      <c r="L497" s="25">
        <v>0</v>
      </c>
      <c r="M497">
        <v>0</v>
      </c>
      <c r="N497">
        <v>0</v>
      </c>
      <c r="O497" s="2">
        <v>3.9607600000000001</v>
      </c>
      <c r="P497" s="2">
        <v>3.9607600000000001</v>
      </c>
      <c r="Q497" s="2">
        <v>18.789100000000001</v>
      </c>
      <c r="R497" s="2" t="s">
        <v>439</v>
      </c>
      <c r="T497" s="25">
        <v>0</v>
      </c>
      <c r="U497" s="25"/>
      <c r="V497" s="25"/>
      <c r="W497">
        <v>0</v>
      </c>
      <c r="X497"/>
      <c r="Y497"/>
      <c r="Z497">
        <v>0</v>
      </c>
      <c r="AA497"/>
      <c r="AB497"/>
      <c r="AD497">
        <v>22</v>
      </c>
      <c r="AE497" s="55">
        <f t="shared" si="30"/>
        <v>294.75625676330418</v>
      </c>
      <c r="AF497" s="57">
        <v>0</v>
      </c>
      <c r="AG497" s="55">
        <v>0</v>
      </c>
      <c r="AH497" s="55">
        <v>0</v>
      </c>
      <c r="AI497" s="52">
        <f>K497*AD497/AE497</f>
        <v>7.4637940655035831E-2</v>
      </c>
      <c r="AJ497" s="51"/>
      <c r="AK497" s="52"/>
      <c r="AL497" s="52"/>
      <c r="AM497" s="28">
        <v>2</v>
      </c>
      <c r="AN497" s="28">
        <v>3.052631578947369</v>
      </c>
      <c r="AO497" s="28">
        <v>1.8947368421052631</v>
      </c>
      <c r="AP497" s="28">
        <v>3.6842105263157889</v>
      </c>
      <c r="AQ497" s="28">
        <v>0.18811881188118809</v>
      </c>
      <c r="AR497" s="28">
        <v>0.28712871287128722</v>
      </c>
      <c r="AS497" s="28">
        <v>0.17821782178217821</v>
      </c>
      <c r="AT497" s="28">
        <v>0.34653465346534651</v>
      </c>
      <c r="AU497" s="25">
        <v>0.89</v>
      </c>
      <c r="AV497" s="25">
        <v>3.44</v>
      </c>
      <c r="AW497" s="25">
        <v>2.5499999999999998</v>
      </c>
      <c r="AX497" s="25">
        <v>2.7284210526315791</v>
      </c>
      <c r="AY497">
        <v>2.7284210526315791</v>
      </c>
      <c r="AZ497">
        <v>6.1471768202631578</v>
      </c>
      <c r="BC497" s="75">
        <v>0</v>
      </c>
      <c r="BD497">
        <v>3.7318970327517922E-2</v>
      </c>
      <c r="BH497">
        <v>7.4637940655035831E-2</v>
      </c>
      <c r="BI497">
        <v>3.7318970327517922E-2</v>
      </c>
      <c r="BJ497">
        <v>0</v>
      </c>
    </row>
    <row r="498" spans="1:62" x14ac:dyDescent="0.3">
      <c r="A498" s="2" t="s">
        <v>416</v>
      </c>
      <c r="B498" s="13" t="s">
        <v>843</v>
      </c>
      <c r="C498" s="13"/>
      <c r="F498" s="2">
        <v>2.6</v>
      </c>
      <c r="G498" s="2" t="s">
        <v>412</v>
      </c>
      <c r="H498" s="9">
        <v>-1</v>
      </c>
      <c r="I498">
        <v>-1</v>
      </c>
      <c r="J498" s="69" t="s">
        <v>1244</v>
      </c>
      <c r="K498" s="2">
        <v>1</v>
      </c>
      <c r="L498" s="25">
        <v>0</v>
      </c>
      <c r="M498">
        <v>0</v>
      </c>
      <c r="N498">
        <v>0</v>
      </c>
      <c r="O498" s="2">
        <v>3.9350499999999999</v>
      </c>
      <c r="P498" s="2">
        <v>3.9350499999999999</v>
      </c>
      <c r="Q498" s="2">
        <v>18.790900000000001</v>
      </c>
      <c r="R498" s="2" t="s">
        <v>439</v>
      </c>
      <c r="T498" s="25">
        <v>0</v>
      </c>
      <c r="U498" s="25"/>
      <c r="V498" s="25"/>
      <c r="W498">
        <v>0</v>
      </c>
      <c r="X498"/>
      <c r="Y498"/>
      <c r="Z498">
        <v>0</v>
      </c>
      <c r="AA498"/>
      <c r="AB498"/>
      <c r="AD498">
        <v>22</v>
      </c>
      <c r="AE498" s="55">
        <f t="shared" si="30"/>
        <v>290.96991781862727</v>
      </c>
      <c r="AF498" s="57">
        <v>0</v>
      </c>
      <c r="AG498" s="55">
        <v>0</v>
      </c>
      <c r="AH498" s="55">
        <v>0</v>
      </c>
      <c r="AI498" s="52">
        <f t="shared" ref="AI498:AI524" si="31">K498*AD498/AE498</f>
        <v>7.5609190685180877E-2</v>
      </c>
      <c r="AJ498" s="51"/>
      <c r="AK498" s="52"/>
      <c r="AL498" s="52"/>
      <c r="AM498" s="28">
        <v>2</v>
      </c>
      <c r="AN498" s="28">
        <v>3.1578947368421049</v>
      </c>
      <c r="AO498" s="28">
        <v>2.4210526315789469</v>
      </c>
      <c r="AP498" s="28">
        <v>4.4210526315789478</v>
      </c>
      <c r="AQ498" s="28">
        <v>0.16666666666666671</v>
      </c>
      <c r="AR498" s="28">
        <v>0.26315789473684209</v>
      </c>
      <c r="AS498" s="28">
        <v>0.2017543859649123</v>
      </c>
      <c r="AT498" s="28">
        <v>0.36842105263157898</v>
      </c>
      <c r="AU498" s="25">
        <v>0.89</v>
      </c>
      <c r="AV498" s="25">
        <v>3.44</v>
      </c>
      <c r="AW498" s="25">
        <v>2.5499999999999998</v>
      </c>
      <c r="AX498" s="25">
        <v>2.804210526315789</v>
      </c>
      <c r="AY498">
        <v>2.804210526315789</v>
      </c>
      <c r="AZ498">
        <v>6.2107849913157898</v>
      </c>
      <c r="BC498" s="75">
        <v>0</v>
      </c>
      <c r="BD498">
        <v>3.7804595342590439E-2</v>
      </c>
      <c r="BH498">
        <v>7.5609190685180877E-2</v>
      </c>
      <c r="BI498">
        <v>3.7804595342590439E-2</v>
      </c>
      <c r="BJ498">
        <v>0</v>
      </c>
    </row>
    <row r="499" spans="1:62" x14ac:dyDescent="0.3">
      <c r="A499" s="2" t="s">
        <v>417</v>
      </c>
      <c r="B499" s="13" t="s">
        <v>844</v>
      </c>
      <c r="C499" s="13"/>
      <c r="F499" s="2">
        <v>2.57</v>
      </c>
      <c r="G499" s="2" t="s">
        <v>412</v>
      </c>
      <c r="H499" s="9">
        <v>-1</v>
      </c>
      <c r="I499">
        <v>-1</v>
      </c>
      <c r="J499" s="69" t="s">
        <v>1244</v>
      </c>
      <c r="K499" s="2">
        <v>1</v>
      </c>
      <c r="L499" s="25">
        <v>0</v>
      </c>
      <c r="M499">
        <v>0</v>
      </c>
      <c r="N499">
        <v>0</v>
      </c>
      <c r="O499" s="2">
        <v>3.8856000000000002</v>
      </c>
      <c r="P499" s="2">
        <v>3.8856000000000002</v>
      </c>
      <c r="Q499" s="2">
        <v>18.356999999999999</v>
      </c>
      <c r="R499" s="2" t="s">
        <v>439</v>
      </c>
      <c r="T499" s="25">
        <v>0</v>
      </c>
      <c r="U499" s="25"/>
      <c r="V499" s="25"/>
      <c r="W499">
        <v>0</v>
      </c>
      <c r="X499"/>
      <c r="Y499"/>
      <c r="Z499">
        <v>0</v>
      </c>
      <c r="AA499"/>
      <c r="AB499"/>
      <c r="AD499">
        <v>22</v>
      </c>
      <c r="AE499" s="55">
        <f t="shared" si="30"/>
        <v>277.15191826751999</v>
      </c>
      <c r="AF499" s="57">
        <v>0</v>
      </c>
      <c r="AG499" s="55">
        <v>0</v>
      </c>
      <c r="AH499" s="55">
        <v>0</v>
      </c>
      <c r="AI499" s="52">
        <f t="shared" si="31"/>
        <v>7.9378848025019155E-2</v>
      </c>
      <c r="AJ499" s="51"/>
      <c r="AK499" s="52"/>
      <c r="AL499" s="52"/>
      <c r="AM499" s="28">
        <v>2</v>
      </c>
      <c r="AN499" s="28">
        <v>3.2105263157894739</v>
      </c>
      <c r="AO499" s="28">
        <v>2.3684210526315792</v>
      </c>
      <c r="AP499" s="28">
        <v>3.6842105263157889</v>
      </c>
      <c r="AQ499" s="28">
        <v>0.17757009345794389</v>
      </c>
      <c r="AR499" s="28">
        <v>0.28504672897196259</v>
      </c>
      <c r="AS499" s="28">
        <v>0.2102803738317757</v>
      </c>
      <c r="AT499" s="28">
        <v>0.32710280373831768</v>
      </c>
      <c r="AU499" s="25">
        <v>0.95</v>
      </c>
      <c r="AV499" s="25">
        <v>3.44</v>
      </c>
      <c r="AW499" s="25">
        <v>2.4900000000000002</v>
      </c>
      <c r="AX499" s="25">
        <v>2.7931578947368418</v>
      </c>
      <c r="AY499">
        <v>2.7931578947368418</v>
      </c>
      <c r="AZ499">
        <v>6.207524303947368</v>
      </c>
      <c r="BC499" s="75">
        <v>0</v>
      </c>
      <c r="BD499">
        <v>3.9689424012509578E-2</v>
      </c>
      <c r="BH499">
        <v>7.9378848025019155E-2</v>
      </c>
      <c r="BI499">
        <v>3.9689424012509578E-2</v>
      </c>
      <c r="BJ499">
        <v>0</v>
      </c>
    </row>
    <row r="500" spans="1:62" x14ac:dyDescent="0.3">
      <c r="A500" s="2" t="s">
        <v>418</v>
      </c>
      <c r="B500" s="13" t="s">
        <v>845</v>
      </c>
      <c r="C500" s="13"/>
      <c r="F500" s="2">
        <v>2.5</v>
      </c>
      <c r="G500" s="2" t="s">
        <v>412</v>
      </c>
      <c r="H500" s="9">
        <v>-1</v>
      </c>
      <c r="I500">
        <v>-1</v>
      </c>
      <c r="J500" s="69" t="s">
        <v>1244</v>
      </c>
      <c r="K500" s="2">
        <v>1</v>
      </c>
      <c r="L500" s="25">
        <v>0</v>
      </c>
      <c r="M500">
        <v>0</v>
      </c>
      <c r="N500">
        <v>0</v>
      </c>
      <c r="O500" s="2">
        <v>3.9121999999999999</v>
      </c>
      <c r="P500" s="2">
        <v>3.9121999999999999</v>
      </c>
      <c r="Q500" s="2">
        <v>18.724299999999999</v>
      </c>
      <c r="R500" s="2" t="s">
        <v>439</v>
      </c>
      <c r="T500" s="25">
        <v>0</v>
      </c>
      <c r="U500" s="25"/>
      <c r="V500" s="25"/>
      <c r="W500">
        <v>0</v>
      </c>
      <c r="X500"/>
      <c r="Y500"/>
      <c r="Z500">
        <v>0</v>
      </c>
      <c r="AA500"/>
      <c r="AB500"/>
      <c r="AD500">
        <v>22</v>
      </c>
      <c r="AE500" s="55">
        <f t="shared" si="30"/>
        <v>286.58119431281199</v>
      </c>
      <c r="AF500" s="57">
        <v>0</v>
      </c>
      <c r="AG500" s="55">
        <v>0</v>
      </c>
      <c r="AH500" s="55">
        <v>0</v>
      </c>
      <c r="AI500" s="52">
        <f t="shared" si="31"/>
        <v>7.6767074869491747E-2</v>
      </c>
      <c r="AJ500" s="51"/>
      <c r="AK500" s="52"/>
      <c r="AL500" s="52"/>
      <c r="AM500" s="28">
        <v>2</v>
      </c>
      <c r="AN500" s="28">
        <v>3.2105263157894739</v>
      </c>
      <c r="AO500" s="28">
        <v>2.3684210526315792</v>
      </c>
      <c r="AP500" s="28">
        <v>3.6842105263157889</v>
      </c>
      <c r="AQ500" s="28">
        <v>0.17757009345794389</v>
      </c>
      <c r="AR500" s="28">
        <v>0.28504672897196259</v>
      </c>
      <c r="AS500" s="28">
        <v>0.2102803738317757</v>
      </c>
      <c r="AT500" s="28">
        <v>0.32710280373831768</v>
      </c>
      <c r="AU500" s="25">
        <v>0.89</v>
      </c>
      <c r="AV500" s="25">
        <v>3.44</v>
      </c>
      <c r="AW500" s="25">
        <v>2.5499999999999998</v>
      </c>
      <c r="AX500" s="25">
        <v>2.79</v>
      </c>
      <c r="AY500">
        <v>2.79</v>
      </c>
      <c r="AZ500">
        <v>6.1972442289473681</v>
      </c>
      <c r="BC500" s="75">
        <v>0</v>
      </c>
      <c r="BD500">
        <v>3.8383537434745867E-2</v>
      </c>
      <c r="BH500">
        <v>7.6767074869491747E-2</v>
      </c>
      <c r="BI500">
        <v>3.8383537434745867E-2</v>
      </c>
      <c r="BJ500">
        <v>0</v>
      </c>
    </row>
    <row r="501" spans="1:62" x14ac:dyDescent="0.3">
      <c r="A501" s="2" t="s">
        <v>419</v>
      </c>
      <c r="B501" s="13" t="s">
        <v>846</v>
      </c>
      <c r="C501" s="13"/>
      <c r="F501" s="2">
        <v>2.6</v>
      </c>
      <c r="G501" s="2" t="s">
        <v>412</v>
      </c>
      <c r="H501" s="9">
        <v>-1</v>
      </c>
      <c r="I501">
        <v>-1</v>
      </c>
      <c r="J501" s="69" t="s">
        <v>1244</v>
      </c>
      <c r="K501" s="2">
        <v>1</v>
      </c>
      <c r="L501" s="25">
        <v>0</v>
      </c>
      <c r="M501">
        <v>0</v>
      </c>
      <c r="N501">
        <v>0</v>
      </c>
      <c r="O501" s="2">
        <v>3.8752</v>
      </c>
      <c r="P501" s="2">
        <v>3.8752</v>
      </c>
      <c r="Q501" s="2">
        <v>18.687000000000001</v>
      </c>
      <c r="R501" s="2" t="s">
        <v>439</v>
      </c>
      <c r="T501" s="25">
        <v>0</v>
      </c>
      <c r="U501" s="25"/>
      <c r="V501" s="25"/>
      <c r="W501">
        <v>0</v>
      </c>
      <c r="X501"/>
      <c r="Y501"/>
      <c r="Z501">
        <v>0</v>
      </c>
      <c r="AA501"/>
      <c r="AB501"/>
      <c r="AD501">
        <v>22</v>
      </c>
      <c r="AE501" s="55">
        <f t="shared" si="30"/>
        <v>280.62594997247999</v>
      </c>
      <c r="AF501" s="57">
        <v>0</v>
      </c>
      <c r="AG501" s="55">
        <v>0</v>
      </c>
      <c r="AH501" s="55">
        <v>0</v>
      </c>
      <c r="AI501" s="52">
        <f t="shared" si="31"/>
        <v>7.8396171138690005E-2</v>
      </c>
      <c r="AJ501" s="51"/>
      <c r="AK501" s="52"/>
      <c r="AL501" s="52"/>
      <c r="AM501" s="28">
        <v>2</v>
      </c>
      <c r="AN501" s="28">
        <v>3.3157894736842111</v>
      </c>
      <c r="AO501" s="28">
        <v>2.8947368421052628</v>
      </c>
      <c r="AP501" s="28">
        <v>4.4210526315789478</v>
      </c>
      <c r="AQ501" s="28">
        <v>0.1583333333333333</v>
      </c>
      <c r="AR501" s="28">
        <v>0.26250000000000001</v>
      </c>
      <c r="AS501" s="28">
        <v>0.22916666666666671</v>
      </c>
      <c r="AT501" s="28">
        <v>0.35</v>
      </c>
      <c r="AU501" s="25">
        <v>1.5</v>
      </c>
      <c r="AV501" s="25">
        <v>3.44</v>
      </c>
      <c r="AW501" s="25">
        <v>1.94</v>
      </c>
      <c r="AX501" s="25">
        <v>2.86578947368421</v>
      </c>
      <c r="AY501">
        <v>2.8657894736842109</v>
      </c>
      <c r="AZ501">
        <v>6.2608524000000001</v>
      </c>
      <c r="BC501" s="75">
        <v>0</v>
      </c>
      <c r="BD501">
        <v>3.9198085569345002E-2</v>
      </c>
      <c r="BH501">
        <v>7.8396171138690005E-2</v>
      </c>
      <c r="BI501">
        <v>3.9198085569345002E-2</v>
      </c>
      <c r="BJ501">
        <v>0</v>
      </c>
    </row>
    <row r="502" spans="1:62" x14ac:dyDescent="0.3">
      <c r="A502" s="2" t="s">
        <v>426</v>
      </c>
      <c r="B502" s="13" t="s">
        <v>847</v>
      </c>
      <c r="C502" s="13"/>
      <c r="F502" s="2">
        <v>2.82</v>
      </c>
      <c r="G502" s="2" t="s">
        <v>412</v>
      </c>
      <c r="H502" s="9">
        <v>-1</v>
      </c>
      <c r="I502">
        <v>-1</v>
      </c>
      <c r="J502" s="69" t="s">
        <v>1244</v>
      </c>
      <c r="K502" s="2">
        <v>1</v>
      </c>
      <c r="L502" s="25">
        <v>0</v>
      </c>
      <c r="M502">
        <v>0</v>
      </c>
      <c r="N502">
        <v>0</v>
      </c>
      <c r="O502" s="2">
        <v>3.9108999999999998</v>
      </c>
      <c r="P502" s="2">
        <v>3.9108999999999998</v>
      </c>
      <c r="Q502" s="2">
        <v>18.454999999999998</v>
      </c>
      <c r="R502" s="2" t="s">
        <v>439</v>
      </c>
      <c r="T502" s="25">
        <v>0</v>
      </c>
      <c r="U502" s="25"/>
      <c r="V502" s="25"/>
      <c r="W502">
        <v>0</v>
      </c>
      <c r="X502"/>
      <c r="Y502"/>
      <c r="Z502">
        <v>0</v>
      </c>
      <c r="AA502"/>
      <c r="AB502"/>
      <c r="AD502">
        <v>22</v>
      </c>
      <c r="AE502" s="55">
        <f t="shared" si="30"/>
        <v>282.27178673854996</v>
      </c>
      <c r="AF502" s="57">
        <v>0</v>
      </c>
      <c r="AG502" s="55">
        <v>0</v>
      </c>
      <c r="AH502" s="55">
        <v>0</v>
      </c>
      <c r="AI502" s="52">
        <f t="shared" si="31"/>
        <v>7.7939068066966155E-2</v>
      </c>
      <c r="AJ502" s="51"/>
      <c r="AK502" s="52"/>
      <c r="AL502" s="52"/>
      <c r="AM502" s="28">
        <v>1.8947368421052631</v>
      </c>
      <c r="AN502" s="28">
        <v>3.052631578947369</v>
      </c>
      <c r="AO502" s="28">
        <v>2</v>
      </c>
      <c r="AP502" s="28">
        <v>2.2105263157894739</v>
      </c>
      <c r="AQ502" s="28">
        <v>0.2068965517241379</v>
      </c>
      <c r="AR502" s="28">
        <v>0.33333333333333343</v>
      </c>
      <c r="AS502" s="28">
        <v>0.21839080459770119</v>
      </c>
      <c r="AT502" s="28">
        <v>0.2413793103448276</v>
      </c>
      <c r="AU502" s="25">
        <v>0.95</v>
      </c>
      <c r="AV502" s="25">
        <v>3.44</v>
      </c>
      <c r="AW502" s="25">
        <v>2.4900000000000002</v>
      </c>
      <c r="AX502" s="25">
        <v>2.7452631578947368</v>
      </c>
      <c r="AY502">
        <v>2.7452631578947368</v>
      </c>
      <c r="AZ502">
        <v>6.1573983386842102</v>
      </c>
      <c r="BC502" s="75">
        <v>0</v>
      </c>
      <c r="BD502">
        <v>3.8969534033483078E-2</v>
      </c>
      <c r="BH502">
        <v>7.7939068066966155E-2</v>
      </c>
      <c r="BI502">
        <v>3.8969534033483078E-2</v>
      </c>
      <c r="BJ502">
        <v>0</v>
      </c>
    </row>
    <row r="503" spans="1:62" x14ac:dyDescent="0.3">
      <c r="A503" s="2" t="s">
        <v>420</v>
      </c>
      <c r="B503" s="13" t="s">
        <v>848</v>
      </c>
      <c r="C503" s="13"/>
      <c r="F503" s="2">
        <v>2.59</v>
      </c>
      <c r="G503" s="2" t="s">
        <v>412</v>
      </c>
      <c r="H503" s="9">
        <v>-1</v>
      </c>
      <c r="I503">
        <v>-1</v>
      </c>
      <c r="J503" s="69" t="s">
        <v>1244</v>
      </c>
      <c r="K503" s="2">
        <v>1</v>
      </c>
      <c r="L503" s="25">
        <v>0</v>
      </c>
      <c r="M503">
        <v>0</v>
      </c>
      <c r="N503">
        <v>0</v>
      </c>
      <c r="O503" s="2">
        <v>3.91</v>
      </c>
      <c r="P503" s="2">
        <v>3.91</v>
      </c>
      <c r="Q503" s="2">
        <v>18.651</v>
      </c>
      <c r="R503" s="2" t="s">
        <v>439</v>
      </c>
      <c r="T503" s="25">
        <v>0</v>
      </c>
      <c r="U503" s="25"/>
      <c r="V503" s="25"/>
      <c r="W503">
        <v>0</v>
      </c>
      <c r="X503"/>
      <c r="Y503"/>
      <c r="Z503">
        <v>0</v>
      </c>
      <c r="AA503"/>
      <c r="AB503"/>
      <c r="AD503">
        <v>22</v>
      </c>
      <c r="AE503" s="55">
        <f t="shared" si="30"/>
        <v>285.13835310000002</v>
      </c>
      <c r="AF503" s="57">
        <v>0</v>
      </c>
      <c r="AG503" s="55">
        <v>0</v>
      </c>
      <c r="AH503" s="55">
        <v>0</v>
      </c>
      <c r="AI503" s="52">
        <f t="shared" si="31"/>
        <v>7.7155527345998398E-2</v>
      </c>
      <c r="AJ503" s="51"/>
      <c r="AK503" s="52"/>
      <c r="AL503" s="52"/>
      <c r="AM503" s="28">
        <v>1.8947368421052631</v>
      </c>
      <c r="AN503" s="28">
        <v>3.1578947368421049</v>
      </c>
      <c r="AO503" s="28">
        <v>2.5263157894736841</v>
      </c>
      <c r="AP503" s="28">
        <v>2.947368421052631</v>
      </c>
      <c r="AQ503" s="28">
        <v>0.18</v>
      </c>
      <c r="AR503" s="28">
        <v>0.3</v>
      </c>
      <c r="AS503" s="28">
        <v>0.24</v>
      </c>
      <c r="AT503" s="28">
        <v>0.28000000000000003</v>
      </c>
      <c r="AU503" s="25">
        <v>0.95</v>
      </c>
      <c r="AV503" s="25">
        <v>3.44</v>
      </c>
      <c r="AW503" s="25">
        <v>2.4900000000000002</v>
      </c>
      <c r="AX503" s="25">
        <v>2.817894736842105</v>
      </c>
      <c r="AY503">
        <v>2.817894736842105</v>
      </c>
      <c r="AZ503">
        <v>6.2107264347368423</v>
      </c>
      <c r="BC503" s="75">
        <v>0</v>
      </c>
      <c r="BD503">
        <v>3.8577763672999199E-2</v>
      </c>
      <c r="BH503">
        <v>7.7155527345998398E-2</v>
      </c>
      <c r="BI503">
        <v>3.8577763672999199E-2</v>
      </c>
      <c r="BJ503">
        <v>0</v>
      </c>
    </row>
    <row r="504" spans="1:62" x14ac:dyDescent="0.3">
      <c r="A504" s="2" t="s">
        <v>421</v>
      </c>
      <c r="B504" s="13" t="s">
        <v>849</v>
      </c>
      <c r="C504" s="13"/>
      <c r="F504" s="2">
        <v>2.66</v>
      </c>
      <c r="G504" s="2" t="s">
        <v>412</v>
      </c>
      <c r="H504" s="9">
        <v>-1</v>
      </c>
      <c r="I504">
        <v>-1</v>
      </c>
      <c r="J504" s="69" t="s">
        <v>1244</v>
      </c>
      <c r="K504" s="2">
        <v>1</v>
      </c>
      <c r="L504" s="25">
        <v>0</v>
      </c>
      <c r="M504">
        <v>0</v>
      </c>
      <c r="N504">
        <v>0</v>
      </c>
      <c r="O504" s="2">
        <v>3.9683000000000002</v>
      </c>
      <c r="P504" s="2">
        <v>3.9683000000000002</v>
      </c>
      <c r="Q504" s="2">
        <v>18.798999999999999</v>
      </c>
      <c r="R504" s="2" t="s">
        <v>439</v>
      </c>
      <c r="T504" s="25">
        <v>0</v>
      </c>
      <c r="U504" s="25"/>
      <c r="V504" s="25"/>
      <c r="W504">
        <v>0</v>
      </c>
      <c r="X504"/>
      <c r="Y504"/>
      <c r="Z504">
        <v>0</v>
      </c>
      <c r="AA504"/>
      <c r="AB504"/>
      <c r="AD504">
        <v>22</v>
      </c>
      <c r="AE504" s="55">
        <f t="shared" si="30"/>
        <v>296.03546452711004</v>
      </c>
      <c r="AF504" s="57">
        <v>0</v>
      </c>
      <c r="AG504" s="55">
        <v>0</v>
      </c>
      <c r="AH504" s="55">
        <v>0</v>
      </c>
      <c r="AI504" s="52">
        <f t="shared" si="31"/>
        <v>7.4315420401211113E-2</v>
      </c>
      <c r="AJ504" s="51"/>
      <c r="AK504" s="52"/>
      <c r="AL504" s="52"/>
      <c r="AM504" s="28">
        <v>1.8947368421052631</v>
      </c>
      <c r="AN504" s="28">
        <v>3.052631578947369</v>
      </c>
      <c r="AO504" s="28">
        <v>2</v>
      </c>
      <c r="AP504" s="28">
        <v>2.2105263157894739</v>
      </c>
      <c r="AQ504" s="28">
        <v>0.2068965517241379</v>
      </c>
      <c r="AR504" s="28">
        <v>0.33333333333333343</v>
      </c>
      <c r="AS504" s="28">
        <v>0.21839080459770119</v>
      </c>
      <c r="AT504" s="28">
        <v>0.2413793103448276</v>
      </c>
      <c r="AU504" s="25">
        <v>0.89</v>
      </c>
      <c r="AV504" s="25">
        <v>3.44</v>
      </c>
      <c r="AW504" s="25">
        <v>2.5499999999999998</v>
      </c>
      <c r="AX504" s="25">
        <v>2.7389473684210519</v>
      </c>
      <c r="AY504">
        <v>2.7389473684210519</v>
      </c>
      <c r="AZ504">
        <v>6.1368381886842096</v>
      </c>
      <c r="BC504" s="75">
        <v>0</v>
      </c>
      <c r="BD504">
        <v>3.7157710200605563E-2</v>
      </c>
      <c r="BH504">
        <v>7.4315420401211113E-2</v>
      </c>
      <c r="BI504">
        <v>3.7157710200605563E-2</v>
      </c>
      <c r="BJ504">
        <v>0</v>
      </c>
    </row>
    <row r="505" spans="1:62" x14ac:dyDescent="0.3">
      <c r="A505" s="2" t="s">
        <v>422</v>
      </c>
      <c r="B505" s="13" t="s">
        <v>850</v>
      </c>
      <c r="C505" s="13"/>
      <c r="F505" s="2">
        <v>2.56</v>
      </c>
      <c r="G505" s="2" t="s">
        <v>412</v>
      </c>
      <c r="H505" s="9">
        <v>-1</v>
      </c>
      <c r="I505">
        <v>-1</v>
      </c>
      <c r="J505" s="69" t="s">
        <v>1244</v>
      </c>
      <c r="K505" s="2">
        <v>1</v>
      </c>
      <c r="L505" s="25">
        <v>0</v>
      </c>
      <c r="M505">
        <v>0</v>
      </c>
      <c r="N505">
        <v>0</v>
      </c>
      <c r="O505" s="2">
        <v>3.9487999999999999</v>
      </c>
      <c r="P505" s="2">
        <v>3.9487999999999999</v>
      </c>
      <c r="Q505" s="2">
        <v>18.829999999999998</v>
      </c>
      <c r="R505" s="2" t="s">
        <v>439</v>
      </c>
      <c r="T505" s="25">
        <v>0</v>
      </c>
      <c r="U505" s="25"/>
      <c r="V505" s="25"/>
      <c r="W505">
        <v>0</v>
      </c>
      <c r="X505"/>
      <c r="Y505"/>
      <c r="Z505">
        <v>0</v>
      </c>
      <c r="AA505"/>
      <c r="AB505"/>
      <c r="AD505">
        <v>22</v>
      </c>
      <c r="AE505" s="55">
        <f t="shared" si="30"/>
        <v>293.61659371519994</v>
      </c>
      <c r="AF505" s="57">
        <v>0</v>
      </c>
      <c r="AG505" s="55">
        <v>0</v>
      </c>
      <c r="AH505" s="55">
        <v>0</v>
      </c>
      <c r="AI505" s="52">
        <f t="shared" si="31"/>
        <v>7.4927645340574306E-2</v>
      </c>
      <c r="AJ505" s="51"/>
      <c r="AK505" s="52"/>
      <c r="AL505" s="52"/>
      <c r="AM505" s="28">
        <v>1.8947368421052631</v>
      </c>
      <c r="AN505" s="28">
        <v>3.1578947368421049</v>
      </c>
      <c r="AO505" s="28">
        <v>2.5263157894736841</v>
      </c>
      <c r="AP505" s="28">
        <v>2.947368421052631</v>
      </c>
      <c r="AQ505" s="28">
        <v>0.18</v>
      </c>
      <c r="AR505" s="28">
        <v>0.3</v>
      </c>
      <c r="AS505" s="28">
        <v>0.24</v>
      </c>
      <c r="AT505" s="28">
        <v>0.28000000000000003</v>
      </c>
      <c r="AU505" s="25">
        <v>0.89</v>
      </c>
      <c r="AV505" s="25">
        <v>3.44</v>
      </c>
      <c r="AW505" s="25">
        <v>2.5499999999999998</v>
      </c>
      <c r="AX505" s="25">
        <v>2.8147368421052632</v>
      </c>
      <c r="AY505">
        <v>2.8147368421052632</v>
      </c>
      <c r="AZ505">
        <v>6.2004463597368424</v>
      </c>
      <c r="BC505" s="75">
        <v>0</v>
      </c>
      <c r="BD505">
        <v>3.7463822670287153E-2</v>
      </c>
      <c r="BH505">
        <v>7.4927645340574306E-2</v>
      </c>
      <c r="BI505">
        <v>3.7463822670287153E-2</v>
      </c>
      <c r="BJ505">
        <v>0</v>
      </c>
    </row>
    <row r="506" spans="1:62" x14ac:dyDescent="0.3">
      <c r="A506" s="2" t="s">
        <v>423</v>
      </c>
      <c r="B506" s="13" t="s">
        <v>851</v>
      </c>
      <c r="C506" s="13"/>
      <c r="F506" s="2">
        <v>2.5099999999999998</v>
      </c>
      <c r="G506" s="2" t="s">
        <v>412</v>
      </c>
      <c r="H506" s="9">
        <v>-1</v>
      </c>
      <c r="I506">
        <v>-1</v>
      </c>
      <c r="J506" s="69" t="s">
        <v>1244</v>
      </c>
      <c r="K506" s="2">
        <v>1</v>
      </c>
      <c r="L506" s="25">
        <v>0</v>
      </c>
      <c r="M506">
        <v>0</v>
      </c>
      <c r="N506">
        <v>0</v>
      </c>
      <c r="O506" s="2">
        <v>3.8788399999999998</v>
      </c>
      <c r="P506" s="2">
        <v>3.8788399999999998</v>
      </c>
      <c r="Q506" s="2">
        <v>18.3658</v>
      </c>
      <c r="R506" s="2" t="s">
        <v>439</v>
      </c>
      <c r="T506" s="25">
        <v>0</v>
      </c>
      <c r="U506" s="25"/>
      <c r="V506" s="25"/>
      <c r="W506">
        <v>0</v>
      </c>
      <c r="X506"/>
      <c r="Y506"/>
      <c r="Z506">
        <v>0</v>
      </c>
      <c r="AA506"/>
      <c r="AB506"/>
      <c r="AD506">
        <v>22</v>
      </c>
      <c r="AE506" s="55">
        <f t="shared" si="30"/>
        <v>276.32080264774049</v>
      </c>
      <c r="AF506" s="57">
        <v>0</v>
      </c>
      <c r="AG506" s="55">
        <v>0</v>
      </c>
      <c r="AH506" s="55">
        <v>0</v>
      </c>
      <c r="AI506" s="52">
        <f t="shared" si="31"/>
        <v>7.9617603123591299E-2</v>
      </c>
      <c r="AJ506" s="51"/>
      <c r="AK506" s="52"/>
      <c r="AL506" s="52"/>
      <c r="AM506" s="28">
        <v>1.9473684210526321</v>
      </c>
      <c r="AN506" s="28">
        <v>3.2105263157894739</v>
      </c>
      <c r="AO506" s="28">
        <v>2.4210526315789469</v>
      </c>
      <c r="AP506" s="28">
        <v>2.947368421052631</v>
      </c>
      <c r="AQ506" s="28">
        <v>0.185</v>
      </c>
      <c r="AR506" s="28">
        <v>0.30499999999999999</v>
      </c>
      <c r="AS506" s="28">
        <v>0.23</v>
      </c>
      <c r="AT506" s="28">
        <v>0.28000000000000003</v>
      </c>
      <c r="AU506" s="25">
        <v>0.95</v>
      </c>
      <c r="AV506" s="25">
        <v>3.44</v>
      </c>
      <c r="AW506" s="25">
        <v>2.4900000000000002</v>
      </c>
      <c r="AX506" s="25">
        <v>2.798421052631578</v>
      </c>
      <c r="AY506">
        <v>2.7984210526315789</v>
      </c>
      <c r="AZ506">
        <v>6.2023549881578939</v>
      </c>
      <c r="BC506" s="75">
        <v>0</v>
      </c>
      <c r="BD506">
        <v>3.9808801561795649E-2</v>
      </c>
      <c r="BH506">
        <v>7.9617603123591299E-2</v>
      </c>
      <c r="BI506">
        <v>3.9808801561795649E-2</v>
      </c>
      <c r="BJ506">
        <v>0</v>
      </c>
    </row>
    <row r="507" spans="1:62" x14ac:dyDescent="0.3">
      <c r="A507" s="2" t="s">
        <v>424</v>
      </c>
      <c r="B507" s="13" t="s">
        <v>852</v>
      </c>
      <c r="C507" s="13"/>
      <c r="F507" s="2">
        <v>2.48</v>
      </c>
      <c r="G507" s="2" t="s">
        <v>412</v>
      </c>
      <c r="H507" s="9">
        <v>-1</v>
      </c>
      <c r="I507">
        <v>-1</v>
      </c>
      <c r="J507" s="69" t="s">
        <v>1244</v>
      </c>
      <c r="K507" s="2">
        <v>1</v>
      </c>
      <c r="L507" s="25">
        <v>0</v>
      </c>
      <c r="M507">
        <v>0</v>
      </c>
      <c r="N507">
        <v>0</v>
      </c>
      <c r="O507" s="2">
        <v>3.9116</v>
      </c>
      <c r="P507" s="2">
        <v>3.9116</v>
      </c>
      <c r="Q507" s="2">
        <v>18.6922</v>
      </c>
      <c r="R507" s="2" t="s">
        <v>439</v>
      </c>
      <c r="T507" s="25">
        <v>0</v>
      </c>
      <c r="U507" s="25"/>
      <c r="V507" s="25"/>
      <c r="W507">
        <v>0</v>
      </c>
      <c r="X507"/>
      <c r="Y507"/>
      <c r="Z507">
        <v>0</v>
      </c>
      <c r="AA507"/>
      <c r="AB507"/>
      <c r="AD507">
        <v>22</v>
      </c>
      <c r="AE507" s="55">
        <f t="shared" si="30"/>
        <v>286.00214747843199</v>
      </c>
      <c r="AF507" s="57">
        <v>0</v>
      </c>
      <c r="AG507" s="55">
        <v>0</v>
      </c>
      <c r="AH507" s="55">
        <v>0</v>
      </c>
      <c r="AI507" s="52">
        <f t="shared" si="31"/>
        <v>7.6922499337733347E-2</v>
      </c>
      <c r="AJ507" s="51"/>
      <c r="AK507" s="52"/>
      <c r="AL507" s="52"/>
      <c r="AM507" s="28">
        <v>1.9473684210526321</v>
      </c>
      <c r="AN507" s="28">
        <v>3.2105263157894739</v>
      </c>
      <c r="AO507" s="28">
        <v>2.4210526315789469</v>
      </c>
      <c r="AP507" s="28">
        <v>2.947368421052631</v>
      </c>
      <c r="AQ507" s="28">
        <v>0.185</v>
      </c>
      <c r="AR507" s="28">
        <v>0.30499999999999999</v>
      </c>
      <c r="AS507" s="28">
        <v>0.23</v>
      </c>
      <c r="AT507" s="28">
        <v>0.28000000000000003</v>
      </c>
      <c r="AU507" s="25">
        <v>0.89</v>
      </c>
      <c r="AV507" s="25">
        <v>3.44</v>
      </c>
      <c r="AW507" s="25">
        <v>2.5499999999999998</v>
      </c>
      <c r="AX507" s="25">
        <v>2.7952631578947358</v>
      </c>
      <c r="AY507">
        <v>2.7952631578947371</v>
      </c>
      <c r="AZ507">
        <v>6.1920749131578949</v>
      </c>
      <c r="BC507" s="75">
        <v>0</v>
      </c>
      <c r="BD507">
        <v>3.8461249668866673E-2</v>
      </c>
      <c r="BH507">
        <v>7.6922499337733347E-2</v>
      </c>
      <c r="BI507">
        <v>3.8461249668866673E-2</v>
      </c>
      <c r="BJ507">
        <v>0</v>
      </c>
    </row>
    <row r="508" spans="1:62" x14ac:dyDescent="0.3">
      <c r="A508" s="2" t="s">
        <v>425</v>
      </c>
      <c r="B508" s="13" t="s">
        <v>853</v>
      </c>
      <c r="C508" s="13"/>
      <c r="F508" s="2">
        <v>2.5299999999999998</v>
      </c>
      <c r="G508" s="2" t="s">
        <v>412</v>
      </c>
      <c r="H508" s="9">
        <v>-1</v>
      </c>
      <c r="I508">
        <v>-1</v>
      </c>
      <c r="J508" s="69" t="s">
        <v>1244</v>
      </c>
      <c r="K508" s="2">
        <v>1</v>
      </c>
      <c r="L508" s="25">
        <v>0</v>
      </c>
      <c r="M508">
        <v>0</v>
      </c>
      <c r="N508">
        <v>0</v>
      </c>
      <c r="O508" s="2">
        <v>3.8759000000000001</v>
      </c>
      <c r="P508" s="2">
        <v>3.8759000000000001</v>
      </c>
      <c r="Q508" s="2">
        <v>18.463000000000001</v>
      </c>
      <c r="R508" s="2" t="s">
        <v>439</v>
      </c>
      <c r="T508" s="25">
        <v>0</v>
      </c>
      <c r="U508" s="25"/>
      <c r="V508" s="25"/>
      <c r="W508">
        <v>0</v>
      </c>
      <c r="X508"/>
      <c r="Y508"/>
      <c r="Z508">
        <v>0</v>
      </c>
      <c r="AA508"/>
      <c r="AB508"/>
      <c r="AD508">
        <v>22</v>
      </c>
      <c r="AE508" s="55">
        <f t="shared" si="30"/>
        <v>277.36227875502999</v>
      </c>
      <c r="AF508" s="57">
        <v>0</v>
      </c>
      <c r="AG508" s="55">
        <v>0</v>
      </c>
      <c r="AH508" s="55">
        <v>0</v>
      </c>
      <c r="AI508" s="52">
        <f t="shared" si="31"/>
        <v>7.9318644549465536E-2</v>
      </c>
      <c r="AJ508" s="51"/>
      <c r="AK508" s="52"/>
      <c r="AL508" s="52"/>
      <c r="AM508" s="28">
        <v>1.9473684210526321</v>
      </c>
      <c r="AN508" s="28">
        <v>3.3157894736842111</v>
      </c>
      <c r="AO508" s="28">
        <v>2.947368421052631</v>
      </c>
      <c r="AP508" s="28">
        <v>3.6842105263157889</v>
      </c>
      <c r="AQ508" s="28">
        <v>0.16371681415929201</v>
      </c>
      <c r="AR508" s="28">
        <v>0.27876106194690259</v>
      </c>
      <c r="AS508" s="28">
        <v>0.247787610619469</v>
      </c>
      <c r="AT508" s="28">
        <v>0.30973451327433632</v>
      </c>
      <c r="AU508" s="25">
        <v>1.54</v>
      </c>
      <c r="AV508" s="25">
        <v>3.44</v>
      </c>
      <c r="AW508" s="25">
        <v>1.9</v>
      </c>
      <c r="AX508" s="25">
        <v>2.8710526315789471</v>
      </c>
      <c r="AY508">
        <v>2.871052631578948</v>
      </c>
      <c r="AZ508">
        <v>6.255683084210526</v>
      </c>
      <c r="BC508" s="75">
        <v>0</v>
      </c>
      <c r="BD508">
        <v>3.9659322274732768E-2</v>
      </c>
      <c r="BH508">
        <v>7.9318644549465536E-2</v>
      </c>
      <c r="BI508">
        <v>3.9659322274732768E-2</v>
      </c>
      <c r="BJ508">
        <v>0</v>
      </c>
    </row>
    <row r="509" spans="1:62" x14ac:dyDescent="0.3">
      <c r="A509" s="2" t="s">
        <v>63</v>
      </c>
      <c r="B509" s="13" t="s">
        <v>773</v>
      </c>
      <c r="C509" s="13"/>
      <c r="F509" s="2">
        <v>3.45</v>
      </c>
      <c r="G509" s="2" t="s">
        <v>432</v>
      </c>
      <c r="H509" s="9">
        <v>-1</v>
      </c>
      <c r="I509">
        <v>-1</v>
      </c>
      <c r="J509"/>
      <c r="K509" s="2">
        <v>1</v>
      </c>
      <c r="L509" s="25">
        <v>0</v>
      </c>
      <c r="M509">
        <v>0</v>
      </c>
      <c r="N509">
        <v>0</v>
      </c>
      <c r="O509" s="2">
        <v>3.8531</v>
      </c>
      <c r="P509" s="2">
        <v>3.8531</v>
      </c>
      <c r="Q509" s="2">
        <v>16.2151</v>
      </c>
      <c r="R509" s="2" t="s">
        <v>1137</v>
      </c>
      <c r="T509" s="25">
        <v>0</v>
      </c>
      <c r="U509" s="25"/>
      <c r="V509" s="25"/>
      <c r="W509">
        <v>0</v>
      </c>
      <c r="X509"/>
      <c r="Y509"/>
      <c r="Z509">
        <v>0</v>
      </c>
      <c r="AA509"/>
      <c r="AB509"/>
      <c r="AD509">
        <v>20</v>
      </c>
      <c r="AE509" s="55">
        <f t="shared" si="30"/>
        <v>240.73553001411099</v>
      </c>
      <c r="AF509" s="57">
        <v>0</v>
      </c>
      <c r="AG509" s="55">
        <v>0</v>
      </c>
      <c r="AH509" s="55">
        <v>0</v>
      </c>
      <c r="AI509" s="52">
        <f t="shared" si="31"/>
        <v>8.3078721279022161E-2</v>
      </c>
      <c r="AJ509" s="51"/>
      <c r="AK509" s="52"/>
      <c r="AL509" s="52"/>
      <c r="AM509" s="28">
        <v>1.75</v>
      </c>
      <c r="AN509" s="28">
        <v>2.5</v>
      </c>
      <c r="AO509" s="28">
        <v>0.75</v>
      </c>
      <c r="AP509" s="28">
        <v>0</v>
      </c>
      <c r="AQ509" s="28">
        <v>0.35</v>
      </c>
      <c r="AR509" s="28">
        <v>0.5</v>
      </c>
      <c r="AS509" s="28">
        <v>0.15</v>
      </c>
      <c r="AT509" s="28">
        <v>0</v>
      </c>
      <c r="AU509" s="25">
        <v>1</v>
      </c>
      <c r="AV509" s="25">
        <v>3.44</v>
      </c>
      <c r="AW509" s="25">
        <v>2.44</v>
      </c>
      <c r="AX509" s="25">
        <v>2.7124999999999999</v>
      </c>
      <c r="AY509">
        <v>2.7124999999999999</v>
      </c>
      <c r="AZ509">
        <v>6.264025610615688</v>
      </c>
      <c r="BD509">
        <v>4.153936063951108E-2</v>
      </c>
      <c r="BH509">
        <v>8.3078721279022161E-2</v>
      </c>
      <c r="BI509">
        <v>4.153936063951108E-2</v>
      </c>
      <c r="BJ509">
        <v>0</v>
      </c>
    </row>
    <row r="510" spans="1:62" x14ac:dyDescent="0.3">
      <c r="A510" s="2" t="s">
        <v>63</v>
      </c>
      <c r="B510" s="13" t="s">
        <v>773</v>
      </c>
      <c r="C510" s="13"/>
      <c r="D510" s="2" t="s">
        <v>863</v>
      </c>
      <c r="E510" s="2">
        <v>1</v>
      </c>
      <c r="F510" s="2">
        <v>3.5</v>
      </c>
      <c r="G510" s="2" t="s">
        <v>432</v>
      </c>
      <c r="H510" s="9">
        <v>-1</v>
      </c>
      <c r="I510">
        <v>-1</v>
      </c>
      <c r="J510"/>
      <c r="K510" s="2">
        <v>2</v>
      </c>
      <c r="L510" s="25">
        <v>0</v>
      </c>
      <c r="M510">
        <v>0</v>
      </c>
      <c r="N510">
        <v>0</v>
      </c>
      <c r="O510" s="2">
        <v>3.843</v>
      </c>
      <c r="P510" s="2">
        <v>3.843</v>
      </c>
      <c r="Q510" s="2">
        <v>32.261000000000003</v>
      </c>
      <c r="R510" s="2" t="s">
        <v>1138</v>
      </c>
      <c r="T510" s="25">
        <v>0</v>
      </c>
      <c r="U510"/>
      <c r="V510"/>
      <c r="W510">
        <v>0</v>
      </c>
      <c r="X510"/>
      <c r="Y510"/>
      <c r="Z510">
        <v>0</v>
      </c>
      <c r="AA510"/>
      <c r="AB510"/>
      <c r="AD510">
        <v>20</v>
      </c>
      <c r="AE510" s="55">
        <f t="shared" si="30"/>
        <v>476.45138538900005</v>
      </c>
      <c r="AF510" s="57">
        <v>0</v>
      </c>
      <c r="AG510" s="55">
        <v>0</v>
      </c>
      <c r="AH510" s="55">
        <v>0</v>
      </c>
      <c r="AI510" s="52">
        <f t="shared" si="31"/>
        <v>8.3954000820759267E-2</v>
      </c>
      <c r="AJ510" s="52"/>
      <c r="AK510" s="52"/>
      <c r="AL510" s="52"/>
      <c r="AM510" s="28">
        <v>1.75</v>
      </c>
      <c r="AN510" s="28">
        <v>2.5</v>
      </c>
      <c r="AO510" s="28">
        <v>0.75</v>
      </c>
      <c r="AP510" s="28">
        <v>0</v>
      </c>
      <c r="AQ510" s="28">
        <v>0.35</v>
      </c>
      <c r="AR510" s="28">
        <v>0.5</v>
      </c>
      <c r="AS510" s="28">
        <v>0.15</v>
      </c>
      <c r="AT510" s="28">
        <v>0</v>
      </c>
      <c r="AU510" s="25">
        <v>1</v>
      </c>
      <c r="AV510" s="25">
        <v>3.44</v>
      </c>
      <c r="AW510" s="25">
        <v>2.44</v>
      </c>
      <c r="AX510" s="25">
        <v>2.7124999999999999</v>
      </c>
      <c r="AY510">
        <v>2.7124999999999999</v>
      </c>
      <c r="AZ510">
        <v>6.264025610615688</v>
      </c>
      <c r="BD510">
        <v>4.1977000410379627E-2</v>
      </c>
      <c r="BH510">
        <v>8.3954000820759267E-2</v>
      </c>
      <c r="BI510">
        <v>4.1977000410379627E-2</v>
      </c>
      <c r="BJ510">
        <v>0</v>
      </c>
    </row>
    <row r="511" spans="1:62" x14ac:dyDescent="0.3">
      <c r="A511" s="2" t="s">
        <v>363</v>
      </c>
      <c r="B511" s="18" t="s">
        <v>1064</v>
      </c>
      <c r="C511" s="13"/>
      <c r="F511" s="2">
        <v>3.52</v>
      </c>
      <c r="G511" s="2" t="s">
        <v>432</v>
      </c>
      <c r="H511" s="9">
        <v>-1</v>
      </c>
      <c r="I511">
        <v>-1</v>
      </c>
      <c r="J511"/>
      <c r="K511" s="2">
        <v>1</v>
      </c>
      <c r="L511" s="25">
        <v>0</v>
      </c>
      <c r="M511">
        <v>0</v>
      </c>
      <c r="N511">
        <v>0</v>
      </c>
      <c r="O511" s="2">
        <v>3.8693</v>
      </c>
      <c r="P511" s="2">
        <v>3.8693</v>
      </c>
      <c r="Q511" s="2">
        <v>16.124700000000001</v>
      </c>
      <c r="R511" s="2" t="s">
        <v>1138</v>
      </c>
      <c r="T511" s="25">
        <v>0</v>
      </c>
      <c r="U511"/>
      <c r="V511"/>
      <c r="W511">
        <v>0</v>
      </c>
      <c r="X511"/>
      <c r="Y511"/>
      <c r="Z511">
        <v>0</v>
      </c>
      <c r="AA511"/>
      <c r="AB511"/>
      <c r="AD511">
        <v>20</v>
      </c>
      <c r="AE511" s="55">
        <f t="shared" si="30"/>
        <v>241.41066370650302</v>
      </c>
      <c r="AF511" s="57">
        <v>0</v>
      </c>
      <c r="AG511" s="55">
        <v>0</v>
      </c>
      <c r="AH511" s="55">
        <v>0</v>
      </c>
      <c r="AI511" s="52">
        <f t="shared" si="31"/>
        <v>8.2846381733638591E-2</v>
      </c>
      <c r="AJ511" s="52"/>
      <c r="AK511" s="52"/>
      <c r="AL511" s="52"/>
      <c r="AM511" s="28">
        <v>1.6086956521739131</v>
      </c>
      <c r="AN511" s="28">
        <v>1.956521739130435</v>
      </c>
      <c r="AO511" s="28">
        <v>0.52173913043478259</v>
      </c>
      <c r="AP511" s="28">
        <v>0</v>
      </c>
      <c r="AQ511" s="28">
        <v>0.3936170212765957</v>
      </c>
      <c r="AR511" s="28">
        <v>0.47872340425531912</v>
      </c>
      <c r="AS511" s="28">
        <v>0.1276595744680851</v>
      </c>
      <c r="AT511" s="28">
        <v>0</v>
      </c>
      <c r="AU511" s="25">
        <v>1</v>
      </c>
      <c r="AV511" s="25">
        <v>3.44</v>
      </c>
      <c r="AW511" s="25">
        <v>2.44</v>
      </c>
      <c r="AX511" s="25">
        <v>2.6082608695652172</v>
      </c>
      <c r="AY511">
        <v>2.6082608695652181</v>
      </c>
      <c r="AZ511">
        <v>6.5043590032654777</v>
      </c>
      <c r="BD511">
        <v>4.1423190866819302E-2</v>
      </c>
      <c r="BH511">
        <v>8.2846381733638591E-2</v>
      </c>
      <c r="BI511">
        <v>4.1423190866819302E-2</v>
      </c>
      <c r="BJ511">
        <v>0</v>
      </c>
    </row>
    <row r="512" spans="1:62" x14ac:dyDescent="0.3">
      <c r="A512" s="2" t="s">
        <v>366</v>
      </c>
      <c r="B512" s="18" t="s">
        <v>1065</v>
      </c>
      <c r="C512" s="13"/>
      <c r="F512" s="2">
        <v>3.58</v>
      </c>
      <c r="G512" s="2" t="s">
        <v>432</v>
      </c>
      <c r="H512" s="9">
        <v>-1</v>
      </c>
      <c r="I512">
        <v>-1</v>
      </c>
      <c r="J512"/>
      <c r="K512" s="2">
        <v>1</v>
      </c>
      <c r="L512" s="25">
        <v>0</v>
      </c>
      <c r="M512">
        <v>0</v>
      </c>
      <c r="N512">
        <v>0</v>
      </c>
      <c r="O512" s="2">
        <v>3.8614999999999999</v>
      </c>
      <c r="P512" s="2">
        <v>3.8614999999999999</v>
      </c>
      <c r="Q512" s="2">
        <v>25.281600000000001</v>
      </c>
      <c r="R512" s="2" t="s">
        <v>1137</v>
      </c>
      <c r="T512" s="25">
        <v>0</v>
      </c>
      <c r="U512"/>
      <c r="V512"/>
      <c r="W512">
        <v>0</v>
      </c>
      <c r="X512"/>
      <c r="Y512"/>
      <c r="Z512">
        <v>0</v>
      </c>
      <c r="AA512"/>
      <c r="AB512"/>
      <c r="AD512">
        <v>20</v>
      </c>
      <c r="AE512" s="55">
        <f t="shared" si="30"/>
        <v>376.97854517159999</v>
      </c>
      <c r="AF512" s="57">
        <v>0</v>
      </c>
      <c r="AG512" s="55">
        <v>0</v>
      </c>
      <c r="AH512" s="55">
        <v>0</v>
      </c>
      <c r="AI512" s="52">
        <f t="shared" si="31"/>
        <v>5.3053417113952825E-2</v>
      </c>
      <c r="AJ512" s="52"/>
      <c r="AK512" s="52"/>
      <c r="AL512" s="52"/>
      <c r="AM512" s="28">
        <v>1.53125</v>
      </c>
      <c r="AN512" s="28">
        <v>1.59375</v>
      </c>
      <c r="AO512" s="28">
        <v>0.375</v>
      </c>
      <c r="AP512" s="28">
        <v>0</v>
      </c>
      <c r="AQ512" s="28">
        <v>0.4375</v>
      </c>
      <c r="AR512" s="28">
        <v>0.45535714285714279</v>
      </c>
      <c r="AS512" s="28">
        <v>0.1071428571428571</v>
      </c>
      <c r="AT512" s="28">
        <v>0</v>
      </c>
      <c r="AU512" s="25">
        <v>1</v>
      </c>
      <c r="AV512" s="25">
        <v>3.44</v>
      </c>
      <c r="AW512" s="25">
        <v>2.44</v>
      </c>
      <c r="AX512" s="25">
        <v>2.5262500000000001</v>
      </c>
      <c r="AY512">
        <v>2.5262500000000001</v>
      </c>
      <c r="AZ512">
        <v>6.6075924153816246</v>
      </c>
      <c r="BD512">
        <v>2.6526708556976409E-2</v>
      </c>
      <c r="BH512">
        <v>5.3053417113952818E-2</v>
      </c>
      <c r="BI512">
        <v>2.6526708556976409E-2</v>
      </c>
      <c r="BJ512">
        <v>0</v>
      </c>
    </row>
    <row r="513" spans="1:62" x14ac:dyDescent="0.3">
      <c r="A513" s="2" t="s">
        <v>368</v>
      </c>
      <c r="B513" s="18" t="s">
        <v>1066</v>
      </c>
      <c r="C513" s="13"/>
      <c r="F513" s="2">
        <v>3.52</v>
      </c>
      <c r="G513" s="2" t="s">
        <v>432</v>
      </c>
      <c r="H513" s="9">
        <v>-1</v>
      </c>
      <c r="I513">
        <v>-1</v>
      </c>
      <c r="J513"/>
      <c r="K513" s="2">
        <v>1</v>
      </c>
      <c r="L513" s="25">
        <v>0</v>
      </c>
      <c r="M513">
        <v>0</v>
      </c>
      <c r="N513">
        <v>0</v>
      </c>
      <c r="O513" s="2">
        <v>3.8675999999999999</v>
      </c>
      <c r="P513" s="2">
        <v>3.8675999999999999</v>
      </c>
      <c r="Q513" s="2">
        <v>34.564999999999998</v>
      </c>
      <c r="R513" s="2" t="s">
        <v>1139</v>
      </c>
      <c r="T513" s="25">
        <v>0</v>
      </c>
      <c r="U513"/>
      <c r="V513"/>
      <c r="W513">
        <v>0</v>
      </c>
      <c r="X513"/>
      <c r="Y513"/>
      <c r="Z513">
        <v>0</v>
      </c>
      <c r="AA513"/>
      <c r="AB513"/>
      <c r="AD513">
        <v>20</v>
      </c>
      <c r="AE513" s="55">
        <f t="shared" si="30"/>
        <v>517.03466815439992</v>
      </c>
      <c r="AF513" s="57">
        <v>0</v>
      </c>
      <c r="AG513" s="55">
        <v>0</v>
      </c>
      <c r="AH513" s="55">
        <v>0</v>
      </c>
      <c r="AI513" s="52">
        <f t="shared" si="31"/>
        <v>3.8682125652022011E-2</v>
      </c>
      <c r="AJ513" s="52"/>
      <c r="AK513" s="52"/>
      <c r="AL513" s="52"/>
      <c r="AM513" s="28">
        <v>1.4772727272727271</v>
      </c>
      <c r="AN513" s="28">
        <v>1.3409090909090911</v>
      </c>
      <c r="AO513" s="28">
        <v>0.27272727272727271</v>
      </c>
      <c r="AP513" s="28">
        <v>0</v>
      </c>
      <c r="AQ513" s="28">
        <v>0.47794117647058831</v>
      </c>
      <c r="AR513" s="28">
        <v>0.43382352941176472</v>
      </c>
      <c r="AS513" s="28">
        <v>8.8235294117647051E-2</v>
      </c>
      <c r="AT513" s="28">
        <v>0</v>
      </c>
      <c r="AU513" s="25">
        <v>1</v>
      </c>
      <c r="AV513" s="25">
        <v>3.44</v>
      </c>
      <c r="AW513" s="25">
        <v>2.44</v>
      </c>
      <c r="AX513" s="25">
        <v>2.4690909090909088</v>
      </c>
      <c r="AY513">
        <v>2.4690909090909088</v>
      </c>
      <c r="AZ513">
        <v>6.679542975341362</v>
      </c>
      <c r="BD513">
        <v>1.9341062826011009E-2</v>
      </c>
      <c r="BH513">
        <v>3.8682125652022011E-2</v>
      </c>
      <c r="BI513">
        <v>1.9341062826011009E-2</v>
      </c>
      <c r="BJ513">
        <v>0</v>
      </c>
    </row>
    <row r="514" spans="1:62" x14ac:dyDescent="0.3">
      <c r="A514" s="2" t="s">
        <v>427</v>
      </c>
      <c r="B514" s="18" t="s">
        <v>1064</v>
      </c>
      <c r="C514" s="13"/>
      <c r="D514" s="2" t="s">
        <v>863</v>
      </c>
      <c r="E514" s="2">
        <v>1</v>
      </c>
      <c r="F514" s="2">
        <v>3.57</v>
      </c>
      <c r="G514" s="2" t="s">
        <v>432</v>
      </c>
      <c r="H514" s="9">
        <v>-1</v>
      </c>
      <c r="I514">
        <v>-1</v>
      </c>
      <c r="J514"/>
      <c r="K514" s="2">
        <v>2</v>
      </c>
      <c r="L514" s="25">
        <v>0</v>
      </c>
      <c r="M514">
        <v>0</v>
      </c>
      <c r="N514">
        <v>0</v>
      </c>
      <c r="O514" s="2">
        <v>3.8532999999999999</v>
      </c>
      <c r="P514" s="2">
        <v>3.8532999999999999</v>
      </c>
      <c r="Q514" s="2">
        <v>31.7422</v>
      </c>
      <c r="R514" s="2" t="s">
        <v>1138</v>
      </c>
      <c r="T514" s="25">
        <v>0</v>
      </c>
      <c r="U514"/>
      <c r="V514"/>
      <c r="W514">
        <v>0</v>
      </c>
      <c r="X514"/>
      <c r="Y514"/>
      <c r="Z514">
        <v>0</v>
      </c>
      <c r="AA514"/>
      <c r="AB514"/>
      <c r="AD514">
        <v>20</v>
      </c>
      <c r="AE514" s="55">
        <f t="shared" si="30"/>
        <v>471.30567447455797</v>
      </c>
      <c r="AF514" s="57">
        <v>0</v>
      </c>
      <c r="AG514" s="55">
        <v>0</v>
      </c>
      <c r="AH514" s="55">
        <v>0</v>
      </c>
      <c r="AI514" s="52">
        <f t="shared" si="31"/>
        <v>8.4870609810914294E-2</v>
      </c>
      <c r="AJ514" s="52"/>
      <c r="AK514" s="52"/>
      <c r="AL514" s="52"/>
      <c r="AM514" s="28">
        <v>1.6086956521739131</v>
      </c>
      <c r="AN514" s="28">
        <v>1.956521739130435</v>
      </c>
      <c r="AO514" s="28">
        <v>0.52173913043478259</v>
      </c>
      <c r="AP514" s="28">
        <v>0</v>
      </c>
      <c r="AQ514" s="28">
        <v>0.3936170212765957</v>
      </c>
      <c r="AR514" s="28">
        <v>0.47872340425531912</v>
      </c>
      <c r="AS514" s="28">
        <v>0.1276595744680851</v>
      </c>
      <c r="AT514" s="28">
        <v>0</v>
      </c>
      <c r="AU514" s="25">
        <v>1</v>
      </c>
      <c r="AV514" s="25">
        <v>3.44</v>
      </c>
      <c r="AW514" s="25">
        <v>2.44</v>
      </c>
      <c r="AX514" s="25">
        <v>2.6082608695652172</v>
      </c>
      <c r="AY514">
        <v>2.6082608695652181</v>
      </c>
      <c r="AZ514">
        <v>6.5043590032654777</v>
      </c>
      <c r="BD514">
        <v>4.2435304905457147E-2</v>
      </c>
      <c r="BH514">
        <v>8.4870609810914294E-2</v>
      </c>
      <c r="BI514">
        <v>4.2435304905457147E-2</v>
      </c>
      <c r="BJ514">
        <v>0</v>
      </c>
    </row>
    <row r="515" spans="1:62" x14ac:dyDescent="0.3">
      <c r="A515" s="2" t="s">
        <v>428</v>
      </c>
      <c r="B515" s="18" t="s">
        <v>1065</v>
      </c>
      <c r="C515" s="13"/>
      <c r="D515" s="2" t="s">
        <v>863</v>
      </c>
      <c r="E515" s="2">
        <v>1</v>
      </c>
      <c r="F515" s="2">
        <v>3.52</v>
      </c>
      <c r="G515" s="2" t="s">
        <v>432</v>
      </c>
      <c r="H515" s="9">
        <v>-1</v>
      </c>
      <c r="I515">
        <v>-1</v>
      </c>
      <c r="J515"/>
      <c r="K515" s="2">
        <v>1</v>
      </c>
      <c r="L515" s="25">
        <v>0</v>
      </c>
      <c r="M515">
        <v>0</v>
      </c>
      <c r="N515">
        <v>0</v>
      </c>
      <c r="O515" s="2">
        <v>3.8580000000000001</v>
      </c>
      <c r="P515" s="2">
        <v>3.8580000000000001</v>
      </c>
      <c r="Q515" s="2">
        <v>23.879799999999999</v>
      </c>
      <c r="R515" s="2" t="s">
        <v>1137</v>
      </c>
      <c r="T515" s="25">
        <v>0</v>
      </c>
      <c r="U515"/>
      <c r="V515"/>
      <c r="W515">
        <v>0</v>
      </c>
      <c r="X515"/>
      <c r="Y515"/>
      <c r="Z515">
        <v>0</v>
      </c>
      <c r="AA515"/>
      <c r="AB515"/>
      <c r="AD515">
        <v>20</v>
      </c>
      <c r="AE515" s="55">
        <f t="shared" ref="AE515:AE524" si="32">O515*P515*Q515</f>
        <v>355.4308594872</v>
      </c>
      <c r="AF515" s="57">
        <v>0</v>
      </c>
      <c r="AG515" s="55">
        <v>0</v>
      </c>
      <c r="AH515" s="55">
        <v>0</v>
      </c>
      <c r="AI515" s="52">
        <f t="shared" si="31"/>
        <v>5.6269734228634849E-2</v>
      </c>
      <c r="AJ515" s="52"/>
      <c r="AK515" s="52"/>
      <c r="AL515" s="52"/>
      <c r="AM515" s="28">
        <v>1.53125</v>
      </c>
      <c r="AN515" s="28">
        <v>1.59375</v>
      </c>
      <c r="AO515" s="28">
        <v>0.375</v>
      </c>
      <c r="AP515" s="28">
        <v>0</v>
      </c>
      <c r="AQ515" s="28">
        <v>0.4375</v>
      </c>
      <c r="AR515" s="28">
        <v>0.45535714285714279</v>
      </c>
      <c r="AS515" s="28">
        <v>0.1071428571428571</v>
      </c>
      <c r="AT515" s="28">
        <v>0</v>
      </c>
      <c r="AU515" s="25">
        <v>1</v>
      </c>
      <c r="AV515" s="25">
        <v>3.44</v>
      </c>
      <c r="AW515" s="25">
        <v>2.44</v>
      </c>
      <c r="AX515" s="25">
        <v>2.5262500000000001</v>
      </c>
      <c r="AY515">
        <v>2.5262500000000001</v>
      </c>
      <c r="AZ515">
        <v>6.6075924153816246</v>
      </c>
      <c r="BD515">
        <v>2.8134867114317421E-2</v>
      </c>
      <c r="BH515">
        <v>5.6269734228634849E-2</v>
      </c>
      <c r="BI515">
        <v>2.8134867114317421E-2</v>
      </c>
      <c r="BJ515">
        <v>0</v>
      </c>
    </row>
    <row r="516" spans="1:62" x14ac:dyDescent="0.3">
      <c r="A516" s="2" t="s">
        <v>429</v>
      </c>
      <c r="B516" s="18" t="s">
        <v>1066</v>
      </c>
      <c r="C516" s="13"/>
      <c r="D516" s="2" t="s">
        <v>863</v>
      </c>
      <c r="E516" s="2">
        <v>1</v>
      </c>
      <c r="F516" s="2">
        <v>3.59</v>
      </c>
      <c r="G516" s="2" t="s">
        <v>432</v>
      </c>
      <c r="H516" s="9">
        <v>-1</v>
      </c>
      <c r="I516">
        <v>-1</v>
      </c>
      <c r="J516"/>
      <c r="K516" s="2">
        <v>1</v>
      </c>
      <c r="L516" s="25">
        <v>0</v>
      </c>
      <c r="M516">
        <v>0</v>
      </c>
      <c r="N516">
        <v>0</v>
      </c>
      <c r="O516" s="2">
        <v>3.8639000000000001</v>
      </c>
      <c r="P516" s="2">
        <v>3.8639000000000001</v>
      </c>
      <c r="Q516" s="2">
        <v>34.090000000000003</v>
      </c>
      <c r="R516" s="2" t="s">
        <v>1138</v>
      </c>
      <c r="T516" s="25">
        <v>0</v>
      </c>
      <c r="U516"/>
      <c r="V516"/>
      <c r="W516">
        <v>0</v>
      </c>
      <c r="X516"/>
      <c r="Y516"/>
      <c r="Z516">
        <v>0</v>
      </c>
      <c r="AA516"/>
      <c r="AB516"/>
      <c r="AD516">
        <v>20</v>
      </c>
      <c r="AE516" s="55">
        <f t="shared" si="32"/>
        <v>508.95426422890006</v>
      </c>
      <c r="AF516" s="57">
        <v>0</v>
      </c>
      <c r="AG516" s="55">
        <v>0</v>
      </c>
      <c r="AH516" s="55">
        <v>0</v>
      </c>
      <c r="AI516" s="52">
        <f t="shared" si="31"/>
        <v>3.9296261777669442E-2</v>
      </c>
      <c r="AJ516" s="52"/>
      <c r="AK516" s="52"/>
      <c r="AL516" s="52"/>
      <c r="AM516" s="28">
        <v>1.4772727272727271</v>
      </c>
      <c r="AN516" s="28">
        <v>1.3409090909090911</v>
      </c>
      <c r="AO516" s="28">
        <v>0.27272727272727271</v>
      </c>
      <c r="AP516" s="28">
        <v>0</v>
      </c>
      <c r="AQ516" s="28">
        <v>0.47794117647058831</v>
      </c>
      <c r="AR516" s="28">
        <v>0.43382352941176472</v>
      </c>
      <c r="AS516" s="28">
        <v>8.8235294117647051E-2</v>
      </c>
      <c r="AT516" s="28">
        <v>0</v>
      </c>
      <c r="AU516" s="25">
        <v>1</v>
      </c>
      <c r="AV516" s="25">
        <v>3.44</v>
      </c>
      <c r="AW516" s="25">
        <v>2.44</v>
      </c>
      <c r="AX516" s="25">
        <v>2.4690909090909088</v>
      </c>
      <c r="AY516">
        <v>2.4690909090909088</v>
      </c>
      <c r="AZ516">
        <v>6.679542975341362</v>
      </c>
      <c r="BD516">
        <v>1.9648130888834721E-2</v>
      </c>
      <c r="BH516">
        <v>3.9296261777669442E-2</v>
      </c>
      <c r="BI516">
        <v>1.9648130888834721E-2</v>
      </c>
      <c r="BJ516">
        <v>0</v>
      </c>
    </row>
    <row r="517" spans="1:62" x14ac:dyDescent="0.3">
      <c r="A517" s="2" t="s">
        <v>430</v>
      </c>
      <c r="B517" s="18" t="s">
        <v>1064</v>
      </c>
      <c r="C517" s="13"/>
      <c r="D517" s="2" t="s">
        <v>863</v>
      </c>
      <c r="E517" s="2">
        <v>1</v>
      </c>
      <c r="F517" s="2">
        <v>3.57</v>
      </c>
      <c r="G517" s="2" t="s">
        <v>432</v>
      </c>
      <c r="H517" s="9">
        <v>-1</v>
      </c>
      <c r="I517">
        <v>-1</v>
      </c>
      <c r="J517"/>
      <c r="K517" s="2">
        <v>1</v>
      </c>
      <c r="L517" s="25">
        <v>0</v>
      </c>
      <c r="M517">
        <v>0</v>
      </c>
      <c r="N517">
        <v>0</v>
      </c>
      <c r="O517" s="2">
        <v>3.8664000000000001</v>
      </c>
      <c r="P517" s="2">
        <v>3.8664000000000001</v>
      </c>
      <c r="Q517" s="2">
        <v>16.116399999999999</v>
      </c>
      <c r="R517" s="2" t="s">
        <v>1137</v>
      </c>
      <c r="T517" s="25">
        <v>0</v>
      </c>
      <c r="U517"/>
      <c r="V517"/>
      <c r="W517">
        <v>0</v>
      </c>
      <c r="X517"/>
      <c r="Y517"/>
      <c r="Z517">
        <v>0</v>
      </c>
      <c r="AA517"/>
      <c r="AB517"/>
      <c r="AD517">
        <v>20</v>
      </c>
      <c r="AE517" s="55">
        <f t="shared" si="32"/>
        <v>240.92485265894399</v>
      </c>
      <c r="AF517" s="57">
        <v>0</v>
      </c>
      <c r="AG517" s="55">
        <v>0</v>
      </c>
      <c r="AH517" s="55">
        <v>0</v>
      </c>
      <c r="AI517" s="52">
        <f t="shared" si="31"/>
        <v>8.3013436676506888E-2</v>
      </c>
      <c r="AJ517" s="52"/>
      <c r="AK517" s="52"/>
      <c r="AL517" s="52"/>
      <c r="AM517" s="28">
        <v>1.6086956521739131</v>
      </c>
      <c r="AN517" s="28">
        <v>1.956521739130435</v>
      </c>
      <c r="AO517" s="28">
        <v>0.52173913043478259</v>
      </c>
      <c r="AP517" s="28">
        <v>0</v>
      </c>
      <c r="AQ517" s="28">
        <v>0.3936170212765957</v>
      </c>
      <c r="AR517" s="28">
        <v>0.47872340425531912</v>
      </c>
      <c r="AS517" s="28">
        <v>0.1276595744680851</v>
      </c>
      <c r="AT517" s="28">
        <v>0</v>
      </c>
      <c r="AU517" s="25">
        <v>1</v>
      </c>
      <c r="AV517" s="25">
        <v>3.44</v>
      </c>
      <c r="AW517" s="25">
        <v>2.44</v>
      </c>
      <c r="AX517" s="25">
        <v>2.6082608695652172</v>
      </c>
      <c r="AY517">
        <v>2.6082608695652181</v>
      </c>
      <c r="AZ517">
        <v>6.5043590032654777</v>
      </c>
      <c r="BD517">
        <v>4.1506718338253437E-2</v>
      </c>
      <c r="BH517">
        <v>8.3013436676506888E-2</v>
      </c>
      <c r="BI517">
        <v>4.1506718338253437E-2</v>
      </c>
      <c r="BJ517">
        <v>0</v>
      </c>
    </row>
    <row r="518" spans="1:62" x14ac:dyDescent="0.3">
      <c r="A518" s="2" t="s">
        <v>431</v>
      </c>
      <c r="B518" s="18" t="s">
        <v>1065</v>
      </c>
      <c r="C518" s="13"/>
      <c r="D518" s="2" t="s">
        <v>863</v>
      </c>
      <c r="E518" s="2">
        <v>1</v>
      </c>
      <c r="F518" s="2">
        <v>3.57</v>
      </c>
      <c r="G518" s="2" t="s">
        <v>432</v>
      </c>
      <c r="H518" s="9">
        <v>-1</v>
      </c>
      <c r="I518">
        <v>-1</v>
      </c>
      <c r="J518"/>
      <c r="K518" s="2">
        <v>2</v>
      </c>
      <c r="L518" s="25">
        <v>0</v>
      </c>
      <c r="M518">
        <v>0</v>
      </c>
      <c r="N518">
        <v>0</v>
      </c>
      <c r="O518" s="2">
        <v>3.8982000000000001</v>
      </c>
      <c r="P518" s="2">
        <v>3.8982000000000001</v>
      </c>
      <c r="Q518" s="2">
        <v>51.103099999999998</v>
      </c>
      <c r="R518" s="2" t="s">
        <v>1140</v>
      </c>
      <c r="T518" s="25">
        <v>0</v>
      </c>
      <c r="U518"/>
      <c r="V518"/>
      <c r="W518">
        <v>0</v>
      </c>
      <c r="X518"/>
      <c r="Y518"/>
      <c r="Z518">
        <v>0</v>
      </c>
      <c r="AA518"/>
      <c r="AB518"/>
      <c r="AD518">
        <v>20</v>
      </c>
      <c r="AE518" s="55">
        <f t="shared" si="32"/>
        <v>776.56082905004405</v>
      </c>
      <c r="AF518" s="57">
        <v>0</v>
      </c>
      <c r="AG518" s="55">
        <v>0</v>
      </c>
      <c r="AH518" s="55">
        <v>0</v>
      </c>
      <c r="AI518" s="52">
        <f t="shared" si="31"/>
        <v>5.150916515958117E-2</v>
      </c>
      <c r="AJ518" s="52"/>
      <c r="AK518" s="52"/>
      <c r="AL518" s="52"/>
      <c r="AM518" s="28">
        <v>1.53125</v>
      </c>
      <c r="AN518" s="28">
        <v>1.59375</v>
      </c>
      <c r="AO518" s="28">
        <v>0.375</v>
      </c>
      <c r="AP518" s="28">
        <v>0</v>
      </c>
      <c r="AQ518" s="28">
        <v>0.4375</v>
      </c>
      <c r="AR518" s="28">
        <v>0.45535714285714279</v>
      </c>
      <c r="AS518" s="28">
        <v>0.1071428571428571</v>
      </c>
      <c r="AT518" s="28">
        <v>0</v>
      </c>
      <c r="AU518" s="25">
        <v>1</v>
      </c>
      <c r="AV518" s="25">
        <v>3.44</v>
      </c>
      <c r="AW518" s="25">
        <v>2.44</v>
      </c>
      <c r="AX518" s="25">
        <v>2.5262500000000001</v>
      </c>
      <c r="AY518">
        <v>2.5262500000000001</v>
      </c>
      <c r="AZ518">
        <v>6.6075924153816246</v>
      </c>
      <c r="BD518">
        <v>2.5754582579790589E-2</v>
      </c>
      <c r="BH518">
        <v>5.150916515958117E-2</v>
      </c>
      <c r="BI518">
        <v>2.5754582579790589E-2</v>
      </c>
      <c r="BJ518">
        <v>0</v>
      </c>
    </row>
    <row r="519" spans="1:62" x14ac:dyDescent="0.3">
      <c r="A519" s="2" t="s">
        <v>107</v>
      </c>
      <c r="B519" s="18" t="s">
        <v>1066</v>
      </c>
      <c r="C519" s="13"/>
      <c r="D519" s="2" t="s">
        <v>863</v>
      </c>
      <c r="E519" s="2">
        <v>1</v>
      </c>
      <c r="F519" s="2">
        <v>3.61</v>
      </c>
      <c r="G519" s="2" t="s">
        <v>432</v>
      </c>
      <c r="H519" s="9">
        <v>-1</v>
      </c>
      <c r="I519">
        <v>-1</v>
      </c>
      <c r="J519"/>
      <c r="K519" s="2">
        <v>2</v>
      </c>
      <c r="L519" s="25">
        <v>0</v>
      </c>
      <c r="M519">
        <v>0</v>
      </c>
      <c r="N519">
        <v>0</v>
      </c>
      <c r="O519" s="2">
        <v>3.8875000000000002</v>
      </c>
      <c r="P519" s="2">
        <v>3.8875000000000002</v>
      </c>
      <c r="Q519" s="2">
        <v>34.478000000000002</v>
      </c>
      <c r="R519" s="2" t="s">
        <v>451</v>
      </c>
      <c r="S519"/>
      <c r="T519"/>
      <c r="U519"/>
      <c r="V519"/>
      <c r="W519">
        <v>0</v>
      </c>
      <c r="X519"/>
      <c r="Y519"/>
      <c r="Z519">
        <v>0</v>
      </c>
      <c r="AA519"/>
      <c r="AB519"/>
      <c r="AD519">
        <v>20</v>
      </c>
      <c r="AE519" s="55">
        <f t="shared" si="32"/>
        <v>521.05416218750008</v>
      </c>
      <c r="AF519" s="57">
        <v>0</v>
      </c>
      <c r="AG519" s="55">
        <v>0</v>
      </c>
      <c r="AH519" s="55">
        <v>0</v>
      </c>
      <c r="AI519" s="52">
        <f t="shared" si="31"/>
        <v>7.6767451260865469E-2</v>
      </c>
      <c r="AJ519" s="52"/>
      <c r="AK519" s="52"/>
      <c r="AL519" s="52"/>
      <c r="AM519" s="28">
        <v>1.4772727272727271</v>
      </c>
      <c r="AN519" s="28">
        <v>1.3409090909090911</v>
      </c>
      <c r="AO519" s="28">
        <v>0.27272727272727271</v>
      </c>
      <c r="AP519" s="28">
        <v>0</v>
      </c>
      <c r="AQ519" s="28">
        <v>0.47794117647058831</v>
      </c>
      <c r="AR519" s="28">
        <v>0.43382352941176472</v>
      </c>
      <c r="AS519" s="28">
        <v>8.8235294117647051E-2</v>
      </c>
      <c r="AT519" s="28">
        <v>0</v>
      </c>
      <c r="AU519" s="25">
        <v>1</v>
      </c>
      <c r="AV519" s="25">
        <v>3.44</v>
      </c>
      <c r="AW519" s="25">
        <v>2.44</v>
      </c>
      <c r="AX519" s="25">
        <v>2.4690909090909088</v>
      </c>
      <c r="AY519">
        <v>2.4690909090909088</v>
      </c>
      <c r="AZ519">
        <v>6.679542975341362</v>
      </c>
      <c r="BD519">
        <v>3.8383725630432727E-2</v>
      </c>
      <c r="BH519">
        <v>7.6767451260865469E-2</v>
      </c>
      <c r="BI519">
        <v>3.8383725630432727E-2</v>
      </c>
      <c r="BJ519">
        <v>0</v>
      </c>
    </row>
    <row r="520" spans="1:62" x14ac:dyDescent="0.3">
      <c r="A520" s="2" t="s">
        <v>4</v>
      </c>
      <c r="B520" s="13" t="s">
        <v>689</v>
      </c>
      <c r="C520" s="13"/>
      <c r="D520"/>
      <c r="E520"/>
      <c r="F520" s="2">
        <v>3.5</v>
      </c>
      <c r="G520" s="4"/>
      <c r="H520" s="9"/>
      <c r="I520"/>
      <c r="J520"/>
      <c r="K520" s="2">
        <v>2</v>
      </c>
      <c r="L520"/>
      <c r="M520">
        <v>0</v>
      </c>
      <c r="N520">
        <v>0</v>
      </c>
      <c r="O520">
        <v>3.86</v>
      </c>
      <c r="P520">
        <v>3.86</v>
      </c>
      <c r="Q520" s="2">
        <v>29.5</v>
      </c>
      <c r="R520"/>
      <c r="S520"/>
      <c r="T520"/>
      <c r="U520"/>
      <c r="V520"/>
      <c r="W520">
        <v>0</v>
      </c>
      <c r="X520"/>
      <c r="Y520"/>
      <c r="Z520">
        <v>0</v>
      </c>
      <c r="AA520"/>
      <c r="AB520"/>
      <c r="AC520"/>
      <c r="AD520">
        <v>20</v>
      </c>
      <c r="AE520" s="55">
        <f t="shared" si="32"/>
        <v>439.53819999999996</v>
      </c>
      <c r="AF520" s="55"/>
      <c r="AG520" s="55">
        <v>0</v>
      </c>
      <c r="AH520" s="55">
        <v>0</v>
      </c>
      <c r="AI520" s="52">
        <f t="shared" si="31"/>
        <v>9.1004604377958515E-2</v>
      </c>
      <c r="AJ520" s="52"/>
      <c r="AK520" s="52"/>
      <c r="AL520" s="52"/>
      <c r="AM520" s="28"/>
      <c r="AN520" s="28"/>
      <c r="AO520" s="28"/>
      <c r="AP520" s="28"/>
      <c r="AQ520" s="28"/>
      <c r="AR520" s="28"/>
      <c r="AS520" s="28"/>
      <c r="AT520" s="28"/>
      <c r="AU520"/>
      <c r="AV520"/>
      <c r="AW520"/>
      <c r="AX520"/>
      <c r="AY520"/>
      <c r="AZ520"/>
      <c r="BD520">
        <v>4.5502302188979257E-2</v>
      </c>
      <c r="BH520">
        <v>9.1004604377958515E-2</v>
      </c>
      <c r="BI520">
        <v>4.5502302188979257E-2</v>
      </c>
      <c r="BJ520">
        <v>0</v>
      </c>
    </row>
    <row r="521" spans="1:62" x14ac:dyDescent="0.3">
      <c r="A521" s="2" t="s">
        <v>1177</v>
      </c>
      <c r="B521" t="s">
        <v>1245</v>
      </c>
      <c r="C521"/>
      <c r="D521"/>
      <c r="E521"/>
      <c r="F521" s="2">
        <v>3.6</v>
      </c>
      <c r="G521"/>
      <c r="H521"/>
      <c r="I521"/>
      <c r="J521"/>
      <c r="K521" s="2">
        <v>2</v>
      </c>
      <c r="L521"/>
      <c r="M521">
        <v>4</v>
      </c>
      <c r="N521">
        <v>0</v>
      </c>
      <c r="O521">
        <v>3.85</v>
      </c>
      <c r="P521">
        <v>3.85</v>
      </c>
      <c r="Q521" s="2">
        <v>29.5</v>
      </c>
      <c r="R521"/>
      <c r="S521"/>
      <c r="T521"/>
      <c r="U521"/>
      <c r="V521"/>
      <c r="W521">
        <v>3.8801999999999999</v>
      </c>
      <c r="X521">
        <v>29.507999999999999</v>
      </c>
      <c r="Y521">
        <v>7.7140000000000004</v>
      </c>
      <c r="Z521">
        <v>0</v>
      </c>
      <c r="AA521"/>
      <c r="AB521"/>
      <c r="AC521"/>
      <c r="AD521">
        <v>20</v>
      </c>
      <c r="AE521" s="55">
        <f t="shared" si="32"/>
        <v>437.26375000000007</v>
      </c>
      <c r="AF521" s="55"/>
      <c r="AG521" s="55">
        <v>883.22940750240002</v>
      </c>
      <c r="AH521" s="55">
        <v>0</v>
      </c>
      <c r="AI521" s="52">
        <f t="shared" si="31"/>
        <v>9.1477969532118758E-2</v>
      </c>
      <c r="AJ521" s="52"/>
      <c r="AK521" s="52">
        <v>9.0576694254581439E-2</v>
      </c>
      <c r="AL521" s="52"/>
      <c r="AM521" s="28"/>
      <c r="AN521" s="28"/>
      <c r="AO521" s="28"/>
      <c r="AP521" s="28"/>
      <c r="AQ521" s="28"/>
      <c r="AR521" s="28"/>
      <c r="AS521" s="28"/>
      <c r="AT521" s="28"/>
      <c r="AU521"/>
      <c r="AV521"/>
      <c r="AW521"/>
      <c r="AX521"/>
      <c r="AY521"/>
      <c r="AZ521"/>
      <c r="BD521">
        <v>4.5738984766059379E-2</v>
      </c>
      <c r="BF521">
        <v>4.5288347127290719E-2</v>
      </c>
      <c r="BH521">
        <v>9.1027331893350105E-2</v>
      </c>
      <c r="BI521">
        <v>4.5513665946675053E-2</v>
      </c>
      <c r="BJ521">
        <v>0</v>
      </c>
    </row>
    <row r="522" spans="1:62" x14ac:dyDescent="0.3">
      <c r="A522" s="2" t="s">
        <v>1178</v>
      </c>
      <c r="B522" t="s">
        <v>1246</v>
      </c>
      <c r="C522"/>
      <c r="D522"/>
      <c r="E522"/>
      <c r="F522" s="2">
        <v>3.8</v>
      </c>
      <c r="G522"/>
      <c r="H522"/>
      <c r="I522"/>
      <c r="J522"/>
      <c r="K522" s="2">
        <v>2</v>
      </c>
      <c r="L522"/>
      <c r="M522">
        <v>0</v>
      </c>
      <c r="N522">
        <v>0</v>
      </c>
      <c r="O522">
        <v>3.88</v>
      </c>
      <c r="P522">
        <v>3.88</v>
      </c>
      <c r="Q522" s="2">
        <v>29.8</v>
      </c>
      <c r="R522"/>
      <c r="S522"/>
      <c r="T522"/>
      <c r="U522"/>
      <c r="V522"/>
      <c r="W522">
        <v>0</v>
      </c>
      <c r="X522"/>
      <c r="Y522"/>
      <c r="Z522">
        <v>0</v>
      </c>
      <c r="AA522"/>
      <c r="AB522"/>
      <c r="AC522"/>
      <c r="AD522">
        <v>20</v>
      </c>
      <c r="AE522" s="55">
        <f t="shared" si="32"/>
        <v>448.62112000000002</v>
      </c>
      <c r="AF522" s="55"/>
      <c r="AG522" s="55">
        <v>0</v>
      </c>
      <c r="AH522" s="55">
        <v>0</v>
      </c>
      <c r="AI522" s="52">
        <f t="shared" si="31"/>
        <v>8.9162097406381577E-2</v>
      </c>
      <c r="AJ522" s="52"/>
      <c r="AK522" s="52"/>
      <c r="AL522" s="52"/>
      <c r="AM522" s="28"/>
      <c r="AN522" s="28"/>
      <c r="AO522" s="28"/>
      <c r="AP522" s="28"/>
      <c r="AQ522" s="28"/>
      <c r="AR522" s="28"/>
      <c r="AS522" s="28"/>
      <c r="AT522" s="28"/>
      <c r="AU522"/>
      <c r="AV522"/>
      <c r="AW522"/>
      <c r="AX522"/>
      <c r="AY522"/>
      <c r="AZ522"/>
      <c r="BD522">
        <v>4.4581048703190788E-2</v>
      </c>
      <c r="BH522">
        <v>8.9162097406381577E-2</v>
      </c>
      <c r="BI522">
        <v>4.4581048703190788E-2</v>
      </c>
      <c r="BJ522">
        <v>0</v>
      </c>
    </row>
    <row r="523" spans="1:62" x14ac:dyDescent="0.3">
      <c r="A523" s="2" t="s">
        <v>308</v>
      </c>
      <c r="B523" t="s">
        <v>830</v>
      </c>
      <c r="C523"/>
      <c r="D523"/>
      <c r="E523"/>
      <c r="F523" s="2">
        <v>4.2</v>
      </c>
      <c r="G523"/>
      <c r="H523"/>
      <c r="I523"/>
      <c r="J523"/>
      <c r="K523" s="2">
        <v>2</v>
      </c>
      <c r="L523"/>
      <c r="M523">
        <v>0</v>
      </c>
      <c r="N523">
        <v>0</v>
      </c>
      <c r="O523">
        <v>3.86</v>
      </c>
      <c r="P523">
        <v>3.86</v>
      </c>
      <c r="Q523" s="2">
        <v>29.8</v>
      </c>
      <c r="R523"/>
      <c r="S523"/>
      <c r="T523"/>
      <c r="U523"/>
      <c r="V523"/>
      <c r="W523">
        <v>0</v>
      </c>
      <c r="X523"/>
      <c r="Y523"/>
      <c r="Z523">
        <v>0</v>
      </c>
      <c r="AA523"/>
      <c r="AB523"/>
      <c r="AC523"/>
      <c r="AD523">
        <v>20</v>
      </c>
      <c r="AE523" s="55">
        <f t="shared" si="32"/>
        <v>444.00808000000001</v>
      </c>
      <c r="AF523" s="55"/>
      <c r="AG523" s="55">
        <v>0</v>
      </c>
      <c r="AH523" s="55">
        <v>0</v>
      </c>
      <c r="AI523" s="52">
        <f t="shared" si="31"/>
        <v>9.0088450642609924E-2</v>
      </c>
      <c r="AJ523" s="52"/>
      <c r="AK523" s="52"/>
      <c r="AL523" s="52"/>
      <c r="AM523" s="28"/>
      <c r="AN523" s="28"/>
      <c r="AO523" s="28"/>
      <c r="AP523" s="28"/>
      <c r="AQ523" s="28"/>
      <c r="AR523" s="28"/>
      <c r="AS523" s="28"/>
      <c r="AT523" s="28"/>
      <c r="AU523"/>
      <c r="AV523"/>
      <c r="AW523"/>
      <c r="AX523"/>
      <c r="AY523"/>
      <c r="AZ523"/>
      <c r="BD523">
        <v>4.5044225321304962E-2</v>
      </c>
      <c r="BH523">
        <v>9.0088450642609924E-2</v>
      </c>
      <c r="BI523">
        <v>4.5044225321304962E-2</v>
      </c>
      <c r="BJ523">
        <v>0</v>
      </c>
    </row>
    <row r="524" spans="1:62" x14ac:dyDescent="0.3">
      <c r="A524" s="2" t="s">
        <v>308</v>
      </c>
      <c r="B524" t="s">
        <v>830</v>
      </c>
      <c r="C524"/>
      <c r="D524"/>
      <c r="E524"/>
      <c r="F524" s="2">
        <v>4.2</v>
      </c>
      <c r="G524"/>
      <c r="H524"/>
      <c r="I524"/>
      <c r="J524"/>
      <c r="K524">
        <v>2</v>
      </c>
      <c r="L524"/>
      <c r="M524">
        <v>2</v>
      </c>
      <c r="N524">
        <v>0</v>
      </c>
      <c r="O524">
        <v>3.86</v>
      </c>
      <c r="P524">
        <v>3.86</v>
      </c>
      <c r="Q524" s="2">
        <v>29.8</v>
      </c>
      <c r="R524"/>
      <c r="S524"/>
      <c r="T524"/>
      <c r="U524" s="6"/>
      <c r="V524"/>
      <c r="W524">
        <v>3.8656999999999999</v>
      </c>
      <c r="X524">
        <v>29.777000000000001</v>
      </c>
      <c r="Y524">
        <v>3.8519999999999999</v>
      </c>
      <c r="Z524">
        <v>0</v>
      </c>
      <c r="AA524"/>
      <c r="AB524"/>
      <c r="AC524"/>
      <c r="AD524">
        <v>20</v>
      </c>
      <c r="AE524" s="55">
        <f t="shared" si="32"/>
        <v>444.00808000000001</v>
      </c>
      <c r="AF524" s="55"/>
      <c r="AG524" s="55">
        <v>443.39967116280002</v>
      </c>
      <c r="AH524" s="55">
        <v>0</v>
      </c>
      <c r="AI524" s="52">
        <f t="shared" si="31"/>
        <v>9.0088450642609924E-2</v>
      </c>
      <c r="AJ524" s="52"/>
      <c r="AK524" s="52">
        <v>9.0212065099420147E-2</v>
      </c>
      <c r="AL524" s="52"/>
      <c r="BD524">
        <v>4.5044225321304962E-2</v>
      </c>
      <c r="BF524">
        <v>4.5106032549710073E-2</v>
      </c>
      <c r="BH524">
        <v>9.0150257871015035E-2</v>
      </c>
      <c r="BI524">
        <v>4.5075128935507518E-2</v>
      </c>
      <c r="BJ524">
        <v>0</v>
      </c>
    </row>
    <row r="525" spans="1:62" x14ac:dyDescent="0.3">
      <c r="B525" s="72"/>
    </row>
  </sheetData>
  <hyperlinks>
    <hyperlink ref="G287" r:id="rId1" tooltip="Persistent link using digital object identifier" display="https://doi.org/10.1016/j.pnsc.2012.03.002"/>
    <hyperlink ref="G288" r:id="rId2" tooltip="Persistent link using digital object identifier" display="https://doi.org/10.1016/j.pnsc.2012.03.002"/>
    <hyperlink ref="I6" r:id="rId3" display="https://www.crystallography.net/cod/1544425.htm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22" sqref="B22"/>
    </sheetView>
  </sheetViews>
  <sheetFormatPr defaultRowHeight="14.4" x14ac:dyDescent="0.3"/>
  <cols>
    <col min="1" max="1" width="36.109375" customWidth="1"/>
  </cols>
  <sheetData>
    <row r="1" spans="1:2" x14ac:dyDescent="0.3">
      <c r="A1" s="2" t="s">
        <v>475</v>
      </c>
      <c r="B1">
        <v>102</v>
      </c>
    </row>
    <row r="2" spans="1:2" x14ac:dyDescent="0.3">
      <c r="A2" s="2" t="s">
        <v>474</v>
      </c>
      <c r="B2">
        <v>96</v>
      </c>
    </row>
    <row r="3" spans="1:2" x14ac:dyDescent="0.3">
      <c r="A3" t="s">
        <v>520</v>
      </c>
      <c r="B3">
        <v>85</v>
      </c>
    </row>
    <row r="4" spans="1:2" x14ac:dyDescent="0.3">
      <c r="A4" s="2" t="s">
        <v>476</v>
      </c>
      <c r="B4">
        <v>79</v>
      </c>
    </row>
    <row r="5" spans="1:2" x14ac:dyDescent="0.3">
      <c r="A5" s="2" t="s">
        <v>479</v>
      </c>
      <c r="B5">
        <v>44</v>
      </c>
    </row>
    <row r="6" spans="1:2" x14ac:dyDescent="0.3">
      <c r="A6" s="2" t="s">
        <v>521</v>
      </c>
      <c r="B6">
        <v>43</v>
      </c>
    </row>
    <row r="7" spans="1:2" x14ac:dyDescent="0.3">
      <c r="A7" t="s">
        <v>473</v>
      </c>
      <c r="B7">
        <v>37</v>
      </c>
    </row>
    <row r="8" spans="1:2" x14ac:dyDescent="0.3">
      <c r="A8" s="2" t="s">
        <v>477</v>
      </c>
      <c r="B8">
        <v>17</v>
      </c>
    </row>
    <row r="9" spans="1:2" x14ac:dyDescent="0.3">
      <c r="A9" s="2" t="s">
        <v>478</v>
      </c>
      <c r="B9">
        <v>17</v>
      </c>
    </row>
    <row r="10" spans="1:2" x14ac:dyDescent="0.3">
      <c r="A10" s="2" t="s">
        <v>480</v>
      </c>
      <c r="B10">
        <v>13</v>
      </c>
    </row>
    <row r="11" spans="1:2" x14ac:dyDescent="0.3">
      <c r="A11" s="2"/>
    </row>
    <row r="12" spans="1:2" x14ac:dyDescent="0.3">
      <c r="A12" s="2"/>
    </row>
    <row r="13" spans="1:2" x14ac:dyDescent="0.3">
      <c r="A13" s="2"/>
    </row>
    <row r="14" spans="1:2" x14ac:dyDescent="0.3">
      <c r="A14" s="2"/>
    </row>
  </sheetData>
  <sortState ref="A1:B7">
    <sortCondition descending="1" ref="B7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24"/>
  <sheetViews>
    <sheetView workbookViewId="0">
      <pane ySplit="1" topLeftCell="A2" activePane="bottomLeft" state="frozen"/>
      <selection pane="bottomLeft" activeCell="AA2" sqref="AA2:AA29"/>
    </sheetView>
  </sheetViews>
  <sheetFormatPr defaultRowHeight="14.4" x14ac:dyDescent="0.3"/>
  <cols>
    <col min="1" max="1" width="21.21875" customWidth="1"/>
    <col min="2" max="2" width="20.21875" customWidth="1"/>
    <col min="3" max="3" width="11.6640625" customWidth="1"/>
    <col min="4" max="4" width="5.33203125" customWidth="1"/>
    <col min="5" max="5" width="6.88671875" customWidth="1"/>
    <col min="6" max="6" width="8.77734375" customWidth="1"/>
    <col min="7" max="7" width="27" customWidth="1"/>
    <col min="8" max="8" width="17.6640625" customWidth="1"/>
    <col min="10" max="10" width="11.77734375" customWidth="1"/>
    <col min="11" max="11" width="8.109375" customWidth="1"/>
    <col min="12" max="12" width="6.6640625" customWidth="1"/>
    <col min="13" max="13" width="10.6640625" customWidth="1"/>
    <col min="15" max="15" width="8.88671875" style="1" customWidth="1"/>
    <col min="16" max="16" width="8.88671875" style="3"/>
    <col min="17" max="17" width="8.88671875" style="5"/>
    <col min="23" max="23" width="8.88671875" style="6"/>
    <col min="24" max="24" width="14.6640625" customWidth="1"/>
    <col min="25" max="25" width="30.33203125" customWidth="1"/>
    <col min="26" max="26" width="13.21875" customWidth="1"/>
    <col min="27" max="27" width="19.44140625" customWidth="1"/>
    <col min="28" max="28" width="14.5546875" customWidth="1"/>
    <col min="29" max="29" width="12.88671875" customWidth="1"/>
    <col min="30" max="30" width="11.109375" customWidth="1"/>
    <col min="31" max="31" width="21.88671875" customWidth="1"/>
    <col min="32" max="32" width="16.44140625" customWidth="1"/>
    <col min="38" max="38" width="12" bestFit="1" customWidth="1"/>
    <col min="41" max="41" width="15.5546875" customWidth="1"/>
    <col min="42" max="42" width="11.88671875" customWidth="1"/>
    <col min="43" max="43" width="13.109375" customWidth="1"/>
    <col min="44" max="44" width="21.6640625" style="28" customWidth="1"/>
    <col min="45" max="45" width="25.109375" style="28" customWidth="1"/>
    <col min="46" max="46" width="17.44140625" style="28" customWidth="1"/>
    <col min="47" max="47" width="18.88671875" style="28" customWidth="1"/>
    <col min="48" max="51" width="8.88671875" style="28"/>
    <col min="52" max="52" width="20.33203125" customWidth="1"/>
    <col min="55" max="55" width="20.33203125" customWidth="1"/>
    <col min="56" max="56" width="12.109375" customWidth="1"/>
  </cols>
  <sheetData>
    <row r="1" spans="1:61" x14ac:dyDescent="0.3">
      <c r="A1" s="2" t="s">
        <v>112</v>
      </c>
      <c r="B1" s="14" t="s">
        <v>684</v>
      </c>
      <c r="C1" s="16" t="s">
        <v>892</v>
      </c>
      <c r="D1" s="2" t="s">
        <v>675</v>
      </c>
      <c r="E1" s="2" t="s">
        <v>880</v>
      </c>
      <c r="F1" s="2" t="s">
        <v>113</v>
      </c>
      <c r="G1" s="2" t="s">
        <v>50</v>
      </c>
      <c r="H1" s="10" t="s">
        <v>522</v>
      </c>
      <c r="I1" s="11" t="s">
        <v>605</v>
      </c>
      <c r="J1" s="31" t="s">
        <v>1146</v>
      </c>
      <c r="K1" s="2" t="s">
        <v>514</v>
      </c>
      <c r="L1" s="2" t="s">
        <v>509</v>
      </c>
      <c r="M1" s="19" t="s">
        <v>1096</v>
      </c>
      <c r="N1" s="24" t="s">
        <v>1108</v>
      </c>
      <c r="O1" s="2" t="s">
        <v>467</v>
      </c>
      <c r="P1" s="2" t="s">
        <v>468</v>
      </c>
      <c r="Q1" s="2" t="s">
        <v>469</v>
      </c>
      <c r="R1" s="2" t="s">
        <v>438</v>
      </c>
      <c r="S1" s="30" t="s">
        <v>1132</v>
      </c>
      <c r="T1" s="24" t="s">
        <v>1105</v>
      </c>
      <c r="U1" s="24" t="s">
        <v>1106</v>
      </c>
      <c r="V1" s="24" t="s">
        <v>1107</v>
      </c>
      <c r="W1" s="2" t="s">
        <v>441</v>
      </c>
      <c r="X1" s="2" t="s">
        <v>443</v>
      </c>
      <c r="Y1" s="2" t="s">
        <v>466</v>
      </c>
      <c r="Z1" s="2" t="s">
        <v>433</v>
      </c>
      <c r="AA1" s="2" t="s">
        <v>456</v>
      </c>
      <c r="AB1" s="2" t="s">
        <v>457</v>
      </c>
      <c r="AC1" s="2" t="s">
        <v>442</v>
      </c>
      <c r="AD1" s="2" t="s">
        <v>434</v>
      </c>
      <c r="AE1" s="2" t="s">
        <v>449</v>
      </c>
      <c r="AF1" s="2" t="s">
        <v>436</v>
      </c>
      <c r="AG1" s="2" t="s">
        <v>437</v>
      </c>
      <c r="AH1" s="2" t="s">
        <v>448</v>
      </c>
      <c r="AI1" s="2" t="s">
        <v>445</v>
      </c>
      <c r="AJ1" s="2" t="s">
        <v>446</v>
      </c>
      <c r="AK1" t="s">
        <v>437</v>
      </c>
      <c r="AL1" t="s">
        <v>448</v>
      </c>
      <c r="AM1" t="s">
        <v>445</v>
      </c>
      <c r="AN1" t="s">
        <v>446</v>
      </c>
      <c r="AO1" s="11" t="s">
        <v>1094</v>
      </c>
      <c r="AP1" s="22" t="s">
        <v>1103</v>
      </c>
      <c r="AQ1" s="22" t="s">
        <v>1104</v>
      </c>
      <c r="AR1" s="27" t="s">
        <v>1113</v>
      </c>
      <c r="AS1" s="27" t="s">
        <v>1114</v>
      </c>
      <c r="AT1" s="27" t="s">
        <v>1115</v>
      </c>
      <c r="AU1" s="27" t="s">
        <v>1116</v>
      </c>
      <c r="AV1" s="27" t="s">
        <v>1117</v>
      </c>
      <c r="AW1" s="27" t="s">
        <v>1118</v>
      </c>
      <c r="AX1" s="27" t="s">
        <v>1119</v>
      </c>
      <c r="AY1" s="27" t="s">
        <v>1120</v>
      </c>
      <c r="AZ1" s="26" t="s">
        <v>1109</v>
      </c>
      <c r="BA1" s="26" t="s">
        <v>1110</v>
      </c>
      <c r="BB1" s="26" t="s">
        <v>1111</v>
      </c>
      <c r="BC1" s="26" t="s">
        <v>1112</v>
      </c>
      <c r="BD1" s="11" t="s">
        <v>1092</v>
      </c>
      <c r="BE1" s="11" t="s">
        <v>1093</v>
      </c>
    </row>
    <row r="2" spans="1:61" x14ac:dyDescent="0.3">
      <c r="A2" s="2" t="s">
        <v>0</v>
      </c>
      <c r="B2" s="13" t="s">
        <v>685</v>
      </c>
      <c r="C2" s="13"/>
      <c r="D2" s="2"/>
      <c r="E2" s="2"/>
      <c r="F2" s="2">
        <v>3.5</v>
      </c>
      <c r="G2" s="2" t="s">
        <v>454</v>
      </c>
      <c r="H2" s="9" t="s">
        <v>523</v>
      </c>
      <c r="I2" t="s">
        <v>606</v>
      </c>
      <c r="K2" s="2">
        <v>1</v>
      </c>
      <c r="L2" s="7" t="s">
        <v>512</v>
      </c>
      <c r="M2" s="7"/>
      <c r="N2" s="23">
        <v>4</v>
      </c>
      <c r="O2" s="2"/>
      <c r="P2" s="2"/>
      <c r="Q2" s="2"/>
      <c r="R2" s="2"/>
      <c r="S2" s="2"/>
      <c r="T2" s="23">
        <v>6.6040679999999998</v>
      </c>
      <c r="U2" s="23">
        <v>7.9389519999999996</v>
      </c>
      <c r="V2" s="23">
        <v>33.703336</v>
      </c>
      <c r="W2" s="2"/>
      <c r="X2" s="2"/>
      <c r="Y2" s="2"/>
      <c r="Z2" s="2"/>
      <c r="AA2" s="2">
        <v>130</v>
      </c>
      <c r="AB2" s="2" t="s">
        <v>458</v>
      </c>
      <c r="AC2" s="2"/>
      <c r="AD2" s="2"/>
      <c r="AE2" s="2"/>
      <c r="AF2" s="2"/>
      <c r="AG2" s="2"/>
      <c r="AH2" s="2"/>
      <c r="AI2" s="2"/>
      <c r="AJ2" s="2"/>
      <c r="AO2">
        <v>34</v>
      </c>
      <c r="AP2" s="21">
        <v>1767.0449718798691</v>
      </c>
      <c r="AQ2" s="21">
        <v>7.6964651247849417E-2</v>
      </c>
      <c r="AR2" s="28">
        <v>1.62962962962963</v>
      </c>
      <c r="AS2" s="28">
        <v>2.518518518518519</v>
      </c>
      <c r="AT2" s="28">
        <v>0.88888888888888884</v>
      </c>
      <c r="AU2" s="28">
        <v>0</v>
      </c>
      <c r="AV2" s="28">
        <v>0.32352941176470579</v>
      </c>
      <c r="AW2" s="28">
        <v>0.5</v>
      </c>
      <c r="AX2" s="28">
        <v>0.1764705882352941</v>
      </c>
      <c r="AY2" s="28">
        <v>0</v>
      </c>
      <c r="AZ2" s="25">
        <v>0.82</v>
      </c>
      <c r="BA2" s="25">
        <v>3.44</v>
      </c>
      <c r="BB2" s="25">
        <v>2.62</v>
      </c>
      <c r="BC2" s="25">
        <v>2.642962962962963</v>
      </c>
      <c r="BD2">
        <v>2.642962962962963</v>
      </c>
      <c r="BE2">
        <v>5.9587362692592576</v>
      </c>
    </row>
    <row r="3" spans="1:61" x14ac:dyDescent="0.3">
      <c r="A3" s="2" t="s">
        <v>1</v>
      </c>
      <c r="B3" s="13" t="s">
        <v>686</v>
      </c>
      <c r="C3" s="13"/>
      <c r="D3" s="2"/>
      <c r="E3" s="2"/>
      <c r="F3" s="2">
        <v>3.2</v>
      </c>
      <c r="G3" s="2" t="s">
        <v>454</v>
      </c>
      <c r="H3" s="9" t="s">
        <v>524</v>
      </c>
      <c r="I3" t="s">
        <v>607</v>
      </c>
      <c r="K3" s="2">
        <v>1</v>
      </c>
      <c r="L3" s="2" t="s">
        <v>510</v>
      </c>
      <c r="M3" s="2"/>
      <c r="N3" s="23">
        <v>1</v>
      </c>
      <c r="O3" s="2">
        <v>7.806</v>
      </c>
      <c r="P3" s="2">
        <v>7.6680000000000001</v>
      </c>
      <c r="Q3" s="2">
        <v>21.54</v>
      </c>
      <c r="R3" s="1" t="s">
        <v>513</v>
      </c>
      <c r="S3" s="1"/>
      <c r="T3" s="23">
        <v>3.9327019999999999</v>
      </c>
      <c r="U3" s="23">
        <v>3.9458000000000002</v>
      </c>
      <c r="V3" s="23">
        <v>11.356398779999999</v>
      </c>
      <c r="W3" s="7" t="s">
        <v>508</v>
      </c>
      <c r="X3" s="2"/>
      <c r="Y3" s="2">
        <v>2</v>
      </c>
      <c r="Z3" s="2"/>
      <c r="AA3" s="2">
        <v>28</v>
      </c>
      <c r="AB3" s="2" t="s">
        <v>497</v>
      </c>
      <c r="AC3" s="2"/>
      <c r="AD3" s="2"/>
      <c r="AE3" s="2"/>
      <c r="AF3" s="2"/>
      <c r="AG3" s="2"/>
      <c r="AH3" s="2"/>
      <c r="AI3" s="2"/>
      <c r="AJ3" s="2"/>
      <c r="AO3">
        <v>14</v>
      </c>
      <c r="AP3" s="21">
        <v>173.54502164551991</v>
      </c>
      <c r="AQ3" s="21">
        <v>8.0670709348241429E-2</v>
      </c>
      <c r="AR3" s="28">
        <v>1.7272727272727271</v>
      </c>
      <c r="AS3" s="28">
        <v>2.545454545454545</v>
      </c>
      <c r="AT3" s="28">
        <v>0.81818181818181823</v>
      </c>
      <c r="AU3" s="28">
        <v>0</v>
      </c>
      <c r="AV3" s="28">
        <v>0.3392857142857143</v>
      </c>
      <c r="AW3" s="28">
        <v>0.5</v>
      </c>
      <c r="AX3" s="28">
        <v>0.1607142857142857</v>
      </c>
      <c r="AY3" s="28">
        <v>0</v>
      </c>
      <c r="AZ3" s="25">
        <v>0.82</v>
      </c>
      <c r="BA3" s="25">
        <v>3.44</v>
      </c>
      <c r="BB3" s="25">
        <v>2.62</v>
      </c>
      <c r="BC3" s="25">
        <v>2.6545454545454539</v>
      </c>
      <c r="BD3">
        <v>2.6545454545454539</v>
      </c>
      <c r="BE3">
        <v>5.9946911436363637</v>
      </c>
    </row>
    <row r="4" spans="1:61" x14ac:dyDescent="0.3">
      <c r="A4" s="2" t="s">
        <v>2</v>
      </c>
      <c r="B4" s="13" t="s">
        <v>687</v>
      </c>
      <c r="C4" s="13"/>
      <c r="D4" s="2"/>
      <c r="E4" s="2"/>
      <c r="F4" s="2">
        <v>3.35</v>
      </c>
      <c r="G4" s="2" t="s">
        <v>454</v>
      </c>
      <c r="H4" s="9" t="s">
        <v>525</v>
      </c>
      <c r="I4">
        <v>-1</v>
      </c>
      <c r="K4" s="2">
        <v>1</v>
      </c>
      <c r="L4" s="2" t="s">
        <v>510</v>
      </c>
      <c r="M4" s="2"/>
      <c r="N4" s="23">
        <v>2</v>
      </c>
      <c r="O4" s="2">
        <v>3.8849999999999998</v>
      </c>
      <c r="P4" s="2">
        <v>3.8849999999999998</v>
      </c>
      <c r="Q4" s="2">
        <v>10.989000000000001</v>
      </c>
      <c r="R4" s="1" t="s">
        <v>439</v>
      </c>
      <c r="S4" s="1"/>
      <c r="T4" s="23">
        <v>11.92921406</v>
      </c>
      <c r="U4" s="23">
        <v>11.92921406</v>
      </c>
      <c r="V4" s="23">
        <v>11.92921406</v>
      </c>
      <c r="W4" s="2" t="s">
        <v>508</v>
      </c>
      <c r="X4" s="2"/>
      <c r="Y4" s="2">
        <v>2</v>
      </c>
      <c r="Z4" s="2"/>
      <c r="AA4" s="2">
        <v>60</v>
      </c>
      <c r="AB4" s="2" t="s">
        <v>498</v>
      </c>
      <c r="AC4" s="2"/>
      <c r="AD4" s="2"/>
      <c r="AE4" s="2"/>
      <c r="AF4" s="2"/>
      <c r="AG4" s="2"/>
      <c r="AH4" s="2"/>
      <c r="AI4" s="2"/>
      <c r="AJ4" s="2"/>
      <c r="AO4">
        <v>14</v>
      </c>
      <c r="AP4" s="21">
        <v>349.00875366799971</v>
      </c>
      <c r="AQ4" s="21">
        <v>8.0227214090553903E-2</v>
      </c>
      <c r="AR4" s="28">
        <v>1.7272727272727271</v>
      </c>
      <c r="AS4" s="28">
        <v>2.545454545454545</v>
      </c>
      <c r="AT4" s="28">
        <v>0.81818181818181823</v>
      </c>
      <c r="AU4" s="28">
        <v>0</v>
      </c>
      <c r="AV4" s="28">
        <v>0.3392857142857143</v>
      </c>
      <c r="AW4" s="28">
        <v>0.5</v>
      </c>
      <c r="AX4" s="28">
        <v>0.1607142857142857</v>
      </c>
      <c r="AY4" s="28">
        <v>0</v>
      </c>
      <c r="AZ4" s="25">
        <v>0.82</v>
      </c>
      <c r="BA4" s="25">
        <v>3.44</v>
      </c>
      <c r="BB4" s="25">
        <v>2.62</v>
      </c>
      <c r="BC4" s="25">
        <v>2.6545454545454539</v>
      </c>
      <c r="BD4">
        <v>2.6545454545454552</v>
      </c>
      <c r="BE4">
        <v>5.9865512095454543</v>
      </c>
    </row>
    <row r="5" spans="1:61" x14ac:dyDescent="0.3">
      <c r="A5" s="2" t="s">
        <v>3</v>
      </c>
      <c r="B5" s="13" t="s">
        <v>688</v>
      </c>
      <c r="C5" s="13"/>
      <c r="D5" s="2"/>
      <c r="E5" s="2"/>
      <c r="F5" s="2">
        <v>3.3</v>
      </c>
      <c r="G5" s="2" t="s">
        <v>454</v>
      </c>
      <c r="H5" s="9" t="s">
        <v>526</v>
      </c>
      <c r="I5" t="s">
        <v>608</v>
      </c>
      <c r="K5" s="2">
        <v>1</v>
      </c>
      <c r="L5" s="2" t="s">
        <v>510</v>
      </c>
      <c r="M5" s="2"/>
      <c r="N5" s="23">
        <v>1</v>
      </c>
      <c r="O5" s="2">
        <v>3.9049999999999998</v>
      </c>
      <c r="P5" s="2">
        <v>3.9049999999999998</v>
      </c>
      <c r="Q5" s="2">
        <v>11.185</v>
      </c>
      <c r="R5" s="1" t="s">
        <v>439</v>
      </c>
      <c r="S5" s="1"/>
      <c r="T5" s="23">
        <v>3.952105</v>
      </c>
      <c r="U5" s="23">
        <v>3.952105</v>
      </c>
      <c r="V5" s="23">
        <v>11.503833</v>
      </c>
      <c r="W5" s="2" t="s">
        <v>508</v>
      </c>
      <c r="X5" s="2"/>
      <c r="Y5" s="2">
        <v>2</v>
      </c>
      <c r="Z5" s="2"/>
      <c r="AA5" s="2">
        <v>12</v>
      </c>
      <c r="AB5" s="2" t="s">
        <v>499</v>
      </c>
      <c r="AC5" s="2"/>
      <c r="AD5" s="2"/>
      <c r="AE5" s="2"/>
      <c r="AF5" s="2"/>
      <c r="AG5" s="2"/>
      <c r="AH5" s="2"/>
      <c r="AI5" s="2"/>
      <c r="AJ5" s="2"/>
      <c r="AO5">
        <v>14</v>
      </c>
      <c r="AP5" s="21">
        <v>179.6799083471451</v>
      </c>
      <c r="AQ5" s="21">
        <v>7.7916335380980528E-2</v>
      </c>
      <c r="AR5" s="28">
        <v>1.7272727272727271</v>
      </c>
      <c r="AS5" s="28">
        <v>2.545454545454545</v>
      </c>
      <c r="AT5" s="28">
        <v>0.81818181818181823</v>
      </c>
      <c r="AU5" s="28">
        <v>0</v>
      </c>
      <c r="AV5" s="28">
        <v>0.3392857142857143</v>
      </c>
      <c r="AW5" s="28">
        <v>0.5</v>
      </c>
      <c r="AX5" s="28">
        <v>0.1607142857142857</v>
      </c>
      <c r="AY5" s="28">
        <v>0</v>
      </c>
      <c r="AZ5" s="25">
        <v>0.79</v>
      </c>
      <c r="BA5" s="25">
        <v>3.44</v>
      </c>
      <c r="BB5" s="25">
        <v>2.65</v>
      </c>
      <c r="BC5" s="25">
        <v>2.6518181818181819</v>
      </c>
      <c r="BD5">
        <v>2.6518181818181819</v>
      </c>
      <c r="BE5">
        <v>5.9730281035195452</v>
      </c>
    </row>
    <row r="6" spans="1:61" x14ac:dyDescent="0.3">
      <c r="A6" s="2" t="s">
        <v>4</v>
      </c>
      <c r="B6" s="13" t="s">
        <v>689</v>
      </c>
      <c r="C6" s="13"/>
      <c r="D6" s="2"/>
      <c r="E6" s="2"/>
      <c r="F6" s="2">
        <v>3.35</v>
      </c>
      <c r="G6" s="2" t="s">
        <v>454</v>
      </c>
      <c r="H6" s="9" t="s">
        <v>527</v>
      </c>
      <c r="I6" t="s">
        <v>609</v>
      </c>
      <c r="K6" s="2">
        <v>1</v>
      </c>
      <c r="L6" s="7" t="s">
        <v>511</v>
      </c>
      <c r="M6" s="7"/>
      <c r="N6" s="23">
        <v>4</v>
      </c>
      <c r="O6" s="2">
        <v>7.7270000000000003</v>
      </c>
      <c r="P6" s="2">
        <v>7.7270000000000003</v>
      </c>
      <c r="Q6" s="2">
        <v>29.466000000000001</v>
      </c>
      <c r="R6" s="2" t="s">
        <v>452</v>
      </c>
      <c r="S6" s="2"/>
      <c r="T6" s="23">
        <v>7.8084429999999996</v>
      </c>
      <c r="U6" s="23">
        <v>7.8548809999999998</v>
      </c>
      <c r="V6" s="23">
        <v>15.19056011</v>
      </c>
      <c r="W6" s="2" t="s">
        <v>507</v>
      </c>
      <c r="X6" s="2" t="s">
        <v>505</v>
      </c>
      <c r="Y6" s="2">
        <v>3</v>
      </c>
      <c r="Z6" s="2"/>
      <c r="AA6" s="2">
        <v>14</v>
      </c>
      <c r="AB6" s="2" t="s">
        <v>500</v>
      </c>
      <c r="AC6" s="2"/>
      <c r="AD6" s="2"/>
      <c r="AE6" s="2"/>
      <c r="AF6" s="2"/>
      <c r="AG6" s="2"/>
      <c r="AH6" s="2"/>
      <c r="AI6" s="2"/>
      <c r="AJ6" s="2"/>
      <c r="AO6">
        <v>20</v>
      </c>
      <c r="AP6" s="21">
        <v>924.74694800021894</v>
      </c>
      <c r="AQ6" s="21">
        <v>8.6510153045653584E-2</v>
      </c>
      <c r="AR6" s="28">
        <v>1.75</v>
      </c>
      <c r="AS6" s="28">
        <v>2.5</v>
      </c>
      <c r="AT6" s="28">
        <v>0.75</v>
      </c>
      <c r="AU6" s="28">
        <v>0</v>
      </c>
      <c r="AV6" s="28">
        <v>0.35</v>
      </c>
      <c r="AW6" s="28">
        <v>0.5</v>
      </c>
      <c r="AX6" s="28">
        <v>0.15</v>
      </c>
      <c r="AY6" s="28">
        <v>0</v>
      </c>
      <c r="AZ6" s="25">
        <v>0.82</v>
      </c>
      <c r="BA6" s="25">
        <v>3.44</v>
      </c>
      <c r="BB6" s="25">
        <v>2.62</v>
      </c>
      <c r="BC6" s="25">
        <v>2.6262500000000002</v>
      </c>
      <c r="BD6">
        <v>2.6262500000000002</v>
      </c>
      <c r="BE6">
        <v>5.96680968125</v>
      </c>
    </row>
    <row r="7" spans="1:61" x14ac:dyDescent="0.3">
      <c r="A7" s="2" t="s">
        <v>5</v>
      </c>
      <c r="B7" s="13" t="s">
        <v>690</v>
      </c>
      <c r="C7" s="13"/>
      <c r="D7" s="2"/>
      <c r="E7" s="2"/>
      <c r="F7" s="2">
        <v>3.5</v>
      </c>
      <c r="G7" s="2" t="s">
        <v>454</v>
      </c>
      <c r="H7" s="9" t="s">
        <v>528</v>
      </c>
      <c r="I7" t="s">
        <v>610</v>
      </c>
      <c r="K7" s="2">
        <v>1</v>
      </c>
      <c r="L7" s="7" t="s">
        <v>511</v>
      </c>
      <c r="M7" s="7"/>
      <c r="N7" s="23">
        <v>1</v>
      </c>
      <c r="O7" s="2">
        <v>7.7249999999999996</v>
      </c>
      <c r="P7" s="2">
        <v>7.7249999999999996</v>
      </c>
      <c r="Q7" s="2">
        <v>14.909000000000001</v>
      </c>
      <c r="R7" s="2" t="s">
        <v>451</v>
      </c>
      <c r="S7" s="2"/>
      <c r="T7" s="23">
        <v>3.9661010000000001</v>
      </c>
      <c r="U7" s="23">
        <v>3.9661010000000001</v>
      </c>
      <c r="V7" s="23">
        <v>15.283337</v>
      </c>
      <c r="W7" s="2" t="s">
        <v>507</v>
      </c>
      <c r="X7" s="2" t="s">
        <v>505</v>
      </c>
      <c r="Y7" s="2">
        <v>3</v>
      </c>
      <c r="Z7" s="2"/>
      <c r="AA7" s="2">
        <v>3</v>
      </c>
      <c r="AB7" s="2" t="s">
        <v>501</v>
      </c>
      <c r="AC7" s="2"/>
      <c r="AD7" s="2"/>
      <c r="AE7" s="2"/>
      <c r="AF7" s="2"/>
      <c r="AG7" s="2"/>
      <c r="AH7" s="2"/>
      <c r="AI7" s="2"/>
      <c r="AJ7" s="2"/>
      <c r="AO7">
        <v>20</v>
      </c>
      <c r="AP7" s="21">
        <v>240.40623599981481</v>
      </c>
      <c r="AQ7" s="21">
        <v>8.3192517518619641E-2</v>
      </c>
      <c r="AR7" s="28">
        <v>1.75</v>
      </c>
      <c r="AS7" s="28">
        <v>2.5</v>
      </c>
      <c r="AT7" s="28">
        <v>0.75</v>
      </c>
      <c r="AU7" s="28">
        <v>0</v>
      </c>
      <c r="AV7" s="28">
        <v>0.35</v>
      </c>
      <c r="AW7" s="28">
        <v>0.5</v>
      </c>
      <c r="AX7" s="28">
        <v>0.15</v>
      </c>
      <c r="AY7" s="28">
        <v>0</v>
      </c>
      <c r="AZ7" s="25">
        <v>0.82</v>
      </c>
      <c r="BA7" s="25">
        <v>3.44</v>
      </c>
      <c r="BB7" s="25">
        <v>2.62</v>
      </c>
      <c r="BC7" s="25">
        <v>2.6262500000000002</v>
      </c>
      <c r="BD7">
        <v>2.6262500000000002</v>
      </c>
      <c r="BE7">
        <v>5.9612134765624996</v>
      </c>
    </row>
    <row r="8" spans="1:61" x14ac:dyDescent="0.3">
      <c r="A8" s="2" t="s">
        <v>6</v>
      </c>
      <c r="B8" s="13" t="s">
        <v>691</v>
      </c>
      <c r="C8" s="13"/>
      <c r="D8" s="2"/>
      <c r="E8" s="2"/>
      <c r="F8" s="2">
        <v>3.5</v>
      </c>
      <c r="G8" s="2" t="s">
        <v>454</v>
      </c>
      <c r="H8" s="9" t="s">
        <v>529</v>
      </c>
      <c r="I8" t="s">
        <v>611</v>
      </c>
      <c r="K8" s="2">
        <v>1</v>
      </c>
      <c r="L8" s="7" t="s">
        <v>511</v>
      </c>
      <c r="M8" s="7"/>
      <c r="N8" s="23">
        <v>8</v>
      </c>
      <c r="O8" s="2">
        <v>7.7270000000000003</v>
      </c>
      <c r="P8" s="2">
        <v>7.7270000000000003</v>
      </c>
      <c r="Q8" s="2">
        <v>30.175999999999998</v>
      </c>
      <c r="R8" s="2" t="s">
        <v>452</v>
      </c>
      <c r="S8" s="2"/>
      <c r="T8" s="23">
        <v>7.8252249999999997</v>
      </c>
      <c r="U8" s="23">
        <v>7.8345229999999999</v>
      </c>
      <c r="V8" s="23">
        <v>31.031406</v>
      </c>
      <c r="W8" s="2" t="s">
        <v>506</v>
      </c>
      <c r="X8" s="2" t="s">
        <v>505</v>
      </c>
      <c r="Y8" s="2">
        <v>3</v>
      </c>
      <c r="Z8" s="2"/>
      <c r="AA8" s="2">
        <v>2</v>
      </c>
      <c r="AB8" s="2" t="s">
        <v>502</v>
      </c>
      <c r="AC8" s="2"/>
      <c r="AD8" s="2"/>
      <c r="AE8" s="2"/>
      <c r="AF8" s="2"/>
      <c r="AG8" s="2"/>
      <c r="AH8" s="2"/>
      <c r="AI8" s="2"/>
      <c r="AJ8" s="2"/>
      <c r="AO8">
        <v>20</v>
      </c>
      <c r="AP8" s="21">
        <v>1902.4394671889761</v>
      </c>
      <c r="AQ8" s="21">
        <v>8.4102544527429435E-2</v>
      </c>
      <c r="AR8" s="28">
        <v>1.75</v>
      </c>
      <c r="AS8" s="28">
        <v>2.5</v>
      </c>
      <c r="AT8" s="28">
        <v>0.75</v>
      </c>
      <c r="AU8" s="28">
        <v>0</v>
      </c>
      <c r="AV8" s="28">
        <v>0.35</v>
      </c>
      <c r="AW8" s="28">
        <v>0.5</v>
      </c>
      <c r="AX8" s="28">
        <v>0.15</v>
      </c>
      <c r="AY8" s="28">
        <v>0</v>
      </c>
      <c r="AZ8" s="25">
        <v>0.79</v>
      </c>
      <c r="BA8" s="25">
        <v>3.44</v>
      </c>
      <c r="BB8" s="25">
        <v>2.65</v>
      </c>
      <c r="BC8" s="25">
        <v>2.6243750000000001</v>
      </c>
      <c r="BD8">
        <v>2.6243750000000001</v>
      </c>
      <c r="BE8">
        <v>5.9519163411696878</v>
      </c>
    </row>
    <row r="9" spans="1:61" x14ac:dyDescent="0.3">
      <c r="A9" s="2" t="s">
        <v>7</v>
      </c>
      <c r="B9" s="13" t="s">
        <v>692</v>
      </c>
      <c r="C9" s="13"/>
      <c r="D9" s="2"/>
      <c r="E9" s="2"/>
      <c r="F9" s="2">
        <v>3.16</v>
      </c>
      <c r="G9" s="2" t="s">
        <v>454</v>
      </c>
      <c r="H9" s="9">
        <v>-1</v>
      </c>
      <c r="I9">
        <v>-1</v>
      </c>
      <c r="K9" s="2">
        <v>1</v>
      </c>
      <c r="L9" s="2" t="s">
        <v>603</v>
      </c>
      <c r="M9" s="2">
        <v>4</v>
      </c>
      <c r="N9" s="23">
        <v>0</v>
      </c>
      <c r="O9" s="2">
        <v>7.8310000000000004</v>
      </c>
      <c r="P9" s="2">
        <v>7.8010000000000002</v>
      </c>
      <c r="Q9" s="2">
        <v>15.05</v>
      </c>
      <c r="R9" s="2" t="s">
        <v>1141</v>
      </c>
      <c r="S9" s="2">
        <v>15.05</v>
      </c>
      <c r="T9" s="23">
        <v>0</v>
      </c>
      <c r="U9" s="23"/>
      <c r="V9" s="23"/>
      <c r="W9" s="2" t="s">
        <v>603</v>
      </c>
      <c r="X9" s="2"/>
      <c r="Y9" s="2">
        <v>3</v>
      </c>
      <c r="Z9" s="2"/>
      <c r="AA9" s="2">
        <v>10</v>
      </c>
      <c r="AB9" s="2" t="s">
        <v>503</v>
      </c>
      <c r="AC9" s="2"/>
      <c r="AD9" s="2"/>
      <c r="AE9" s="2"/>
      <c r="AF9" s="2"/>
      <c r="AG9" s="2"/>
      <c r="AH9" s="2"/>
      <c r="AI9" s="2"/>
      <c r="AJ9" s="2"/>
      <c r="AO9">
        <v>20</v>
      </c>
      <c r="AP9" s="21">
        <f>O9*P9*Q9*SIN(RADIANS(97.44))</f>
        <v>911.65853089860946</v>
      </c>
      <c r="AQ9" s="21"/>
      <c r="AR9" s="28">
        <v>1.75</v>
      </c>
      <c r="AS9" s="28">
        <v>2.5</v>
      </c>
      <c r="AT9" s="28">
        <v>0.75</v>
      </c>
      <c r="AU9" s="28">
        <v>0</v>
      </c>
      <c r="AV9" s="28">
        <v>0.35</v>
      </c>
      <c r="AW9" s="28">
        <v>0.5</v>
      </c>
      <c r="AX9" s="28">
        <v>0.15</v>
      </c>
      <c r="AY9" s="28">
        <v>0</v>
      </c>
      <c r="AZ9" s="25">
        <v>0.82</v>
      </c>
      <c r="BA9" s="25">
        <v>3.44</v>
      </c>
      <c r="BB9" s="25">
        <v>2.62</v>
      </c>
      <c r="BC9" s="25">
        <v>2.62</v>
      </c>
      <c r="BD9">
        <v>2.62</v>
      </c>
      <c r="BE9">
        <v>5.9423863675000002</v>
      </c>
    </row>
    <row r="10" spans="1:61" x14ac:dyDescent="0.3">
      <c r="A10" s="2" t="s">
        <v>455</v>
      </c>
      <c r="B10" s="13" t="s">
        <v>693</v>
      </c>
      <c r="C10" s="13"/>
      <c r="D10" s="2"/>
      <c r="E10" s="2"/>
      <c r="F10" s="2">
        <v>3.21</v>
      </c>
      <c r="G10" s="2" t="s">
        <v>454</v>
      </c>
      <c r="H10" s="9">
        <v>-1</v>
      </c>
      <c r="I10">
        <v>-1</v>
      </c>
      <c r="K10" s="2">
        <v>1</v>
      </c>
      <c r="L10" s="2" t="s">
        <v>1143</v>
      </c>
      <c r="M10" s="2">
        <v>8</v>
      </c>
      <c r="N10" s="23">
        <v>0</v>
      </c>
      <c r="O10" s="2">
        <v>7.7489999999999997</v>
      </c>
      <c r="P10" s="2">
        <v>7.7359999999999998</v>
      </c>
      <c r="Q10" s="2">
        <v>37.369999999999997</v>
      </c>
      <c r="R10" s="2" t="s">
        <v>1142</v>
      </c>
      <c r="S10" s="2">
        <f>Q10/2</f>
        <v>18.684999999999999</v>
      </c>
      <c r="T10" s="23">
        <v>0</v>
      </c>
      <c r="U10" s="23"/>
      <c r="V10" s="23"/>
      <c r="W10" s="4" t="s">
        <v>604</v>
      </c>
      <c r="X10" s="2"/>
      <c r="Y10" s="2">
        <v>4</v>
      </c>
      <c r="Z10" s="2"/>
      <c r="AA10" s="2">
        <v>5</v>
      </c>
      <c r="AB10" s="2" t="s">
        <v>504</v>
      </c>
      <c r="AC10" s="2"/>
      <c r="AD10" s="2"/>
      <c r="AE10" s="2"/>
      <c r="AF10" s="2"/>
      <c r="AG10" s="2"/>
      <c r="AH10" s="2"/>
      <c r="AI10" s="2"/>
      <c r="AJ10" s="2"/>
      <c r="AO10">
        <v>26</v>
      </c>
      <c r="AP10" s="21">
        <v>2240</v>
      </c>
      <c r="AQ10" s="21"/>
      <c r="AR10" s="28">
        <v>1.714285714285714</v>
      </c>
      <c r="AS10" s="28">
        <v>2.4761904761904758</v>
      </c>
      <c r="AT10" s="28">
        <v>0.76190476190476186</v>
      </c>
      <c r="AU10" s="28">
        <v>0</v>
      </c>
      <c r="AV10" s="28">
        <v>0.34615384615384609</v>
      </c>
      <c r="AW10" s="28">
        <v>0.5</v>
      </c>
      <c r="AX10" s="28">
        <v>0.1538461538461538</v>
      </c>
      <c r="AY10" s="28">
        <v>0</v>
      </c>
      <c r="AZ10" s="25">
        <v>0.82</v>
      </c>
      <c r="BA10" s="25">
        <v>3.44</v>
      </c>
      <c r="BB10" s="25">
        <v>2.62</v>
      </c>
      <c r="BC10" s="25">
        <v>2.612857142857143</v>
      </c>
      <c r="BD10">
        <v>2.612857142857143</v>
      </c>
      <c r="BE10">
        <v>5.9413964502380949</v>
      </c>
    </row>
    <row r="11" spans="1:61" x14ac:dyDescent="0.3">
      <c r="A11" s="2" t="s">
        <v>8</v>
      </c>
      <c r="B11" s="13" t="s">
        <v>694</v>
      </c>
      <c r="C11" s="13"/>
      <c r="D11" s="2"/>
      <c r="E11" s="2"/>
      <c r="F11" s="2">
        <v>3</v>
      </c>
      <c r="G11" s="2" t="s">
        <v>454</v>
      </c>
      <c r="H11" s="9" t="s">
        <v>530</v>
      </c>
      <c r="I11" t="s">
        <v>612</v>
      </c>
      <c r="K11" s="2">
        <v>1</v>
      </c>
      <c r="L11" s="2"/>
      <c r="M11" s="2"/>
      <c r="N11" s="23">
        <v>30</v>
      </c>
      <c r="O11" s="2"/>
      <c r="P11" s="2"/>
      <c r="Q11" s="2"/>
      <c r="R11" s="2"/>
      <c r="S11" s="2"/>
      <c r="T11" s="23">
        <v>10.59112378</v>
      </c>
      <c r="U11" s="23">
        <v>10.784736629999999</v>
      </c>
      <c r="V11" s="23">
        <v>10.486176179999999</v>
      </c>
      <c r="W11" s="2"/>
      <c r="X11" s="2"/>
      <c r="Y11" s="1" t="s">
        <v>459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O11">
        <v>4</v>
      </c>
      <c r="AP11" s="21">
        <v>1182.741260108548</v>
      </c>
      <c r="AQ11" s="21">
        <v>0.1014592151701775</v>
      </c>
      <c r="AR11" s="28">
        <v>2</v>
      </c>
      <c r="AS11" s="28">
        <v>2.666666666666667</v>
      </c>
      <c r="AT11" s="28">
        <v>0.66666666666666663</v>
      </c>
      <c r="AU11" s="28">
        <v>0</v>
      </c>
      <c r="AV11" s="28">
        <v>0.375</v>
      </c>
      <c r="AW11" s="28">
        <v>0.5</v>
      </c>
      <c r="AX11" s="28">
        <v>0.125</v>
      </c>
      <c r="AY11" s="28">
        <v>0</v>
      </c>
      <c r="AZ11" s="25">
        <v>1.54</v>
      </c>
      <c r="BA11" s="25">
        <v>3.44</v>
      </c>
      <c r="BB11" s="25">
        <v>1.9</v>
      </c>
      <c r="BC11" s="25">
        <v>2.8066666666666671</v>
      </c>
      <c r="BD11">
        <v>2.8066666666666662</v>
      </c>
      <c r="BE11">
        <v>6.1769976</v>
      </c>
      <c r="BF11" s="29"/>
      <c r="BG11" s="29"/>
      <c r="BH11" s="29"/>
      <c r="BI11" s="29"/>
    </row>
    <row r="12" spans="1:61" x14ac:dyDescent="0.3">
      <c r="A12" s="2" t="s">
        <v>10</v>
      </c>
      <c r="B12" s="13" t="s">
        <v>695</v>
      </c>
      <c r="C12" s="13"/>
      <c r="D12" s="2"/>
      <c r="E12" s="2"/>
      <c r="F12" s="2">
        <v>3.9</v>
      </c>
      <c r="G12" s="2" t="s">
        <v>453</v>
      </c>
      <c r="H12" s="9" t="s">
        <v>531</v>
      </c>
      <c r="I12">
        <v>-1</v>
      </c>
      <c r="K12" s="2"/>
      <c r="L12" s="2"/>
      <c r="M12" s="2"/>
      <c r="N12" s="23">
        <v>1</v>
      </c>
      <c r="O12" s="2">
        <v>3.8849999999999998</v>
      </c>
      <c r="P12" s="2">
        <v>3.8849999999999998</v>
      </c>
      <c r="Q12" s="2">
        <v>11.12</v>
      </c>
      <c r="R12" s="2" t="s">
        <v>439</v>
      </c>
      <c r="S12" s="2"/>
      <c r="T12" s="23">
        <v>3.9103940000000001</v>
      </c>
      <c r="U12" s="23">
        <v>3.9103940000000001</v>
      </c>
      <c r="V12" s="23">
        <v>11.314458</v>
      </c>
      <c r="W12" s="2"/>
      <c r="X12" s="2">
        <v>1</v>
      </c>
      <c r="Y12" s="2">
        <v>2</v>
      </c>
      <c r="Z12" s="2"/>
      <c r="AA12" s="2">
        <v>19.5</v>
      </c>
      <c r="AB12" s="2" t="s">
        <v>460</v>
      </c>
      <c r="AC12" s="2"/>
      <c r="AD12" s="2"/>
      <c r="AE12" s="2"/>
      <c r="AF12" s="2"/>
      <c r="AG12" s="2"/>
      <c r="AH12" s="2"/>
      <c r="AI12" s="2"/>
      <c r="AJ12" s="2"/>
      <c r="AO12">
        <v>14</v>
      </c>
      <c r="AP12" s="21">
        <v>173.0114278564659</v>
      </c>
      <c r="AQ12" s="21">
        <v>8.0919510193365449E-2</v>
      </c>
      <c r="AR12" s="28">
        <v>1.9090909090909089</v>
      </c>
      <c r="AS12" s="28">
        <v>2.545454545454545</v>
      </c>
      <c r="AT12" s="28">
        <v>0.63636363636363635</v>
      </c>
      <c r="AU12" s="28">
        <v>2.545454545454545</v>
      </c>
      <c r="AV12" s="28">
        <v>0.25</v>
      </c>
      <c r="AW12" s="28">
        <v>0.33333333333333331</v>
      </c>
      <c r="AX12" s="28">
        <v>8.3333333333333329E-2</v>
      </c>
      <c r="AY12" s="28">
        <v>0.33333333333333331</v>
      </c>
      <c r="AZ12" s="25">
        <v>0.82</v>
      </c>
      <c r="BA12" s="25">
        <v>3.44</v>
      </c>
      <c r="BB12" s="25">
        <v>2.62</v>
      </c>
      <c r="BC12" s="25">
        <v>2.6363636363636358</v>
      </c>
      <c r="BD12">
        <v>2.6363636363636371</v>
      </c>
      <c r="BE12">
        <v>6.0044088459090901</v>
      </c>
      <c r="BF12" s="29"/>
      <c r="BG12" s="29"/>
      <c r="BH12" s="29"/>
      <c r="BI12" s="29"/>
    </row>
    <row r="13" spans="1:61" x14ac:dyDescent="0.3">
      <c r="A13" s="2" t="s">
        <v>11</v>
      </c>
      <c r="B13" s="13" t="s">
        <v>696</v>
      </c>
      <c r="C13" s="13"/>
      <c r="D13" s="2"/>
      <c r="E13" s="2"/>
      <c r="F13" s="2">
        <v>3.6</v>
      </c>
      <c r="G13" s="2" t="s">
        <v>453</v>
      </c>
      <c r="H13" s="9">
        <v>-1</v>
      </c>
      <c r="I13">
        <v>-1</v>
      </c>
      <c r="J13" s="9" t="s">
        <v>1144</v>
      </c>
      <c r="K13" s="2"/>
      <c r="L13" s="2"/>
      <c r="M13" s="2"/>
      <c r="N13" s="23">
        <v>0</v>
      </c>
      <c r="O13" s="2"/>
      <c r="P13" s="2"/>
      <c r="Q13" s="2"/>
      <c r="R13" s="2"/>
      <c r="S13" s="2"/>
      <c r="T13" s="23">
        <v>0</v>
      </c>
      <c r="U13" s="23"/>
      <c r="V13" s="23"/>
      <c r="W13" s="2"/>
      <c r="X13" s="2"/>
      <c r="Y13" s="2">
        <v>2</v>
      </c>
      <c r="Z13" s="2"/>
      <c r="AA13" s="2">
        <v>18</v>
      </c>
      <c r="AB13" s="2"/>
      <c r="AC13" s="2"/>
      <c r="AD13" s="2"/>
      <c r="AE13" s="2"/>
      <c r="AF13" s="2"/>
      <c r="AG13" s="2"/>
      <c r="AH13" s="2"/>
      <c r="AI13" s="2"/>
      <c r="AJ13" s="2"/>
      <c r="AO13">
        <v>14</v>
      </c>
      <c r="AP13" s="21">
        <v>0</v>
      </c>
      <c r="AQ13" s="21"/>
      <c r="AR13" s="28">
        <v>1.9090909090909089</v>
      </c>
      <c r="AS13" s="28">
        <v>2.545454545454545</v>
      </c>
      <c r="AT13" s="28">
        <v>0.54545454545454541</v>
      </c>
      <c r="AU13" s="28">
        <v>2.8181818181818179</v>
      </c>
      <c r="AV13" s="28">
        <v>0.2441860465116279</v>
      </c>
      <c r="AW13" s="28">
        <v>0.32558139534883718</v>
      </c>
      <c r="AX13" s="28">
        <v>6.9767441860465115E-2</v>
      </c>
      <c r="AY13" s="28">
        <v>0.3604651162790698</v>
      </c>
      <c r="AZ13" s="25">
        <v>0.82</v>
      </c>
      <c r="BA13" s="25">
        <v>3.44</v>
      </c>
      <c r="BB13" s="25">
        <v>2.62</v>
      </c>
      <c r="BC13" s="25">
        <v>2.6390909090909092</v>
      </c>
      <c r="BD13">
        <v>2.6390909090909092</v>
      </c>
      <c r="BE13">
        <v>5.9791810459090904</v>
      </c>
    </row>
    <row r="14" spans="1:61" x14ac:dyDescent="0.3">
      <c r="A14" s="2" t="s">
        <v>12</v>
      </c>
      <c r="B14" s="13" t="s">
        <v>697</v>
      </c>
      <c r="C14" s="13"/>
      <c r="D14" s="2"/>
      <c r="E14" s="2"/>
      <c r="F14" s="2">
        <v>4.2</v>
      </c>
      <c r="G14" s="2" t="s">
        <v>453</v>
      </c>
      <c r="H14" s="9">
        <v>-1</v>
      </c>
      <c r="I14">
        <v>-1</v>
      </c>
      <c r="J14" s="9" t="s">
        <v>1145</v>
      </c>
      <c r="K14" s="2"/>
      <c r="L14" s="2"/>
      <c r="M14" s="2"/>
      <c r="N14" s="23">
        <v>0</v>
      </c>
      <c r="O14" s="2"/>
      <c r="P14" s="2"/>
      <c r="Q14" s="2"/>
      <c r="R14" s="2"/>
      <c r="S14" s="2"/>
      <c r="T14" s="23">
        <v>0</v>
      </c>
      <c r="U14" s="23"/>
      <c r="V14" s="23"/>
      <c r="W14" s="2"/>
      <c r="X14" s="2"/>
      <c r="Y14" s="2">
        <v>2</v>
      </c>
      <c r="Z14" s="2"/>
      <c r="AA14" s="2">
        <v>21</v>
      </c>
      <c r="AB14" s="2"/>
      <c r="AC14" s="2"/>
      <c r="AD14" s="2"/>
      <c r="AE14" s="2"/>
      <c r="AF14" s="2"/>
      <c r="AG14" s="2"/>
      <c r="AH14" s="2"/>
      <c r="AI14" s="2"/>
      <c r="AJ14" s="2"/>
      <c r="AO14">
        <v>14</v>
      </c>
      <c r="AP14" s="21">
        <v>0</v>
      </c>
      <c r="AQ14" s="21"/>
      <c r="AR14" s="28">
        <v>1.9090909090909089</v>
      </c>
      <c r="AS14" s="28">
        <v>2.545454545454545</v>
      </c>
      <c r="AT14" s="28">
        <v>0.54545454545454541</v>
      </c>
      <c r="AU14" s="28">
        <v>2.9090909090909092</v>
      </c>
      <c r="AV14" s="28">
        <v>0.2413793103448276</v>
      </c>
      <c r="AW14" s="28">
        <v>0.32183908045977011</v>
      </c>
      <c r="AX14" s="28">
        <v>6.8965517241379309E-2</v>
      </c>
      <c r="AY14" s="28">
        <v>0.36781609195402298</v>
      </c>
      <c r="AZ14" s="25">
        <v>0.82</v>
      </c>
      <c r="BA14" s="25">
        <v>3.44</v>
      </c>
      <c r="BB14" s="25">
        <v>2.62</v>
      </c>
      <c r="BC14" s="25">
        <v>2.64</v>
      </c>
      <c r="BD14">
        <v>2.64</v>
      </c>
      <c r="BE14">
        <v>5.9811382595454541</v>
      </c>
    </row>
    <row r="15" spans="1:61" x14ac:dyDescent="0.3">
      <c r="A15" s="2" t="s">
        <v>13</v>
      </c>
      <c r="B15" s="13" t="s">
        <v>698</v>
      </c>
      <c r="C15" s="13"/>
      <c r="D15" s="2"/>
      <c r="E15" s="2"/>
      <c r="F15" s="2">
        <v>4.2</v>
      </c>
      <c r="G15" s="2" t="s">
        <v>453</v>
      </c>
      <c r="H15" s="9">
        <v>-1</v>
      </c>
      <c r="I15">
        <v>-1</v>
      </c>
      <c r="J15" t="s">
        <v>1147</v>
      </c>
      <c r="K15" s="2"/>
      <c r="L15" s="2"/>
      <c r="M15" s="2"/>
      <c r="N15" s="23">
        <v>0</v>
      </c>
      <c r="O15" s="2"/>
      <c r="P15"/>
      <c r="Q15" s="2"/>
      <c r="R15" s="2"/>
      <c r="S15" s="2"/>
      <c r="T15" s="23">
        <v>0</v>
      </c>
      <c r="U15" s="23"/>
      <c r="V15" s="23"/>
      <c r="W15" s="2"/>
      <c r="X15" s="2"/>
      <c r="Y15" s="2">
        <v>2</v>
      </c>
      <c r="Z15" s="2"/>
      <c r="AA15" s="2">
        <v>21</v>
      </c>
      <c r="AB15" s="2"/>
      <c r="AC15" s="2"/>
      <c r="AD15" s="2"/>
      <c r="AE15" s="2"/>
      <c r="AF15" s="2"/>
      <c r="AG15" s="2"/>
      <c r="AH15" s="2"/>
      <c r="AI15" s="2"/>
      <c r="AJ15" s="2"/>
      <c r="AO15">
        <v>14</v>
      </c>
      <c r="AP15" s="21">
        <v>0</v>
      </c>
      <c r="AQ15" s="21"/>
      <c r="AR15" s="28">
        <v>1.9090909090909089</v>
      </c>
      <c r="AS15" s="28">
        <v>2.545454545454545</v>
      </c>
      <c r="AT15" s="28">
        <v>0.54545454545454541</v>
      </c>
      <c r="AU15" s="28">
        <v>3.0909090909090908</v>
      </c>
      <c r="AV15" s="28">
        <v>0.2359550561797753</v>
      </c>
      <c r="AW15" s="28">
        <v>0.3146067415730337</v>
      </c>
      <c r="AX15" s="28">
        <v>6.7415730337078636E-2</v>
      </c>
      <c r="AY15" s="28">
        <v>0.38202247191011229</v>
      </c>
      <c r="AZ15" s="25">
        <v>0.82</v>
      </c>
      <c r="BA15" s="25">
        <v>3.44</v>
      </c>
      <c r="BB15" s="25">
        <v>2.62</v>
      </c>
      <c r="BC15" s="25">
        <v>2.642727272727273</v>
      </c>
      <c r="BD15">
        <v>2.642727272727273</v>
      </c>
      <c r="BE15">
        <v>5.9894662913636356</v>
      </c>
    </row>
    <row r="16" spans="1:61" x14ac:dyDescent="0.3">
      <c r="A16" s="2" t="s">
        <v>14</v>
      </c>
      <c r="B16" s="13" t="s">
        <v>699</v>
      </c>
      <c r="C16" s="13"/>
      <c r="D16" s="2"/>
      <c r="E16" s="2"/>
      <c r="F16" s="2">
        <v>4</v>
      </c>
      <c r="G16" s="2" t="s">
        <v>9</v>
      </c>
      <c r="H16" s="9" t="s">
        <v>532</v>
      </c>
      <c r="I16" t="s">
        <v>613</v>
      </c>
      <c r="K16" s="2"/>
      <c r="L16" s="2"/>
      <c r="M16" s="2"/>
      <c r="N16" s="23">
        <v>4</v>
      </c>
      <c r="O16" s="2"/>
      <c r="P16" s="2"/>
      <c r="Q16" s="2"/>
      <c r="R16" s="2"/>
      <c r="S16" s="2"/>
      <c r="T16" s="23">
        <v>7.8568680000000004</v>
      </c>
      <c r="U16" s="23">
        <v>7.8568680000000004</v>
      </c>
      <c r="V16" s="23">
        <v>7.8568680000000004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O16">
        <v>12</v>
      </c>
      <c r="AP16" s="21">
        <v>485.00740615389492</v>
      </c>
      <c r="AQ16" s="21">
        <v>9.896756088868755E-2</v>
      </c>
      <c r="AR16" s="28">
        <v>2</v>
      </c>
      <c r="AS16" s="28">
        <v>2.666666666666667</v>
      </c>
      <c r="AT16" s="28">
        <v>0.66666666666666663</v>
      </c>
      <c r="AU16" s="28">
        <v>3.1111111111111112</v>
      </c>
      <c r="AV16" s="28">
        <v>0.23684210526315791</v>
      </c>
      <c r="AW16" s="28">
        <v>0.31578947368421051</v>
      </c>
      <c r="AX16" s="28">
        <v>7.8947368421052627E-2</v>
      </c>
      <c r="AY16" s="28">
        <v>0.36842105263157893</v>
      </c>
      <c r="AZ16" s="25">
        <v>1</v>
      </c>
      <c r="BA16" s="25">
        <v>3.44</v>
      </c>
      <c r="BB16" s="25">
        <v>2.44</v>
      </c>
      <c r="BC16" s="25">
        <v>2.7377777777777781</v>
      </c>
      <c r="BD16">
        <v>2.7377777777777781</v>
      </c>
      <c r="BE16">
        <v>6.2421139038888889</v>
      </c>
    </row>
    <row r="17" spans="1:57" x14ac:dyDescent="0.3">
      <c r="A17" s="2" t="s">
        <v>15</v>
      </c>
      <c r="B17" s="13" t="s">
        <v>700</v>
      </c>
      <c r="C17" s="13"/>
      <c r="D17" s="2"/>
      <c r="E17" s="2"/>
      <c r="F17" s="2">
        <v>4.4000000000000004</v>
      </c>
      <c r="G17" s="2" t="s">
        <v>9</v>
      </c>
      <c r="H17" s="9" t="s">
        <v>533</v>
      </c>
      <c r="I17" t="s">
        <v>614</v>
      </c>
      <c r="K17" s="2"/>
      <c r="L17" s="2"/>
      <c r="M17" s="2"/>
      <c r="N17" s="23">
        <v>4</v>
      </c>
      <c r="O17" s="2"/>
      <c r="P17" s="2"/>
      <c r="Q17" s="2"/>
      <c r="R17" s="2"/>
      <c r="S17" s="2"/>
      <c r="T17" s="23">
        <v>5.63450966</v>
      </c>
      <c r="U17" s="23">
        <v>7.6422105</v>
      </c>
      <c r="V17" s="23">
        <v>11.066420430000001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O17">
        <v>12</v>
      </c>
      <c r="AP17" s="21">
        <v>476.5212686940929</v>
      </c>
      <c r="AQ17" s="21">
        <v>0.1007300264509579</v>
      </c>
      <c r="AR17" s="28">
        <v>2</v>
      </c>
      <c r="AS17" s="28">
        <v>2.666666666666667</v>
      </c>
      <c r="AT17" s="28">
        <v>0.66666666666666663</v>
      </c>
      <c r="AU17" s="28">
        <v>3.1111111111111112</v>
      </c>
      <c r="AV17" s="28">
        <v>0.23684210526315791</v>
      </c>
      <c r="AW17" s="28">
        <v>0.31578947368421051</v>
      </c>
      <c r="AX17" s="28">
        <v>7.8947368421052627E-2</v>
      </c>
      <c r="AY17" s="28">
        <v>0.36842105263157893</v>
      </c>
      <c r="AZ17" s="25">
        <v>0.95</v>
      </c>
      <c r="BA17" s="25">
        <v>3.44</v>
      </c>
      <c r="BB17" s="25">
        <v>2.4900000000000002</v>
      </c>
      <c r="BC17" s="25">
        <v>2.7322222222222221</v>
      </c>
      <c r="BD17">
        <v>2.7322222222222221</v>
      </c>
      <c r="BE17">
        <v>6.2204042916666662</v>
      </c>
    </row>
    <row r="18" spans="1:57" x14ac:dyDescent="0.3">
      <c r="A18" s="2" t="s">
        <v>16</v>
      </c>
      <c r="B18" s="13" t="s">
        <v>701</v>
      </c>
      <c r="C18" s="13"/>
      <c r="D18" s="2"/>
      <c r="E18" s="2"/>
      <c r="F18" s="2">
        <v>4.0999999999999996</v>
      </c>
      <c r="G18" s="2" t="s">
        <v>9</v>
      </c>
      <c r="H18" s="9" t="s">
        <v>534</v>
      </c>
      <c r="I18" t="s">
        <v>615</v>
      </c>
      <c r="K18" s="2"/>
      <c r="L18" s="2"/>
      <c r="M18" s="2"/>
      <c r="N18" s="23">
        <v>6</v>
      </c>
      <c r="O18" s="2"/>
      <c r="P18" s="2"/>
      <c r="Q18" s="2"/>
      <c r="R18" s="2"/>
      <c r="S18" s="2"/>
      <c r="T18" s="23">
        <v>9.2906580000000005</v>
      </c>
      <c r="U18" s="23">
        <v>9.8537374799999977</v>
      </c>
      <c r="V18" s="23">
        <v>14.19785074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O18">
        <v>12</v>
      </c>
      <c r="AP18" s="21">
        <v>1160.7096237378021</v>
      </c>
      <c r="AQ18" s="21">
        <v>6.2031018376620617E-2</v>
      </c>
      <c r="AR18" s="28">
        <v>2</v>
      </c>
      <c r="AS18" s="28">
        <v>2.666666666666667</v>
      </c>
      <c r="AT18" s="28">
        <v>0.66666666666666663</v>
      </c>
      <c r="AU18" s="28">
        <v>3.1111111111111112</v>
      </c>
      <c r="AV18" s="28">
        <v>0.23684210526315791</v>
      </c>
      <c r="AW18" s="28">
        <v>0.31578947368421051</v>
      </c>
      <c r="AX18" s="28">
        <v>7.8947368421052627E-2</v>
      </c>
      <c r="AY18" s="28">
        <v>0.36842105263157893</v>
      </c>
      <c r="AZ18" s="25">
        <v>0.89</v>
      </c>
      <c r="BA18" s="25">
        <v>3.44</v>
      </c>
      <c r="BB18" s="25">
        <v>2.5499999999999998</v>
      </c>
      <c r="BC18" s="25">
        <v>2.7255555555555562</v>
      </c>
      <c r="BD18">
        <v>2.7255555555555548</v>
      </c>
      <c r="BE18">
        <v>6.1987019111111108</v>
      </c>
    </row>
    <row r="19" spans="1:57" x14ac:dyDescent="0.3">
      <c r="A19" s="2" t="s">
        <v>17</v>
      </c>
      <c r="B19" s="13" t="s">
        <v>702</v>
      </c>
      <c r="C19" s="13"/>
      <c r="D19" s="2"/>
      <c r="E19" s="2"/>
      <c r="F19" s="2">
        <v>3.67</v>
      </c>
      <c r="G19" s="2" t="s">
        <v>117</v>
      </c>
      <c r="H19" s="9" t="s">
        <v>535</v>
      </c>
      <c r="I19" t="s">
        <v>616</v>
      </c>
      <c r="K19" s="2"/>
      <c r="L19" s="2"/>
      <c r="M19" s="2"/>
      <c r="N19" s="23">
        <v>1</v>
      </c>
      <c r="O19" s="2">
        <v>5.4669999999999996</v>
      </c>
      <c r="P19" s="2">
        <v>5.4269999999999996</v>
      </c>
      <c r="Q19" s="2">
        <v>24.931000000000001</v>
      </c>
      <c r="R19" s="2" t="s">
        <v>450</v>
      </c>
      <c r="S19" s="2"/>
      <c r="T19" s="23">
        <v>13.46934785</v>
      </c>
      <c r="U19" s="23">
        <v>13.46934785</v>
      </c>
      <c r="V19" s="23">
        <v>13.46934785</v>
      </c>
      <c r="W19" s="2">
        <v>1</v>
      </c>
      <c r="X19" s="2"/>
      <c r="Y19" s="2">
        <v>2</v>
      </c>
      <c r="Z19" s="2">
        <v>1.96</v>
      </c>
      <c r="AA19" s="2">
        <v>1500</v>
      </c>
      <c r="AB19" s="2" t="s">
        <v>461</v>
      </c>
      <c r="AC19" s="2"/>
      <c r="AD19" s="2">
        <v>1</v>
      </c>
      <c r="AE19" s="2"/>
      <c r="AF19" s="2"/>
      <c r="AG19" s="2"/>
      <c r="AH19" s="2"/>
      <c r="AI19" s="2"/>
      <c r="AJ19" s="2"/>
      <c r="AO19">
        <v>18</v>
      </c>
      <c r="AP19" s="21">
        <v>189.22149105491849</v>
      </c>
      <c r="AQ19" s="21">
        <v>9.5126615373598261E-2</v>
      </c>
      <c r="AR19" s="28">
        <v>2</v>
      </c>
      <c r="AS19" s="28">
        <v>3</v>
      </c>
      <c r="AT19" s="28">
        <v>1.857142857142857</v>
      </c>
      <c r="AU19" s="28">
        <v>4</v>
      </c>
      <c r="AV19" s="28">
        <v>0.18421052631578949</v>
      </c>
      <c r="AW19" s="28">
        <v>0.27631578947368418</v>
      </c>
      <c r="AX19" s="28">
        <v>0.1710526315789474</v>
      </c>
      <c r="AY19" s="28">
        <v>0.36842105263157893</v>
      </c>
      <c r="AZ19" s="25">
        <v>1</v>
      </c>
      <c r="BA19" s="25">
        <v>3.44</v>
      </c>
      <c r="BB19" s="25">
        <v>2.44</v>
      </c>
      <c r="BC19" s="25">
        <v>2.785714285714286</v>
      </c>
      <c r="BD19">
        <v>2.785714285714286</v>
      </c>
      <c r="BE19">
        <v>6.216117408214286</v>
      </c>
    </row>
    <row r="20" spans="1:57" x14ac:dyDescent="0.3">
      <c r="A20" s="2" t="s">
        <v>51</v>
      </c>
      <c r="B20" s="13" t="s">
        <v>703</v>
      </c>
      <c r="C20" s="13"/>
      <c r="D20" s="2"/>
      <c r="E20" s="2"/>
      <c r="F20" s="2">
        <v>3.64</v>
      </c>
      <c r="G20" s="2" t="s">
        <v>117</v>
      </c>
      <c r="H20" s="9" t="s">
        <v>536</v>
      </c>
      <c r="I20" t="s">
        <v>617</v>
      </c>
      <c r="K20" s="2"/>
      <c r="L20" s="2"/>
      <c r="M20" s="2"/>
      <c r="N20" s="23">
        <v>1</v>
      </c>
      <c r="O20" s="2">
        <v>5.4729999999999999</v>
      </c>
      <c r="P20" s="2">
        <v>5.5269999999999992</v>
      </c>
      <c r="Q20" s="2">
        <v>25.030999999999999</v>
      </c>
      <c r="R20" s="2" t="s">
        <v>450</v>
      </c>
      <c r="S20" s="2"/>
      <c r="T20" s="23">
        <v>12.88926011</v>
      </c>
      <c r="U20" s="23">
        <v>12.88926011</v>
      </c>
      <c r="V20" s="23">
        <v>12.88926011</v>
      </c>
      <c r="W20" s="2">
        <v>1</v>
      </c>
      <c r="X20" s="2"/>
      <c r="Y20" s="2">
        <v>2</v>
      </c>
      <c r="Z20" s="2">
        <v>2.36</v>
      </c>
      <c r="AA20" s="2">
        <v>11299.999999999998</v>
      </c>
      <c r="AB20" s="2"/>
      <c r="AC20" s="2"/>
      <c r="AD20" s="2">
        <v>1</v>
      </c>
      <c r="AE20" s="2"/>
      <c r="AF20" s="2"/>
      <c r="AG20" s="2"/>
      <c r="AH20" s="2"/>
      <c r="AI20" s="2"/>
      <c r="AJ20" s="2"/>
      <c r="AO20">
        <v>18</v>
      </c>
      <c r="AP20" s="21">
        <v>195.03203980213701</v>
      </c>
      <c r="AQ20" s="21">
        <v>9.2292528029042184E-2</v>
      </c>
      <c r="AR20" s="28">
        <v>2</v>
      </c>
      <c r="AS20" s="28">
        <v>3</v>
      </c>
      <c r="AT20" s="28">
        <v>1.857142857142857</v>
      </c>
      <c r="AU20" s="28">
        <v>4</v>
      </c>
      <c r="AV20" s="28">
        <v>0.18421052631578949</v>
      </c>
      <c r="AW20" s="28">
        <v>0.27631578947368418</v>
      </c>
      <c r="AX20" s="28">
        <v>0.1710526315789474</v>
      </c>
      <c r="AY20" s="28">
        <v>0.36842105263157893</v>
      </c>
      <c r="AZ20" s="25">
        <v>0.95</v>
      </c>
      <c r="BA20" s="25">
        <v>3.44</v>
      </c>
      <c r="BB20" s="25">
        <v>2.4900000000000002</v>
      </c>
      <c r="BC20" s="25">
        <v>2.782142857142857</v>
      </c>
      <c r="BD20">
        <v>2.7821428571428579</v>
      </c>
      <c r="BE20">
        <v>6.2021612289285706</v>
      </c>
    </row>
    <row r="21" spans="1:57" x14ac:dyDescent="0.3">
      <c r="A21" s="2" t="s">
        <v>18</v>
      </c>
      <c r="B21" s="13" t="s">
        <v>704</v>
      </c>
      <c r="C21" s="13"/>
      <c r="D21" s="2"/>
      <c r="E21" s="2"/>
      <c r="F21" s="2">
        <v>3.52</v>
      </c>
      <c r="G21" s="2" t="s">
        <v>117</v>
      </c>
      <c r="H21" s="9" t="s">
        <v>537</v>
      </c>
      <c r="I21" t="s">
        <v>618</v>
      </c>
      <c r="K21" s="2"/>
      <c r="L21" s="2"/>
      <c r="M21" s="2"/>
      <c r="N21" s="23">
        <v>1</v>
      </c>
      <c r="O21" s="2">
        <v>3.9539999999999997</v>
      </c>
      <c r="P21" s="2">
        <v>3.9539999999999997</v>
      </c>
      <c r="Q21" s="2">
        <v>25.487000000000002</v>
      </c>
      <c r="R21" s="2" t="s">
        <v>440</v>
      </c>
      <c r="S21" s="2"/>
      <c r="T21" s="23">
        <v>12.939761450000001</v>
      </c>
      <c r="U21" s="23">
        <v>12.939761450000001</v>
      </c>
      <c r="V21" s="23">
        <v>12.939761450000001</v>
      </c>
      <c r="W21" s="2">
        <v>1</v>
      </c>
      <c r="X21" s="2"/>
      <c r="Y21" s="2">
        <v>2</v>
      </c>
      <c r="Z21" s="2">
        <v>2.1800000000000002</v>
      </c>
      <c r="AA21" s="2">
        <v>550</v>
      </c>
      <c r="AB21" s="2"/>
      <c r="AC21" s="2"/>
      <c r="AD21" s="2">
        <v>1</v>
      </c>
      <c r="AE21" s="2"/>
      <c r="AF21" s="2"/>
      <c r="AG21" s="2"/>
      <c r="AH21" s="2"/>
      <c r="AI21" s="2"/>
      <c r="AJ21" s="2"/>
      <c r="AO21">
        <v>18</v>
      </c>
      <c r="AP21" s="21">
        <v>198.96095988642259</v>
      </c>
      <c r="AQ21" s="21">
        <v>9.047000984653146E-2</v>
      </c>
      <c r="AR21" s="28">
        <v>2</v>
      </c>
      <c r="AS21" s="28">
        <v>3</v>
      </c>
      <c r="AT21" s="28">
        <v>1.857142857142857</v>
      </c>
      <c r="AU21" s="28">
        <v>4</v>
      </c>
      <c r="AV21" s="28">
        <v>0.18421052631578949</v>
      </c>
      <c r="AW21" s="28">
        <v>0.27631578947368418</v>
      </c>
      <c r="AX21" s="28">
        <v>0.1710526315789474</v>
      </c>
      <c r="AY21" s="28">
        <v>0.36842105263157893</v>
      </c>
      <c r="AZ21" s="25">
        <v>0.89</v>
      </c>
      <c r="BA21" s="25">
        <v>3.44</v>
      </c>
      <c r="BB21" s="25">
        <v>2.5499999999999998</v>
      </c>
      <c r="BC21" s="25">
        <v>2.777857142857143</v>
      </c>
      <c r="BD21">
        <v>2.777857142857143</v>
      </c>
      <c r="BE21">
        <v>6.1882096985714297</v>
      </c>
    </row>
    <row r="22" spans="1:57" x14ac:dyDescent="0.3">
      <c r="A22" s="2" t="s">
        <v>19</v>
      </c>
      <c r="B22" s="13" t="s">
        <v>705</v>
      </c>
      <c r="C22" s="13"/>
      <c r="D22" s="2"/>
      <c r="E22" s="2"/>
      <c r="F22" s="2">
        <v>3.46</v>
      </c>
      <c r="G22" s="2" t="s">
        <v>435</v>
      </c>
      <c r="H22" s="9" t="s">
        <v>538</v>
      </c>
      <c r="I22">
        <v>-1</v>
      </c>
      <c r="K22" s="2"/>
      <c r="L22" s="2"/>
      <c r="M22" s="2"/>
      <c r="N22" s="23">
        <v>1</v>
      </c>
      <c r="O22" s="2" t="s">
        <v>464</v>
      </c>
      <c r="P22" s="2" t="s">
        <v>464</v>
      </c>
      <c r="Q22" s="2" t="s">
        <v>464</v>
      </c>
      <c r="R22" s="2" t="s">
        <v>450</v>
      </c>
      <c r="S22" s="2"/>
      <c r="T22" s="23">
        <v>13.83861243</v>
      </c>
      <c r="U22" s="23">
        <v>13.83861243</v>
      </c>
      <c r="V22" s="23">
        <v>13.83861243</v>
      </c>
      <c r="W22" s="2"/>
      <c r="X22" s="2" t="s">
        <v>462</v>
      </c>
      <c r="Y22" s="2">
        <v>2</v>
      </c>
      <c r="Z22" s="2"/>
      <c r="AA22" s="2">
        <v>580</v>
      </c>
      <c r="AB22" s="2" t="s">
        <v>470</v>
      </c>
      <c r="AC22" s="2"/>
      <c r="AD22" s="2"/>
      <c r="AE22" s="2"/>
      <c r="AF22" s="2"/>
      <c r="AG22" s="2"/>
      <c r="AH22" s="2"/>
      <c r="AI22" s="2"/>
      <c r="AJ22" s="2"/>
      <c r="AO22">
        <v>18</v>
      </c>
      <c r="AP22" s="21">
        <v>208.2630581553295</v>
      </c>
      <c r="AQ22" s="21">
        <v>8.6429154356194082E-2</v>
      </c>
      <c r="AR22" s="28">
        <v>1.857142857142857</v>
      </c>
      <c r="AS22" s="28">
        <v>3</v>
      </c>
      <c r="AT22" s="28">
        <v>2</v>
      </c>
      <c r="AU22" s="28">
        <v>2</v>
      </c>
      <c r="AV22" s="28">
        <v>0.20967741935483869</v>
      </c>
      <c r="AW22" s="28">
        <v>0.33870967741935482</v>
      </c>
      <c r="AX22" s="28">
        <v>0.22580645161290319</v>
      </c>
      <c r="AY22" s="28">
        <v>0.22580645161290319</v>
      </c>
      <c r="AZ22" s="25">
        <v>1</v>
      </c>
      <c r="BA22" s="25">
        <v>3.44</v>
      </c>
      <c r="BB22" s="25">
        <v>2.44</v>
      </c>
      <c r="BC22" s="25">
        <v>2.8</v>
      </c>
      <c r="BD22">
        <v>2.8</v>
      </c>
      <c r="BE22">
        <v>6.2020864082142868</v>
      </c>
    </row>
    <row r="23" spans="1:57" x14ac:dyDescent="0.3">
      <c r="A23" s="2" t="s">
        <v>20</v>
      </c>
      <c r="B23" s="13" t="s">
        <v>706</v>
      </c>
      <c r="C23" s="13"/>
      <c r="D23" s="2"/>
      <c r="E23" s="2"/>
      <c r="F23" s="2">
        <v>3.43</v>
      </c>
      <c r="G23" s="2" t="s">
        <v>435</v>
      </c>
      <c r="H23" s="9" t="s">
        <v>539</v>
      </c>
      <c r="I23" t="s">
        <v>619</v>
      </c>
      <c r="K23" s="2"/>
      <c r="L23" s="2"/>
      <c r="M23" s="2"/>
      <c r="N23" s="23">
        <v>2</v>
      </c>
      <c r="O23" s="2" t="s">
        <v>464</v>
      </c>
      <c r="P23" s="2" t="s">
        <v>464</v>
      </c>
      <c r="Q23" s="2" t="s">
        <v>464</v>
      </c>
      <c r="R23" s="2" t="s">
        <v>450</v>
      </c>
      <c r="S23" s="2"/>
      <c r="T23" s="23">
        <v>13.01244535</v>
      </c>
      <c r="U23" s="23">
        <v>13.01244535</v>
      </c>
      <c r="V23" s="23">
        <v>5.6884839999999999</v>
      </c>
      <c r="W23" s="2"/>
      <c r="X23" s="2" t="s">
        <v>462</v>
      </c>
      <c r="Y23" s="2">
        <v>2</v>
      </c>
      <c r="Z23" s="2"/>
      <c r="AA23" s="2">
        <v>3660</v>
      </c>
      <c r="AB23" s="2"/>
      <c r="AC23" s="2"/>
      <c r="AD23" s="2"/>
      <c r="AE23" s="2"/>
      <c r="AF23" s="2"/>
      <c r="AG23" s="2"/>
      <c r="AH23" s="2"/>
      <c r="AI23" s="2"/>
      <c r="AJ23" s="2"/>
      <c r="AO23">
        <v>18</v>
      </c>
      <c r="AP23" s="21">
        <v>408.08048566890238</v>
      </c>
      <c r="AQ23" s="21">
        <v>8.8217891480379992E-2</v>
      </c>
      <c r="AR23" s="28">
        <v>1.857142857142857</v>
      </c>
      <c r="AS23" s="28">
        <v>3</v>
      </c>
      <c r="AT23" s="28">
        <v>2</v>
      </c>
      <c r="AU23" s="28">
        <v>2</v>
      </c>
      <c r="AV23" s="28">
        <v>0.20967741935483869</v>
      </c>
      <c r="AW23" s="28">
        <v>0.33870967741935482</v>
      </c>
      <c r="AX23" s="28">
        <v>0.22580645161290319</v>
      </c>
      <c r="AY23" s="28">
        <v>0.22580645161290319</v>
      </c>
      <c r="AZ23" s="25">
        <v>0.95</v>
      </c>
      <c r="BA23" s="25">
        <v>3.44</v>
      </c>
      <c r="BB23" s="25">
        <v>2.4900000000000002</v>
      </c>
      <c r="BC23" s="25">
        <v>2.7964285714285722</v>
      </c>
      <c r="BD23">
        <v>2.7964285714285722</v>
      </c>
      <c r="BE23">
        <v>6.1881302289285713</v>
      </c>
    </row>
    <row r="24" spans="1:57" x14ac:dyDescent="0.3">
      <c r="A24" s="2" t="s">
        <v>21</v>
      </c>
      <c r="B24" s="13" t="s">
        <v>707</v>
      </c>
      <c r="C24" s="13"/>
      <c r="D24" s="2"/>
      <c r="E24" s="2"/>
      <c r="F24" s="2">
        <v>3.3</v>
      </c>
      <c r="G24" s="2" t="s">
        <v>435</v>
      </c>
      <c r="H24" s="9" t="s">
        <v>540</v>
      </c>
      <c r="I24" t="s">
        <v>620</v>
      </c>
      <c r="K24" s="2"/>
      <c r="L24" s="2"/>
      <c r="M24" s="2"/>
      <c r="N24" s="23">
        <v>2</v>
      </c>
      <c r="O24" s="2" t="s">
        <v>464</v>
      </c>
      <c r="P24" s="2" t="s">
        <v>464</v>
      </c>
      <c r="Q24" s="2" t="s">
        <v>464</v>
      </c>
      <c r="R24" s="2" t="s">
        <v>440</v>
      </c>
      <c r="S24" s="2"/>
      <c r="T24" s="23">
        <v>13.052871550000001</v>
      </c>
      <c r="U24" s="23">
        <v>13.052871550000001</v>
      </c>
      <c r="V24" s="23">
        <v>5.7602650000000004</v>
      </c>
      <c r="W24" s="2"/>
      <c r="X24" s="2" t="s">
        <v>463</v>
      </c>
      <c r="Y24" s="2">
        <v>2</v>
      </c>
      <c r="Z24" s="2"/>
      <c r="AA24" s="2">
        <v>1130</v>
      </c>
      <c r="AB24" s="2"/>
      <c r="AC24" s="2"/>
      <c r="AD24" s="2"/>
      <c r="AE24" s="2"/>
      <c r="AF24" s="2"/>
      <c r="AG24" s="2"/>
      <c r="AH24" s="2"/>
      <c r="AI24" s="2"/>
      <c r="AJ24" s="2"/>
      <c r="AO24">
        <v>18</v>
      </c>
      <c r="AP24" s="21">
        <v>419.87909289623292</v>
      </c>
      <c r="AQ24" s="21">
        <v>8.5738967738736363E-2</v>
      </c>
      <c r="AR24" s="28">
        <v>1.857142857142857</v>
      </c>
      <c r="AS24" s="28">
        <v>3</v>
      </c>
      <c r="AT24" s="28">
        <v>2</v>
      </c>
      <c r="AU24" s="28">
        <v>2</v>
      </c>
      <c r="AV24" s="28">
        <v>0.20967741935483869</v>
      </c>
      <c r="AW24" s="28">
        <v>0.33870967741935482</v>
      </c>
      <c r="AX24" s="28">
        <v>0.22580645161290319</v>
      </c>
      <c r="AY24" s="28">
        <v>0.22580645161290319</v>
      </c>
      <c r="AZ24" s="25">
        <v>0.89</v>
      </c>
      <c r="BA24" s="25">
        <v>3.44</v>
      </c>
      <c r="BB24" s="25">
        <v>2.5499999999999998</v>
      </c>
      <c r="BC24" s="25">
        <v>2.7921428571428568</v>
      </c>
      <c r="BD24">
        <v>2.7921428571428568</v>
      </c>
      <c r="BE24">
        <v>6.1741786985714304</v>
      </c>
    </row>
    <row r="25" spans="1:57" x14ac:dyDescent="0.3">
      <c r="A25" s="2" t="s">
        <v>22</v>
      </c>
      <c r="B25" s="13" t="s">
        <v>876</v>
      </c>
      <c r="C25" s="13"/>
      <c r="D25" s="2"/>
      <c r="E25" s="2"/>
      <c r="F25" s="2">
        <v>2.74</v>
      </c>
      <c r="G25" s="2" t="s">
        <v>213</v>
      </c>
      <c r="H25" s="32" t="s">
        <v>541</v>
      </c>
      <c r="I25" t="s">
        <v>621</v>
      </c>
      <c r="K25" s="2"/>
      <c r="L25" s="2"/>
      <c r="M25" s="2"/>
      <c r="N25" s="23">
        <v>0</v>
      </c>
      <c r="O25" s="2"/>
      <c r="P25" s="2"/>
      <c r="Q25" s="2"/>
      <c r="R25" s="2"/>
      <c r="S25" s="2"/>
      <c r="T25" s="23">
        <v>0</v>
      </c>
      <c r="U25" s="23"/>
      <c r="V25" s="23"/>
      <c r="W25" s="2">
        <v>1</v>
      </c>
      <c r="X25" s="2"/>
      <c r="Y25" s="2" t="s">
        <v>464</v>
      </c>
      <c r="Z25" s="2"/>
      <c r="AA25" s="2">
        <v>38.960999999999999</v>
      </c>
      <c r="AB25" s="2" t="s">
        <v>465</v>
      </c>
      <c r="AC25" s="2"/>
      <c r="AD25" s="2"/>
      <c r="AE25" s="2"/>
      <c r="AF25" s="2">
        <v>1</v>
      </c>
      <c r="AG25" s="2">
        <v>1</v>
      </c>
      <c r="AH25" s="2"/>
      <c r="AI25" s="2"/>
      <c r="AJ25" s="2"/>
      <c r="AK25" s="2">
        <v>1</v>
      </c>
      <c r="AO25">
        <v>18</v>
      </c>
      <c r="AP25" s="21">
        <v>0</v>
      </c>
      <c r="AQ25" s="21"/>
      <c r="AR25" s="28">
        <v>1.871428571428571</v>
      </c>
      <c r="AS25" s="28">
        <v>3.1428571428571428</v>
      </c>
      <c r="AT25" s="28">
        <v>2.714285714285714</v>
      </c>
      <c r="AU25" s="28">
        <v>3.2</v>
      </c>
      <c r="AV25" s="28">
        <v>0.17124183006535951</v>
      </c>
      <c r="AW25" s="28">
        <v>0.28758169934640521</v>
      </c>
      <c r="AX25" s="28">
        <v>0.2483660130718954</v>
      </c>
      <c r="AY25" s="28">
        <v>0.29281045751633977</v>
      </c>
      <c r="AZ25" s="25">
        <v>1.6</v>
      </c>
      <c r="BA25" s="25">
        <v>3.44</v>
      </c>
      <c r="BB25" s="25">
        <v>1.84</v>
      </c>
      <c r="BC25" s="25">
        <v>2.9058571428571431</v>
      </c>
      <c r="BD25">
        <v>2.9058571428571431</v>
      </c>
      <c r="BE25">
        <v>6.2676757950000006</v>
      </c>
    </row>
    <row r="26" spans="1:57" x14ac:dyDescent="0.3">
      <c r="A26" s="2" t="s">
        <v>23</v>
      </c>
      <c r="B26" s="13" t="s">
        <v>877</v>
      </c>
      <c r="C26" s="13"/>
      <c r="D26" s="2"/>
      <c r="E26" s="2"/>
      <c r="F26" s="2">
        <v>2.74</v>
      </c>
      <c r="G26" s="2" t="s">
        <v>213</v>
      </c>
      <c r="H26" s="32" t="s">
        <v>541</v>
      </c>
      <c r="I26" t="s">
        <v>621</v>
      </c>
      <c r="K26" s="2"/>
      <c r="L26" s="2"/>
      <c r="M26" s="2"/>
      <c r="N26" s="23">
        <v>0</v>
      </c>
      <c r="O26" s="2"/>
      <c r="P26" s="2"/>
      <c r="Q26" s="2"/>
      <c r="R26" s="2"/>
      <c r="S26" s="2"/>
      <c r="T26" s="23">
        <v>0</v>
      </c>
      <c r="U26" s="23"/>
      <c r="V26" s="23"/>
      <c r="W26" s="2">
        <v>1</v>
      </c>
      <c r="X26" s="2"/>
      <c r="Y26" s="2" t="s">
        <v>464</v>
      </c>
      <c r="Z26" s="2"/>
      <c r="AA26" s="2">
        <v>50.949000000000005</v>
      </c>
      <c r="AB26" s="2"/>
      <c r="AC26" s="2"/>
      <c r="AD26" s="2"/>
      <c r="AE26" s="2"/>
      <c r="AF26" s="2">
        <v>1</v>
      </c>
      <c r="AG26" s="2">
        <v>1</v>
      </c>
      <c r="AH26" s="2"/>
      <c r="AI26" s="2"/>
      <c r="AJ26" s="2"/>
      <c r="AK26" s="2">
        <v>1</v>
      </c>
      <c r="AO26">
        <v>18</v>
      </c>
      <c r="AP26" s="21">
        <v>0</v>
      </c>
      <c r="AQ26" s="21"/>
      <c r="AR26" s="28">
        <v>1.8678571428571431</v>
      </c>
      <c r="AS26" s="28">
        <v>3.1428571428571428</v>
      </c>
      <c r="AT26" s="28">
        <v>2.714285714285714</v>
      </c>
      <c r="AU26" s="28">
        <v>3.15</v>
      </c>
      <c r="AV26" s="28">
        <v>0.1717569786535304</v>
      </c>
      <c r="AW26" s="28">
        <v>0.28899835796387519</v>
      </c>
      <c r="AX26" s="28">
        <v>0.24958949096880129</v>
      </c>
      <c r="AY26" s="28">
        <v>0.28965517241379313</v>
      </c>
      <c r="AZ26" s="25">
        <v>1.6</v>
      </c>
      <c r="BA26" s="25">
        <v>3.44</v>
      </c>
      <c r="BB26" s="25">
        <v>1.84</v>
      </c>
      <c r="BC26" s="25">
        <v>2.903142857142857</v>
      </c>
      <c r="BD26">
        <v>2.903142857142857</v>
      </c>
      <c r="BE26">
        <v>6.2658828646428582</v>
      </c>
    </row>
    <row r="27" spans="1:57" x14ac:dyDescent="0.3">
      <c r="A27" s="2" t="s">
        <v>24</v>
      </c>
      <c r="B27" s="13" t="s">
        <v>878</v>
      </c>
      <c r="C27" s="13"/>
      <c r="D27" s="2"/>
      <c r="E27" s="2"/>
      <c r="F27" s="2">
        <v>2.75</v>
      </c>
      <c r="G27" s="2" t="s">
        <v>213</v>
      </c>
      <c r="H27" s="32" t="s">
        <v>541</v>
      </c>
      <c r="I27" t="s">
        <v>621</v>
      </c>
      <c r="K27" s="2"/>
      <c r="L27" s="2"/>
      <c r="M27" s="2"/>
      <c r="N27" s="23">
        <v>0</v>
      </c>
      <c r="O27" s="2"/>
      <c r="P27" s="2"/>
      <c r="Q27" s="2"/>
      <c r="R27" s="2"/>
      <c r="S27" s="2"/>
      <c r="T27" s="23">
        <v>0</v>
      </c>
      <c r="U27" s="23"/>
      <c r="V27" s="23"/>
      <c r="W27" s="2">
        <v>1</v>
      </c>
      <c r="X27" s="2"/>
      <c r="Y27" s="2" t="s">
        <v>464</v>
      </c>
      <c r="Z27" s="2"/>
      <c r="AA27" s="2">
        <v>30.303000000000001</v>
      </c>
      <c r="AB27" s="2"/>
      <c r="AC27" s="2"/>
      <c r="AD27" s="2"/>
      <c r="AE27" s="2"/>
      <c r="AF27" s="2">
        <v>1</v>
      </c>
      <c r="AG27" s="2">
        <v>1</v>
      </c>
      <c r="AH27" s="2"/>
      <c r="AI27" s="2"/>
      <c r="AJ27" s="2"/>
      <c r="AK27" s="2">
        <v>1</v>
      </c>
      <c r="AO27">
        <v>18</v>
      </c>
      <c r="AP27" s="21">
        <v>0</v>
      </c>
      <c r="AQ27" s="21"/>
      <c r="AR27" s="28">
        <v>1.8642857142857141</v>
      </c>
      <c r="AS27" s="28">
        <v>3.1428571428571428</v>
      </c>
      <c r="AT27" s="28">
        <v>2.714285714285714</v>
      </c>
      <c r="AU27" s="28">
        <v>3.1</v>
      </c>
      <c r="AV27" s="28">
        <v>0.17227722772277229</v>
      </c>
      <c r="AW27" s="28">
        <v>0.29042904290429039</v>
      </c>
      <c r="AX27" s="28">
        <v>0.25082508250825092</v>
      </c>
      <c r="AY27" s="28">
        <v>0.28646864686468648</v>
      </c>
      <c r="AZ27" s="25">
        <v>1.6</v>
      </c>
      <c r="BA27" s="25">
        <v>3.44</v>
      </c>
      <c r="BB27" s="25">
        <v>1.84</v>
      </c>
      <c r="BC27" s="25">
        <v>2.9004285714285709</v>
      </c>
      <c r="BD27">
        <v>2.9004285714285718</v>
      </c>
      <c r="BE27">
        <v>6.2640899342857157</v>
      </c>
    </row>
    <row r="28" spans="1:57" x14ac:dyDescent="0.3">
      <c r="A28" s="2" t="s">
        <v>25</v>
      </c>
      <c r="B28" s="13" t="s">
        <v>708</v>
      </c>
      <c r="C28" s="13"/>
      <c r="D28" s="2"/>
      <c r="E28" s="2"/>
      <c r="F28" s="2">
        <v>2.88</v>
      </c>
      <c r="G28" s="2" t="s">
        <v>213</v>
      </c>
      <c r="H28" s="9" t="s">
        <v>541</v>
      </c>
      <c r="I28" t="s">
        <v>621</v>
      </c>
      <c r="K28" s="2"/>
      <c r="L28" s="2"/>
      <c r="M28" s="2"/>
      <c r="N28" s="23">
        <v>1</v>
      </c>
      <c r="O28" s="2">
        <v>5.4960000000000004</v>
      </c>
      <c r="P28" s="2">
        <v>5.4960000000000004</v>
      </c>
      <c r="Q28" s="2">
        <v>25.55</v>
      </c>
      <c r="R28" s="2" t="s">
        <v>450</v>
      </c>
      <c r="S28" s="2"/>
      <c r="T28" s="23">
        <v>12.868820120000001</v>
      </c>
      <c r="U28" s="23">
        <v>12.868820120000001</v>
      </c>
      <c r="V28" s="23">
        <v>12.868820120000001</v>
      </c>
      <c r="W28" s="2">
        <v>1</v>
      </c>
      <c r="X28" s="2"/>
      <c r="Y28" s="2">
        <v>4</v>
      </c>
      <c r="Z28" s="2"/>
      <c r="AA28" s="2">
        <v>25.308</v>
      </c>
      <c r="AB28" s="2"/>
      <c r="AC28" s="2"/>
      <c r="AD28" s="2"/>
      <c r="AE28" s="2"/>
      <c r="AF28" s="2">
        <v>1</v>
      </c>
      <c r="AG28" s="2">
        <v>1</v>
      </c>
      <c r="AH28" s="2"/>
      <c r="AI28" s="2"/>
      <c r="AJ28" s="2"/>
      <c r="AK28">
        <v>1</v>
      </c>
      <c r="AO28">
        <v>18</v>
      </c>
      <c r="AP28" s="21">
        <v>197.4403766939285</v>
      </c>
      <c r="AQ28" s="21">
        <v>9.1166762854710051E-2</v>
      </c>
      <c r="AR28" s="28">
        <v>1.857142857142857</v>
      </c>
      <c r="AS28" s="28">
        <v>3.1428571428571428</v>
      </c>
      <c r="AT28" s="28">
        <v>2.714285714285714</v>
      </c>
      <c r="AU28" s="28">
        <v>3</v>
      </c>
      <c r="AV28" s="28">
        <v>0.17333333333333331</v>
      </c>
      <c r="AW28" s="28">
        <v>0.29333333333333328</v>
      </c>
      <c r="AX28" s="28">
        <v>0.25333333333333341</v>
      </c>
      <c r="AY28" s="28">
        <v>0.28000000000000003</v>
      </c>
      <c r="AZ28" s="25">
        <v>1.6</v>
      </c>
      <c r="BA28" s="25">
        <v>3.44</v>
      </c>
      <c r="BB28" s="25">
        <v>1.84</v>
      </c>
      <c r="BC28" s="25">
        <v>2.895</v>
      </c>
      <c r="BD28">
        <v>2.895</v>
      </c>
      <c r="BE28">
        <v>6.260504073571429</v>
      </c>
    </row>
    <row r="29" spans="1:57" x14ac:dyDescent="0.3">
      <c r="A29" s="2" t="s">
        <v>26</v>
      </c>
      <c r="B29" s="13" t="s">
        <v>879</v>
      </c>
      <c r="C29" s="13"/>
      <c r="D29" s="2"/>
      <c r="E29" s="2"/>
      <c r="F29" s="2">
        <v>2.91</v>
      </c>
      <c r="G29" s="2" t="s">
        <v>213</v>
      </c>
      <c r="H29" s="32" t="s">
        <v>541</v>
      </c>
      <c r="I29" t="s">
        <v>621</v>
      </c>
      <c r="K29" s="2"/>
      <c r="L29" s="2"/>
      <c r="M29" s="2"/>
      <c r="N29" s="23">
        <v>0</v>
      </c>
      <c r="O29" s="2"/>
      <c r="P29" s="2"/>
      <c r="Q29" s="2"/>
      <c r="R29" s="2"/>
      <c r="S29" s="2"/>
      <c r="T29" s="23">
        <v>0</v>
      </c>
      <c r="U29" s="23"/>
      <c r="V29" s="23"/>
      <c r="W29" s="2">
        <v>1</v>
      </c>
      <c r="X29" s="2"/>
      <c r="Y29" s="2" t="s">
        <v>464</v>
      </c>
      <c r="Z29" s="2"/>
      <c r="AA29" s="2">
        <v>9.3239999999999998</v>
      </c>
      <c r="AB29" s="2"/>
      <c r="AC29" s="2"/>
      <c r="AD29" s="2"/>
      <c r="AE29" s="2"/>
      <c r="AF29" s="2">
        <v>1</v>
      </c>
      <c r="AG29" s="2">
        <v>1</v>
      </c>
      <c r="AH29" s="2"/>
      <c r="AI29" s="2"/>
      <c r="AJ29" s="2"/>
      <c r="AK29">
        <v>1</v>
      </c>
      <c r="AO29">
        <v>18</v>
      </c>
      <c r="AP29" s="21">
        <v>0</v>
      </c>
      <c r="AQ29" s="21"/>
      <c r="AR29" s="28">
        <v>1.8642857142857141</v>
      </c>
      <c r="AS29" s="28">
        <v>3.1428571428571428</v>
      </c>
      <c r="AT29" s="28">
        <v>2.7</v>
      </c>
      <c r="AU29" s="28">
        <v>3</v>
      </c>
      <c r="AV29" s="28">
        <v>0.1741160773849233</v>
      </c>
      <c r="AW29" s="28">
        <v>0.29352901934623082</v>
      </c>
      <c r="AX29" s="28">
        <v>0.25216811207471651</v>
      </c>
      <c r="AY29" s="28">
        <v>0.28018679119412943</v>
      </c>
      <c r="AZ29" s="25">
        <v>1.54</v>
      </c>
      <c r="BA29" s="25">
        <v>3.44</v>
      </c>
      <c r="BB29" s="25">
        <v>1.9</v>
      </c>
      <c r="BC29" s="25">
        <v>2.894571428571429</v>
      </c>
      <c r="BD29">
        <v>2.894571428571429</v>
      </c>
      <c r="BE29">
        <v>6.2577448164285716</v>
      </c>
    </row>
    <row r="30" spans="1:57" x14ac:dyDescent="0.3">
      <c r="A30" s="2" t="s">
        <v>8</v>
      </c>
      <c r="B30" s="13" t="s">
        <v>694</v>
      </c>
      <c r="C30" s="13"/>
      <c r="D30" s="2" t="s">
        <v>676</v>
      </c>
      <c r="E30" s="2" t="s">
        <v>1067</v>
      </c>
      <c r="F30" s="2">
        <v>2.73</v>
      </c>
      <c r="G30" s="2" t="s">
        <v>213</v>
      </c>
      <c r="H30" s="9" t="s">
        <v>530</v>
      </c>
      <c r="I30" t="s">
        <v>612</v>
      </c>
      <c r="K30" s="2"/>
      <c r="L30" s="2"/>
      <c r="M30" s="2"/>
      <c r="N30" s="23">
        <v>30</v>
      </c>
      <c r="O30" s="2"/>
      <c r="P30" s="2"/>
      <c r="Q30" s="2"/>
      <c r="R30" s="2"/>
      <c r="S30" s="2"/>
      <c r="T30" s="23">
        <v>10.59112378</v>
      </c>
      <c r="U30" s="23">
        <v>10.784736629999999</v>
      </c>
      <c r="V30" s="23">
        <v>10.486176179999999</v>
      </c>
      <c r="W30" s="2">
        <v>1</v>
      </c>
      <c r="X30" s="2"/>
      <c r="Y30" s="2" t="s">
        <v>464</v>
      </c>
      <c r="Z30" s="2"/>
      <c r="AA30" s="2">
        <v>0</v>
      </c>
      <c r="AB30" s="2"/>
      <c r="AC30" s="2"/>
      <c r="AD30" s="2"/>
      <c r="AE30" s="2"/>
      <c r="AF30" s="2">
        <v>1</v>
      </c>
      <c r="AG30" s="2">
        <v>1</v>
      </c>
      <c r="AH30" s="2"/>
      <c r="AI30" s="2"/>
      <c r="AJ30" s="2"/>
      <c r="AK30">
        <v>1</v>
      </c>
      <c r="AO30">
        <v>4</v>
      </c>
      <c r="AP30" s="21">
        <v>1182.741260108548</v>
      </c>
      <c r="AQ30" s="21">
        <v>0.1014592151701775</v>
      </c>
      <c r="AR30" s="28">
        <v>2</v>
      </c>
      <c r="AS30" s="28">
        <v>2.666666666666667</v>
      </c>
      <c r="AT30" s="28">
        <v>0.66666666666666663</v>
      </c>
      <c r="AU30" s="28">
        <v>0</v>
      </c>
      <c r="AV30" s="28">
        <v>0.375</v>
      </c>
      <c r="AW30" s="28">
        <v>0.5</v>
      </c>
      <c r="AX30" s="28">
        <v>0.125</v>
      </c>
      <c r="AY30" s="28">
        <v>0</v>
      </c>
      <c r="AZ30" s="25">
        <v>1.54</v>
      </c>
      <c r="BA30" s="25">
        <v>3.44</v>
      </c>
      <c r="BB30" s="25">
        <v>1.9</v>
      </c>
      <c r="BC30" s="25">
        <v>2.8066666666666671</v>
      </c>
      <c r="BD30">
        <v>2.8066666666666662</v>
      </c>
      <c r="BE30">
        <v>6.1769976</v>
      </c>
    </row>
    <row r="31" spans="1:57" x14ac:dyDescent="0.3">
      <c r="A31" s="2" t="s">
        <v>10</v>
      </c>
      <c r="B31" s="13" t="s">
        <v>695</v>
      </c>
      <c r="C31" s="13"/>
      <c r="D31" s="2"/>
      <c r="E31" s="2"/>
      <c r="F31" s="2">
        <v>3.9</v>
      </c>
      <c r="G31" s="2" t="s">
        <v>134</v>
      </c>
      <c r="H31" s="9" t="s">
        <v>531</v>
      </c>
      <c r="I31">
        <v>-1</v>
      </c>
      <c r="K31" s="2"/>
      <c r="L31" s="2"/>
      <c r="M31" s="2"/>
      <c r="N31" s="23">
        <v>1</v>
      </c>
      <c r="O31" s="2">
        <v>3.8849999999999998</v>
      </c>
      <c r="P31" s="2">
        <v>3.8849999999999998</v>
      </c>
      <c r="Q31" s="2">
        <v>11.12</v>
      </c>
      <c r="R31" s="2" t="s">
        <v>439</v>
      </c>
      <c r="S31" s="2"/>
      <c r="T31" s="23">
        <v>3.9103940000000001</v>
      </c>
      <c r="U31" s="23">
        <v>3.9103940000000001</v>
      </c>
      <c r="V31" s="23">
        <v>11.314458</v>
      </c>
      <c r="W31" s="2" t="s">
        <v>464</v>
      </c>
      <c r="X31" s="2"/>
      <c r="Y31" s="2">
        <v>2</v>
      </c>
      <c r="Z31" s="2" t="s">
        <v>464</v>
      </c>
      <c r="AA31" s="2" t="s">
        <v>464</v>
      </c>
      <c r="AB31" s="2"/>
      <c r="AC31" s="2"/>
      <c r="AD31" s="2"/>
      <c r="AE31" s="2"/>
      <c r="AF31" s="2"/>
      <c r="AG31" s="2" t="s">
        <v>464</v>
      </c>
      <c r="AH31" s="2"/>
      <c r="AI31" s="2"/>
      <c r="AJ31" s="2"/>
      <c r="AK31" t="s">
        <v>464</v>
      </c>
      <c r="AO31">
        <v>14</v>
      </c>
      <c r="AP31" s="21">
        <v>173.0114278564659</v>
      </c>
      <c r="AQ31" s="21">
        <v>8.0919510193365449E-2</v>
      </c>
      <c r="AR31" s="28">
        <v>1.9090909090909089</v>
      </c>
      <c r="AS31" s="28">
        <v>2.545454545454545</v>
      </c>
      <c r="AT31" s="28">
        <v>0.63636363636363635</v>
      </c>
      <c r="AU31" s="28">
        <v>2.545454545454545</v>
      </c>
      <c r="AV31" s="28">
        <v>0.25</v>
      </c>
      <c r="AW31" s="28">
        <v>0.33333333333333331</v>
      </c>
      <c r="AX31" s="28">
        <v>8.3333333333333329E-2</v>
      </c>
      <c r="AY31" s="28">
        <v>0.33333333333333331</v>
      </c>
      <c r="AZ31" s="25">
        <v>0.82</v>
      </c>
      <c r="BA31" s="25">
        <v>3.44</v>
      </c>
      <c r="BB31" s="25">
        <v>2.62</v>
      </c>
      <c r="BC31" s="25">
        <v>2.6363636363636358</v>
      </c>
      <c r="BD31">
        <v>2.6363636363636371</v>
      </c>
      <c r="BE31">
        <v>6.0044088459090901</v>
      </c>
    </row>
    <row r="32" spans="1:57" x14ac:dyDescent="0.3">
      <c r="A32" s="2" t="s">
        <v>11</v>
      </c>
      <c r="B32" s="13" t="s">
        <v>696</v>
      </c>
      <c r="C32" s="13"/>
      <c r="D32" s="2"/>
      <c r="E32" s="2"/>
      <c r="F32" s="2">
        <v>3.5</v>
      </c>
      <c r="G32" s="2" t="s">
        <v>134</v>
      </c>
      <c r="H32" s="9">
        <v>-1</v>
      </c>
      <c r="I32">
        <v>-1</v>
      </c>
      <c r="J32" s="9" t="s">
        <v>1144</v>
      </c>
      <c r="K32" s="2"/>
      <c r="L32" s="2"/>
      <c r="M32" s="2"/>
      <c r="N32" s="23">
        <v>0</v>
      </c>
      <c r="O32" s="2">
        <v>3.8839999999999999</v>
      </c>
      <c r="P32" s="2">
        <v>3.8839999999999999</v>
      </c>
      <c r="Q32" s="2">
        <v>11.12</v>
      </c>
      <c r="R32" s="2" t="s">
        <v>439</v>
      </c>
      <c r="S32" s="2"/>
      <c r="T32" s="23">
        <v>0</v>
      </c>
      <c r="U32" s="23"/>
      <c r="V32" s="23"/>
      <c r="W32" s="2" t="s">
        <v>464</v>
      </c>
      <c r="X32" s="2"/>
      <c r="Y32" s="2">
        <v>2</v>
      </c>
      <c r="Z32" s="2" t="s">
        <v>464</v>
      </c>
      <c r="AA32" s="2" t="s">
        <v>464</v>
      </c>
      <c r="AB32" s="2"/>
      <c r="AC32" s="2"/>
      <c r="AD32" s="2"/>
      <c r="AE32" s="2"/>
      <c r="AF32" s="2"/>
      <c r="AG32" s="2" t="s">
        <v>464</v>
      </c>
      <c r="AH32" s="2"/>
      <c r="AI32" s="2"/>
      <c r="AJ32" s="2"/>
      <c r="AK32" t="s">
        <v>464</v>
      </c>
      <c r="AO32">
        <v>14</v>
      </c>
      <c r="AP32" s="21">
        <v>0</v>
      </c>
      <c r="AQ32" s="21"/>
      <c r="AR32" s="28">
        <v>1.9090909090909089</v>
      </c>
      <c r="AS32" s="28">
        <v>2.545454545454545</v>
      </c>
      <c r="AT32" s="28">
        <v>0.54545454545454541</v>
      </c>
      <c r="AU32" s="28">
        <v>2.8181818181818179</v>
      </c>
      <c r="AV32" s="28">
        <v>0.2441860465116279</v>
      </c>
      <c r="AW32" s="28">
        <v>0.32558139534883718</v>
      </c>
      <c r="AX32" s="28">
        <v>6.9767441860465115E-2</v>
      </c>
      <c r="AY32" s="28">
        <v>0.3604651162790698</v>
      </c>
      <c r="AZ32" s="25">
        <v>0.82</v>
      </c>
      <c r="BA32" s="25">
        <v>3.44</v>
      </c>
      <c r="BB32" s="25">
        <v>2.62</v>
      </c>
      <c r="BC32" s="25">
        <v>2.6390909090909092</v>
      </c>
      <c r="BD32">
        <v>2.6390909090909092</v>
      </c>
      <c r="BE32">
        <v>5.9791810459090904</v>
      </c>
    </row>
    <row r="33" spans="1:57" x14ac:dyDescent="0.3">
      <c r="A33" s="2" t="s">
        <v>12</v>
      </c>
      <c r="B33" s="13" t="s">
        <v>697</v>
      </c>
      <c r="C33" s="13"/>
      <c r="D33" s="2"/>
      <c r="E33" s="2"/>
      <c r="F33" s="2">
        <v>3.8</v>
      </c>
      <c r="G33" s="2" t="s">
        <v>134</v>
      </c>
      <c r="H33" s="9">
        <v>-1</v>
      </c>
      <c r="I33">
        <v>-1</v>
      </c>
      <c r="J33" s="9" t="s">
        <v>1145</v>
      </c>
      <c r="K33" s="2"/>
      <c r="L33" s="2"/>
      <c r="M33" s="2"/>
      <c r="N33" s="23">
        <v>0</v>
      </c>
      <c r="O33" s="2">
        <v>3.8460000000000001</v>
      </c>
      <c r="P33" s="2">
        <v>3.8460000000000001</v>
      </c>
      <c r="Q33" s="2">
        <v>11.1</v>
      </c>
      <c r="R33" s="2" t="s">
        <v>439</v>
      </c>
      <c r="S33" s="2"/>
      <c r="T33" s="23">
        <v>0</v>
      </c>
      <c r="U33" s="23"/>
      <c r="V33" s="23"/>
      <c r="W33" s="2" t="s">
        <v>464</v>
      </c>
      <c r="X33" s="2"/>
      <c r="Y33" s="2">
        <v>2</v>
      </c>
      <c r="Z33" s="2" t="s">
        <v>464</v>
      </c>
      <c r="AA33" s="2" t="s">
        <v>464</v>
      </c>
      <c r="AB33" s="2"/>
      <c r="AC33" s="2"/>
      <c r="AD33" s="2"/>
      <c r="AE33" s="2"/>
      <c r="AF33" s="2"/>
      <c r="AG33" s="2" t="s">
        <v>464</v>
      </c>
      <c r="AH33" s="2"/>
      <c r="AI33" s="2"/>
      <c r="AJ33" s="2"/>
      <c r="AK33" t="s">
        <v>464</v>
      </c>
      <c r="AO33">
        <v>14</v>
      </c>
      <c r="AP33" s="21">
        <v>0</v>
      </c>
      <c r="AQ33" s="21"/>
      <c r="AR33" s="28">
        <v>1.9090909090909089</v>
      </c>
      <c r="AS33" s="28">
        <v>2.545454545454545</v>
      </c>
      <c r="AT33" s="28">
        <v>0.54545454545454541</v>
      </c>
      <c r="AU33" s="28">
        <v>2.9090909090909092</v>
      </c>
      <c r="AV33" s="28">
        <v>0.2413793103448276</v>
      </c>
      <c r="AW33" s="28">
        <v>0.32183908045977011</v>
      </c>
      <c r="AX33" s="28">
        <v>6.8965517241379309E-2</v>
      </c>
      <c r="AY33" s="28">
        <v>0.36781609195402298</v>
      </c>
      <c r="AZ33" s="25">
        <v>0.82</v>
      </c>
      <c r="BA33" s="25">
        <v>3.44</v>
      </c>
      <c r="BB33" s="25">
        <v>2.62</v>
      </c>
      <c r="BC33" s="25">
        <v>2.64</v>
      </c>
      <c r="BD33">
        <v>2.64</v>
      </c>
      <c r="BE33">
        <v>5.9811382595454541</v>
      </c>
    </row>
    <row r="34" spans="1:57" x14ac:dyDescent="0.3">
      <c r="A34" s="2" t="s">
        <v>13</v>
      </c>
      <c r="B34" s="13" t="s">
        <v>698</v>
      </c>
      <c r="C34" s="13"/>
      <c r="D34" s="2"/>
      <c r="E34" s="2"/>
      <c r="F34" s="2">
        <v>3.8</v>
      </c>
      <c r="G34" s="2" t="s">
        <v>134</v>
      </c>
      <c r="H34" s="9">
        <v>-1</v>
      </c>
      <c r="I34">
        <v>-1</v>
      </c>
      <c r="J34" t="s">
        <v>1147</v>
      </c>
      <c r="K34" s="2"/>
      <c r="L34" s="2"/>
      <c r="M34" s="2"/>
      <c r="N34" s="23">
        <v>0</v>
      </c>
      <c r="O34" s="2">
        <v>3.8420000000000001</v>
      </c>
      <c r="P34" s="2">
        <v>3.8420000000000001</v>
      </c>
      <c r="Q34" s="2">
        <v>11.11</v>
      </c>
      <c r="R34" s="2" t="s">
        <v>439</v>
      </c>
      <c r="S34" s="2"/>
      <c r="T34" s="23">
        <v>0</v>
      </c>
      <c r="U34" s="23"/>
      <c r="V34" s="23"/>
      <c r="W34" s="2" t="s">
        <v>464</v>
      </c>
      <c r="X34" s="2"/>
      <c r="Y34" s="2">
        <v>2</v>
      </c>
      <c r="Z34" s="2" t="s">
        <v>464</v>
      </c>
      <c r="AA34" s="2" t="s">
        <v>464</v>
      </c>
      <c r="AB34" s="2"/>
      <c r="AC34" s="2"/>
      <c r="AD34" s="2"/>
      <c r="AE34" s="2"/>
      <c r="AF34" s="2"/>
      <c r="AG34" s="2" t="s">
        <v>464</v>
      </c>
      <c r="AH34" s="2"/>
      <c r="AI34" s="2"/>
      <c r="AJ34" s="2"/>
      <c r="AK34" t="s">
        <v>464</v>
      </c>
      <c r="AO34">
        <v>14</v>
      </c>
      <c r="AP34" s="21">
        <v>0</v>
      </c>
      <c r="AQ34" s="21"/>
      <c r="AR34" s="28">
        <v>1.9090909090909089</v>
      </c>
      <c r="AS34" s="28">
        <v>2.545454545454545</v>
      </c>
      <c r="AT34" s="28">
        <v>0.54545454545454541</v>
      </c>
      <c r="AU34" s="28">
        <v>3.0909090909090908</v>
      </c>
      <c r="AV34" s="28">
        <v>0.2359550561797753</v>
      </c>
      <c r="AW34" s="28">
        <v>0.3146067415730337</v>
      </c>
      <c r="AX34" s="28">
        <v>6.7415730337078636E-2</v>
      </c>
      <c r="AY34" s="28">
        <v>0.38202247191011229</v>
      </c>
      <c r="AZ34" s="25">
        <v>0.82</v>
      </c>
      <c r="BA34" s="25">
        <v>3.44</v>
      </c>
      <c r="BB34" s="25">
        <v>2.62</v>
      </c>
      <c r="BC34" s="25">
        <v>2.642727272727273</v>
      </c>
      <c r="BD34">
        <v>2.642727272727273</v>
      </c>
      <c r="BE34">
        <v>5.9894662913636356</v>
      </c>
    </row>
    <row r="35" spans="1:57" x14ac:dyDescent="0.3">
      <c r="A35" s="2" t="s">
        <v>30</v>
      </c>
      <c r="B35" s="13" t="s">
        <v>709</v>
      </c>
      <c r="C35" s="13"/>
      <c r="D35" s="2"/>
      <c r="E35" s="2"/>
      <c r="F35" s="2">
        <v>3.36</v>
      </c>
      <c r="G35" s="2" t="s">
        <v>29</v>
      </c>
      <c r="H35" s="9">
        <v>-1</v>
      </c>
      <c r="I35" t="s">
        <v>622</v>
      </c>
      <c r="K35" s="2"/>
      <c r="L35" s="2"/>
      <c r="M35" s="2"/>
      <c r="N35" s="23">
        <v>0</v>
      </c>
      <c r="O35" s="2">
        <v>5.4324000000000003</v>
      </c>
      <c r="P35" s="2">
        <v>5.4151999999999996</v>
      </c>
      <c r="Q35" s="2">
        <v>40.78</v>
      </c>
      <c r="R35" s="2"/>
      <c r="S35" s="2"/>
      <c r="T35" s="23">
        <v>0</v>
      </c>
      <c r="U35" s="23"/>
      <c r="V35" s="23"/>
      <c r="W35" s="2" t="s">
        <v>464</v>
      </c>
      <c r="X35" s="2"/>
      <c r="Y35" s="2" t="s">
        <v>464</v>
      </c>
      <c r="Z35" s="2"/>
      <c r="AA35" s="2">
        <v>0</v>
      </c>
      <c r="AB35" s="2" t="s">
        <v>471</v>
      </c>
      <c r="AC35" s="2"/>
      <c r="AD35" s="2"/>
      <c r="AE35" s="2"/>
      <c r="AF35" s="2"/>
      <c r="AG35" s="2">
        <v>1</v>
      </c>
      <c r="AH35" s="2"/>
      <c r="AI35" s="2"/>
      <c r="AJ35" s="2"/>
      <c r="AK35">
        <v>1</v>
      </c>
      <c r="AO35">
        <v>30</v>
      </c>
      <c r="AP35" s="21">
        <v>0</v>
      </c>
      <c r="AQ35" s="21"/>
      <c r="AR35" s="28">
        <v>2</v>
      </c>
      <c r="AS35" s="28">
        <v>3</v>
      </c>
      <c r="AT35" s="28">
        <v>2</v>
      </c>
      <c r="AU35" s="28">
        <v>2.333333333333333</v>
      </c>
      <c r="AV35" s="28">
        <v>0.2142857142857143</v>
      </c>
      <c r="AW35" s="28">
        <v>0.3214285714285714</v>
      </c>
      <c r="AX35" s="28">
        <v>0.2142857142857143</v>
      </c>
      <c r="AY35" s="28">
        <v>0.25</v>
      </c>
      <c r="AZ35" s="25">
        <v>1</v>
      </c>
      <c r="BA35" s="25">
        <v>3.44</v>
      </c>
      <c r="BB35" s="25">
        <v>2.44</v>
      </c>
      <c r="BC35" s="25">
        <v>2.7850000000000001</v>
      </c>
      <c r="BD35">
        <v>2.7850000000000001</v>
      </c>
      <c r="BE35">
        <v>6.1010684060416667</v>
      </c>
    </row>
    <row r="36" spans="1:57" x14ac:dyDescent="0.3">
      <c r="A36" s="2" t="s">
        <v>31</v>
      </c>
      <c r="B36" s="13" t="s">
        <v>710</v>
      </c>
      <c r="C36" s="13"/>
      <c r="D36" s="2"/>
      <c r="E36" s="2"/>
      <c r="F36" s="2">
        <v>3.02</v>
      </c>
      <c r="G36" s="2" t="s">
        <v>29</v>
      </c>
      <c r="H36" s="9">
        <v>-1</v>
      </c>
      <c r="I36">
        <v>-1</v>
      </c>
      <c r="J36" t="s">
        <v>1148</v>
      </c>
      <c r="K36" s="2"/>
      <c r="L36" s="2"/>
      <c r="M36" s="2"/>
      <c r="N36" s="23">
        <v>0</v>
      </c>
      <c r="O36" s="2" t="s">
        <v>464</v>
      </c>
      <c r="P36" s="2" t="s">
        <v>464</v>
      </c>
      <c r="Q36" s="2" t="s">
        <v>464</v>
      </c>
      <c r="R36" s="2"/>
      <c r="S36" s="2"/>
      <c r="T36" s="23">
        <v>0</v>
      </c>
      <c r="U36" s="23"/>
      <c r="V36" s="23"/>
      <c r="W36" s="2" t="s">
        <v>464</v>
      </c>
      <c r="X36" s="2"/>
      <c r="Y36" s="2" t="s">
        <v>464</v>
      </c>
      <c r="Z36" s="2"/>
      <c r="AA36" s="2">
        <v>37.333333333333336</v>
      </c>
      <c r="AB36" s="2"/>
      <c r="AC36" s="2"/>
      <c r="AD36" s="2"/>
      <c r="AE36" s="2"/>
      <c r="AF36" s="2"/>
      <c r="AG36" s="2">
        <v>1</v>
      </c>
      <c r="AH36" s="2"/>
      <c r="AI36" s="2"/>
      <c r="AJ36" s="2"/>
      <c r="AK36">
        <v>1</v>
      </c>
      <c r="AO36">
        <v>30</v>
      </c>
      <c r="AP36" s="21">
        <v>0</v>
      </c>
      <c r="AQ36" s="21"/>
      <c r="AR36" s="28">
        <v>2</v>
      </c>
      <c r="AS36" s="28">
        <v>3.083333333333333</v>
      </c>
      <c r="AT36" s="28">
        <v>2.416666666666667</v>
      </c>
      <c r="AU36" s="28">
        <v>2.916666666666667</v>
      </c>
      <c r="AV36" s="28">
        <v>0.192</v>
      </c>
      <c r="AW36" s="28">
        <v>0.29599999999999999</v>
      </c>
      <c r="AX36" s="28">
        <v>0.23200000000000001</v>
      </c>
      <c r="AY36" s="28">
        <v>0.28000000000000003</v>
      </c>
      <c r="AZ36" s="25">
        <v>1.54</v>
      </c>
      <c r="BA36" s="25">
        <v>3.44</v>
      </c>
      <c r="BB36" s="25">
        <v>1.9</v>
      </c>
      <c r="BC36" s="25">
        <v>2.840416666666667</v>
      </c>
      <c r="BD36">
        <v>2.840416666666667</v>
      </c>
      <c r="BE36">
        <v>6.1351453775000007</v>
      </c>
    </row>
    <row r="37" spans="1:57" x14ac:dyDescent="0.3">
      <c r="A37" s="2" t="s">
        <v>19</v>
      </c>
      <c r="B37" s="13" t="s">
        <v>705</v>
      </c>
      <c r="C37" s="13"/>
      <c r="D37" s="2"/>
      <c r="E37" s="2"/>
      <c r="F37" s="2">
        <v>3.18</v>
      </c>
      <c r="G37" s="2" t="s">
        <v>29</v>
      </c>
      <c r="H37" s="9" t="s">
        <v>538</v>
      </c>
      <c r="I37">
        <v>-1</v>
      </c>
      <c r="K37" s="2"/>
      <c r="L37" s="2"/>
      <c r="M37" s="2"/>
      <c r="N37" s="23">
        <v>1</v>
      </c>
      <c r="O37" s="2" t="s">
        <v>464</v>
      </c>
      <c r="P37" s="2" t="s">
        <v>464</v>
      </c>
      <c r="Q37" s="2" t="s">
        <v>464</v>
      </c>
      <c r="R37" s="2"/>
      <c r="S37" s="2"/>
      <c r="T37" s="23">
        <v>13.83861243</v>
      </c>
      <c r="U37" s="23">
        <v>13.83861243</v>
      </c>
      <c r="V37" s="23">
        <v>13.83861243</v>
      </c>
      <c r="W37" s="2" t="s">
        <v>464</v>
      </c>
      <c r="X37" s="2"/>
      <c r="Y37" s="2">
        <v>2</v>
      </c>
      <c r="Z37" s="2"/>
      <c r="AA37" s="2">
        <v>0</v>
      </c>
      <c r="AB37" s="2"/>
      <c r="AC37" s="2"/>
      <c r="AD37" s="2"/>
      <c r="AE37" s="2"/>
      <c r="AF37" s="2"/>
      <c r="AG37" s="2"/>
      <c r="AH37" s="2"/>
      <c r="AI37" s="2"/>
      <c r="AJ37" s="2"/>
      <c r="AO37">
        <v>18</v>
      </c>
      <c r="AP37" s="21">
        <v>208.2630581553295</v>
      </c>
      <c r="AQ37" s="21">
        <v>8.6429154356194082E-2</v>
      </c>
      <c r="AR37" s="28">
        <v>1.857142857142857</v>
      </c>
      <c r="AS37" s="28">
        <v>3</v>
      </c>
      <c r="AT37" s="28">
        <v>2</v>
      </c>
      <c r="AU37" s="28">
        <v>2</v>
      </c>
      <c r="AV37" s="28">
        <v>0.20967741935483869</v>
      </c>
      <c r="AW37" s="28">
        <v>0.33870967741935482</v>
      </c>
      <c r="AX37" s="28">
        <v>0.22580645161290319</v>
      </c>
      <c r="AY37" s="28">
        <v>0.22580645161290319</v>
      </c>
      <c r="AZ37" s="25">
        <v>1</v>
      </c>
      <c r="BA37" s="25">
        <v>3.44</v>
      </c>
      <c r="BB37" s="25">
        <v>2.44</v>
      </c>
      <c r="BC37" s="25">
        <v>2.8</v>
      </c>
      <c r="BD37">
        <v>2.8</v>
      </c>
      <c r="BE37">
        <v>6.2020864082142868</v>
      </c>
    </row>
    <row r="38" spans="1:57" x14ac:dyDescent="0.3">
      <c r="A38" s="2" t="s">
        <v>25</v>
      </c>
      <c r="B38" s="13" t="s">
        <v>708</v>
      </c>
      <c r="C38" s="13"/>
      <c r="D38" s="2"/>
      <c r="E38" s="2"/>
      <c r="F38" s="2">
        <v>2.88</v>
      </c>
      <c r="G38" s="2" t="s">
        <v>29</v>
      </c>
      <c r="H38" s="9" t="s">
        <v>541</v>
      </c>
      <c r="I38" t="s">
        <v>621</v>
      </c>
      <c r="K38" s="2"/>
      <c r="L38" s="2"/>
      <c r="M38" s="2"/>
      <c r="N38" s="23">
        <v>1</v>
      </c>
      <c r="O38" s="2" t="s">
        <v>464</v>
      </c>
      <c r="P38" s="2" t="s">
        <v>464</v>
      </c>
      <c r="Q38" s="2" t="s">
        <v>464</v>
      </c>
      <c r="R38" s="2"/>
      <c r="S38" s="2"/>
      <c r="T38" s="23">
        <v>12.868820120000001</v>
      </c>
      <c r="U38" s="23">
        <v>12.868820120000001</v>
      </c>
      <c r="V38" s="23">
        <v>12.868820120000001</v>
      </c>
      <c r="W38" s="2" t="s">
        <v>464</v>
      </c>
      <c r="X38" s="2"/>
      <c r="Y38" s="2">
        <v>2</v>
      </c>
      <c r="Z38" s="2"/>
      <c r="AA38" s="2">
        <v>10.666666666666668</v>
      </c>
      <c r="AB38" s="2"/>
      <c r="AC38" s="2"/>
      <c r="AD38" s="2"/>
      <c r="AE38" s="2"/>
      <c r="AF38" s="2"/>
      <c r="AG38" s="2"/>
      <c r="AH38" s="2"/>
      <c r="AI38" s="2"/>
      <c r="AJ38" s="2"/>
      <c r="AO38">
        <v>18</v>
      </c>
      <c r="AP38" s="21">
        <v>197.4403766939285</v>
      </c>
      <c r="AQ38" s="21">
        <v>9.1166762854710051E-2</v>
      </c>
      <c r="AR38" s="28">
        <v>1.857142857142857</v>
      </c>
      <c r="AS38" s="28">
        <v>3.1428571428571428</v>
      </c>
      <c r="AT38" s="28">
        <v>2.714285714285714</v>
      </c>
      <c r="AU38" s="28">
        <v>3</v>
      </c>
      <c r="AV38" s="28">
        <v>0.17333333333333331</v>
      </c>
      <c r="AW38" s="28">
        <v>0.29333333333333328</v>
      </c>
      <c r="AX38" s="28">
        <v>0.25333333333333341</v>
      </c>
      <c r="AY38" s="28">
        <v>0.28000000000000003</v>
      </c>
      <c r="AZ38" s="25">
        <v>1.6</v>
      </c>
      <c r="BA38" s="25">
        <v>3.44</v>
      </c>
      <c r="BB38" s="25">
        <v>1.84</v>
      </c>
      <c r="BC38" s="25">
        <v>2.895</v>
      </c>
      <c r="BD38">
        <v>2.895</v>
      </c>
      <c r="BE38">
        <v>6.260504073571429</v>
      </c>
    </row>
    <row r="39" spans="1:57" x14ac:dyDescent="0.3">
      <c r="A39" s="2" t="s">
        <v>32</v>
      </c>
      <c r="B39" s="13" t="s">
        <v>881</v>
      </c>
      <c r="C39" s="13"/>
      <c r="D39" s="2"/>
      <c r="E39" s="2"/>
      <c r="F39" s="2">
        <v>3.44</v>
      </c>
      <c r="G39" s="2" t="s">
        <v>29</v>
      </c>
      <c r="H39" s="9">
        <v>-1</v>
      </c>
      <c r="I39">
        <v>-1</v>
      </c>
      <c r="J39" t="s">
        <v>1149</v>
      </c>
      <c r="K39" s="2"/>
      <c r="L39" s="2"/>
      <c r="M39" s="2"/>
      <c r="N39" s="23">
        <v>0</v>
      </c>
      <c r="O39" s="2">
        <v>3.9</v>
      </c>
      <c r="P39" s="2">
        <v>3.9</v>
      </c>
      <c r="Q39" s="2">
        <v>29.65</v>
      </c>
      <c r="R39" s="2" t="s">
        <v>472</v>
      </c>
      <c r="S39" s="2"/>
      <c r="T39" s="23">
        <v>0</v>
      </c>
      <c r="U39" s="23"/>
      <c r="V39" s="23"/>
      <c r="W39" s="2" t="s">
        <v>464</v>
      </c>
      <c r="X39" s="2"/>
      <c r="Y39" s="2" t="s">
        <v>464</v>
      </c>
      <c r="Z39" s="2"/>
      <c r="AA39" s="2">
        <v>0</v>
      </c>
      <c r="AB39" s="2"/>
      <c r="AC39" s="2"/>
      <c r="AD39" s="2"/>
      <c r="AE39" s="2"/>
      <c r="AF39" s="2"/>
      <c r="AG39" s="2">
        <v>1</v>
      </c>
      <c r="AH39" s="2"/>
      <c r="AI39" s="2"/>
      <c r="AJ39" s="2"/>
      <c r="AK39">
        <v>1</v>
      </c>
      <c r="AO39">
        <v>20</v>
      </c>
      <c r="AP39" s="21">
        <v>0</v>
      </c>
      <c r="AQ39" s="21"/>
      <c r="AR39" s="28">
        <v>1.774193548387097</v>
      </c>
      <c r="AS39" s="28">
        <v>2.580645161290323</v>
      </c>
      <c r="AT39" s="28">
        <v>0.80645161290322576</v>
      </c>
      <c r="AU39" s="28">
        <v>0</v>
      </c>
      <c r="AV39" s="28">
        <v>0.34375</v>
      </c>
      <c r="AW39" s="28">
        <v>0.5</v>
      </c>
      <c r="AX39" s="28">
        <v>0.15625</v>
      </c>
      <c r="AY39" s="28">
        <v>0</v>
      </c>
      <c r="AZ39" s="25">
        <v>0.82</v>
      </c>
      <c r="BA39" s="25">
        <v>3.44</v>
      </c>
      <c r="BB39" s="25">
        <v>2.62</v>
      </c>
      <c r="BC39" s="25">
        <v>2.6877419354838712</v>
      </c>
      <c r="BD39">
        <v>2.6877419354838712</v>
      </c>
      <c r="BE39">
        <v>6.0811360720967738</v>
      </c>
    </row>
    <row r="40" spans="1:57" s="5" customFormat="1" x14ac:dyDescent="0.3">
      <c r="A40" s="5" t="s">
        <v>974</v>
      </c>
      <c r="B40" s="43" t="s">
        <v>975</v>
      </c>
      <c r="C40" s="39"/>
      <c r="F40" s="5">
        <v>3.09</v>
      </c>
      <c r="G40" s="5" t="s">
        <v>29</v>
      </c>
      <c r="H40" s="40">
        <v>-2</v>
      </c>
      <c r="I40" s="5">
        <v>-1</v>
      </c>
      <c r="N40" s="41">
        <v>0</v>
      </c>
      <c r="O40" s="5" t="s">
        <v>464</v>
      </c>
      <c r="P40" s="5" t="s">
        <v>464</v>
      </c>
      <c r="Q40" s="5" t="s">
        <v>464</v>
      </c>
      <c r="T40" s="41">
        <v>0</v>
      </c>
      <c r="U40" s="41"/>
      <c r="V40" s="41"/>
      <c r="W40" s="5" t="s">
        <v>464</v>
      </c>
      <c r="Y40" s="5" t="s">
        <v>464</v>
      </c>
      <c r="AA40" s="5">
        <v>0</v>
      </c>
      <c r="AG40" s="5">
        <v>1</v>
      </c>
      <c r="AK40" s="5">
        <v>1</v>
      </c>
      <c r="AO40" s="5">
        <v>20</v>
      </c>
      <c r="AP40" s="41">
        <v>0</v>
      </c>
      <c r="AQ40" s="41"/>
      <c r="AR40" s="5">
        <v>1.774193548387097</v>
      </c>
      <c r="AS40" s="5">
        <v>2.67741935483871</v>
      </c>
      <c r="AT40" s="5">
        <v>1.290322580645161</v>
      </c>
      <c r="AU40" s="5">
        <v>0.67741935483870963</v>
      </c>
      <c r="AV40" s="5">
        <v>0.27638190954773872</v>
      </c>
      <c r="AW40" s="5">
        <v>0.41708542713567842</v>
      </c>
      <c r="AX40" s="5">
        <v>0.20100502512562821</v>
      </c>
      <c r="AY40" s="5">
        <v>0.1055276381909548</v>
      </c>
      <c r="AZ40" s="41">
        <v>0.82</v>
      </c>
      <c r="BA40" s="41">
        <v>3.44</v>
      </c>
      <c r="BB40" s="41">
        <v>2.62</v>
      </c>
      <c r="BC40" s="41">
        <v>2.7520967741935478</v>
      </c>
      <c r="BD40" s="5">
        <v>2.7520967741935478</v>
      </c>
      <c r="BE40" s="5">
        <v>6.1207093292741934</v>
      </c>
    </row>
    <row r="41" spans="1:57" s="5" customFormat="1" x14ac:dyDescent="0.3">
      <c r="A41" s="5" t="s">
        <v>33</v>
      </c>
      <c r="B41" s="39" t="s">
        <v>882</v>
      </c>
      <c r="C41" s="39"/>
      <c r="F41" s="5">
        <v>3.06</v>
      </c>
      <c r="G41" s="5" t="s">
        <v>29</v>
      </c>
      <c r="H41" s="40">
        <v>-2</v>
      </c>
      <c r="I41" s="5">
        <v>-1</v>
      </c>
      <c r="N41" s="41">
        <v>0</v>
      </c>
      <c r="O41" s="5" t="s">
        <v>464</v>
      </c>
      <c r="P41" s="5" t="s">
        <v>464</v>
      </c>
      <c r="Q41" s="5" t="s">
        <v>464</v>
      </c>
      <c r="T41" s="41">
        <v>0</v>
      </c>
      <c r="U41" s="41"/>
      <c r="V41" s="41"/>
      <c r="W41" s="5" t="s">
        <v>464</v>
      </c>
      <c r="Y41" s="5" t="s">
        <v>464</v>
      </c>
      <c r="AA41" s="5">
        <v>0</v>
      </c>
      <c r="AG41" s="5">
        <v>1</v>
      </c>
      <c r="AK41" s="5">
        <v>1</v>
      </c>
      <c r="AO41" s="5">
        <v>20</v>
      </c>
      <c r="AP41" s="41">
        <v>0</v>
      </c>
      <c r="AQ41" s="41"/>
      <c r="AR41" s="5">
        <v>1.774193548387097</v>
      </c>
      <c r="AS41" s="5">
        <v>2.725806451612903</v>
      </c>
      <c r="AT41" s="5">
        <v>1.435483870967742</v>
      </c>
      <c r="AU41" s="5">
        <v>0.90322580645161288</v>
      </c>
      <c r="AV41" s="5">
        <v>0.25943396226415089</v>
      </c>
      <c r="AW41" s="5">
        <v>0.3985849056603773</v>
      </c>
      <c r="AX41" s="5">
        <v>0.2099056603773585</v>
      </c>
      <c r="AY41" s="5">
        <v>0.13207547169811321</v>
      </c>
      <c r="AZ41" s="41">
        <v>0.82</v>
      </c>
      <c r="BA41" s="41">
        <v>3.44</v>
      </c>
      <c r="BB41" s="41">
        <v>2.62</v>
      </c>
      <c r="BC41" s="41">
        <v>2.7669354838709679</v>
      </c>
      <c r="BD41" s="5">
        <v>2.7669354838709679</v>
      </c>
      <c r="BE41" s="5">
        <v>6.1375918448387097</v>
      </c>
    </row>
    <row r="42" spans="1:57" x14ac:dyDescent="0.3">
      <c r="A42" s="2" t="s">
        <v>34</v>
      </c>
      <c r="B42" s="13" t="s">
        <v>711</v>
      </c>
      <c r="C42" s="13"/>
      <c r="D42" s="2"/>
      <c r="E42" s="2"/>
      <c r="F42" s="2">
        <v>3.31</v>
      </c>
      <c r="G42" s="2" t="s">
        <v>29</v>
      </c>
      <c r="H42" s="9" t="s">
        <v>542</v>
      </c>
      <c r="I42" t="s">
        <v>623</v>
      </c>
      <c r="K42" s="2"/>
      <c r="L42" s="2"/>
      <c r="M42" s="2"/>
      <c r="N42" s="23">
        <v>1</v>
      </c>
      <c r="O42" s="2">
        <v>3.9</v>
      </c>
      <c r="P42" s="2">
        <v>3.9</v>
      </c>
      <c r="Q42" s="2">
        <v>29.65</v>
      </c>
      <c r="R42" s="2" t="s">
        <v>440</v>
      </c>
      <c r="S42" s="2"/>
      <c r="T42" s="23">
        <v>3.9086759899999999</v>
      </c>
      <c r="U42" s="23">
        <v>3.908676100000001</v>
      </c>
      <c r="V42" s="23">
        <v>10.552604730000001</v>
      </c>
      <c r="W42" s="2" t="s">
        <v>464</v>
      </c>
      <c r="X42" s="2"/>
      <c r="Y42" s="2" t="s">
        <v>464</v>
      </c>
      <c r="Z42" s="2"/>
      <c r="AA42" s="2">
        <v>0</v>
      </c>
      <c r="AB42" s="2"/>
      <c r="AC42" s="2"/>
      <c r="AD42" s="2"/>
      <c r="AE42" s="2"/>
      <c r="AF42" s="2"/>
      <c r="AG42" s="2">
        <v>1</v>
      </c>
      <c r="AH42" s="2"/>
      <c r="AI42" s="2"/>
      <c r="AJ42" s="2"/>
      <c r="AK42">
        <v>1</v>
      </c>
      <c r="AO42">
        <v>14</v>
      </c>
      <c r="AP42" s="21">
        <v>155.59136328639269</v>
      </c>
      <c r="AQ42" s="21">
        <v>8.9979287437893268E-2</v>
      </c>
      <c r="AR42" s="28">
        <v>2</v>
      </c>
      <c r="AS42" s="28">
        <v>2.333333333333333</v>
      </c>
      <c r="AT42" s="28">
        <v>0.33333333333333331</v>
      </c>
      <c r="AU42" s="28">
        <v>0</v>
      </c>
      <c r="AV42" s="28">
        <v>0.42857142857142849</v>
      </c>
      <c r="AW42" s="28">
        <v>0.5</v>
      </c>
      <c r="AX42" s="28">
        <v>7.1428571428571425E-2</v>
      </c>
      <c r="AY42" s="28">
        <v>0</v>
      </c>
      <c r="AZ42" s="25">
        <v>0.95</v>
      </c>
      <c r="BA42" s="25">
        <v>3.44</v>
      </c>
      <c r="BB42" s="25">
        <v>2.4900000000000002</v>
      </c>
      <c r="BC42" s="25">
        <v>2.500833333333333</v>
      </c>
      <c r="BD42">
        <v>2.500833333333333</v>
      </c>
      <c r="BE42">
        <v>5.6917605187500007</v>
      </c>
    </row>
    <row r="43" spans="1:57" x14ac:dyDescent="0.3">
      <c r="A43" s="2" t="s">
        <v>35</v>
      </c>
      <c r="B43" s="13" t="s">
        <v>712</v>
      </c>
      <c r="C43" s="13"/>
      <c r="D43" s="2"/>
      <c r="E43" s="2"/>
      <c r="F43" s="2">
        <v>2.98</v>
      </c>
      <c r="G43" s="2" t="s">
        <v>29</v>
      </c>
      <c r="H43" s="9" t="s">
        <v>543</v>
      </c>
      <c r="I43" t="s">
        <v>624</v>
      </c>
      <c r="K43" s="2"/>
      <c r="L43" s="2"/>
      <c r="M43" s="2"/>
      <c r="N43" s="23">
        <v>1</v>
      </c>
      <c r="O43" s="2" t="s">
        <v>464</v>
      </c>
      <c r="P43" s="2" t="s">
        <v>464</v>
      </c>
      <c r="Q43" s="2" t="s">
        <v>464</v>
      </c>
      <c r="R43" s="2" t="s">
        <v>440</v>
      </c>
      <c r="S43" s="2"/>
      <c r="T43" s="23">
        <v>3.969049</v>
      </c>
      <c r="U43" s="23">
        <v>3.969049</v>
      </c>
      <c r="V43" s="23">
        <v>3.969049</v>
      </c>
      <c r="W43" s="2" t="s">
        <v>464</v>
      </c>
      <c r="X43" s="2"/>
      <c r="Y43" s="2" t="s">
        <v>464</v>
      </c>
      <c r="Z43" s="2"/>
      <c r="AA43" s="2">
        <v>42</v>
      </c>
      <c r="AB43" s="2"/>
      <c r="AC43" s="2"/>
      <c r="AD43" s="2"/>
      <c r="AE43" s="2"/>
      <c r="AF43" s="2"/>
      <c r="AG43" s="2">
        <v>1</v>
      </c>
      <c r="AH43" s="2"/>
      <c r="AI43" s="2"/>
      <c r="AJ43" s="2"/>
      <c r="AK43">
        <v>1</v>
      </c>
      <c r="AO43">
        <v>6</v>
      </c>
      <c r="AP43" s="21">
        <v>62.525817922855822</v>
      </c>
      <c r="AQ43" s="21">
        <v>9.5960360045234158E-2</v>
      </c>
      <c r="AR43" s="28">
        <v>2</v>
      </c>
      <c r="AS43" s="28">
        <v>2.8</v>
      </c>
      <c r="AT43" s="28">
        <v>2.4</v>
      </c>
      <c r="AU43" s="28">
        <v>2.8</v>
      </c>
      <c r="AV43" s="28">
        <v>0.2</v>
      </c>
      <c r="AW43" s="28">
        <v>0.28000000000000003</v>
      </c>
      <c r="AX43" s="28">
        <v>0.24</v>
      </c>
      <c r="AY43" s="28">
        <v>0.28000000000000003</v>
      </c>
      <c r="AZ43" s="25">
        <v>1.54</v>
      </c>
      <c r="BA43" s="25">
        <v>3.44</v>
      </c>
      <c r="BB43" s="25">
        <v>1.9</v>
      </c>
      <c r="BC43" s="25">
        <v>2.8380000000000001</v>
      </c>
      <c r="BD43">
        <v>2.8380000000000001</v>
      </c>
      <c r="BE43">
        <v>5.9914547000000002</v>
      </c>
    </row>
    <row r="44" spans="1:57" x14ac:dyDescent="0.3">
      <c r="A44" s="2" t="s">
        <v>37</v>
      </c>
      <c r="B44" s="13" t="s">
        <v>713</v>
      </c>
      <c r="C44" s="13"/>
      <c r="D44" s="2"/>
      <c r="E44" s="2"/>
      <c r="F44" s="2">
        <v>4.04</v>
      </c>
      <c r="G44" s="2" t="s">
        <v>36</v>
      </c>
      <c r="H44" s="9" t="s">
        <v>544</v>
      </c>
      <c r="I44" t="s">
        <v>625</v>
      </c>
      <c r="K44" s="2"/>
      <c r="L44" s="2"/>
      <c r="M44" s="2"/>
      <c r="N44" s="23">
        <v>1</v>
      </c>
      <c r="O44" s="2"/>
      <c r="P44" s="2"/>
      <c r="Q44" s="2"/>
      <c r="R44" s="2"/>
      <c r="S44" s="2"/>
      <c r="T44" s="23">
        <v>5.7458564399999998</v>
      </c>
      <c r="U44" s="23">
        <v>5.7458564399999998</v>
      </c>
      <c r="V44" s="23">
        <v>11.67169612</v>
      </c>
      <c r="W44" s="2"/>
      <c r="X44" s="2"/>
      <c r="Y44" s="2" t="s">
        <v>464</v>
      </c>
      <c r="Z44" s="2">
        <v>1</v>
      </c>
      <c r="AA44" s="2" t="s">
        <v>464</v>
      </c>
      <c r="AB44" s="2"/>
      <c r="AC44" s="2"/>
      <c r="AD44" s="2"/>
      <c r="AE44" s="2"/>
      <c r="AF44" s="2"/>
      <c r="AG44" s="2">
        <v>1</v>
      </c>
      <c r="AH44" s="2"/>
      <c r="AI44" s="2"/>
      <c r="AJ44" s="2"/>
      <c r="AK44">
        <v>1</v>
      </c>
      <c r="AO44">
        <v>30</v>
      </c>
      <c r="AP44" s="21">
        <v>333.30247418302179</v>
      </c>
      <c r="AQ44" s="21">
        <v>9.0008332742008132E-2</v>
      </c>
      <c r="AR44" s="28">
        <v>1.833333333333333</v>
      </c>
      <c r="AS44" s="28">
        <v>2.5</v>
      </c>
      <c r="AT44" s="28">
        <v>0.66666666666666663</v>
      </c>
      <c r="AU44" s="28">
        <v>0</v>
      </c>
      <c r="AV44" s="28">
        <v>0.36666666666666659</v>
      </c>
      <c r="AW44" s="28">
        <v>0.5</v>
      </c>
      <c r="AX44" s="28">
        <v>0.1333333333333333</v>
      </c>
      <c r="AY44" s="28">
        <v>0</v>
      </c>
      <c r="AZ44" s="25">
        <v>0.95</v>
      </c>
      <c r="BA44" s="25">
        <v>3.44</v>
      </c>
      <c r="BB44" s="25">
        <v>2.4900000000000002</v>
      </c>
      <c r="BC44" s="25">
        <v>2.614583333333333</v>
      </c>
      <c r="BD44">
        <v>2.614583333333333</v>
      </c>
      <c r="BE44">
        <v>5.9505645781250003</v>
      </c>
    </row>
    <row r="45" spans="1:57" x14ac:dyDescent="0.3">
      <c r="A45" s="2" t="s">
        <v>38</v>
      </c>
      <c r="B45" s="13" t="s">
        <v>714</v>
      </c>
      <c r="C45" s="13"/>
      <c r="D45" s="2"/>
      <c r="E45" s="2"/>
      <c r="F45" s="2">
        <v>3.91</v>
      </c>
      <c r="G45" s="2" t="s">
        <v>36</v>
      </c>
      <c r="H45" s="9" t="s">
        <v>545</v>
      </c>
      <c r="I45" t="s">
        <v>626</v>
      </c>
      <c r="K45" s="2"/>
      <c r="L45" s="2"/>
      <c r="M45" s="2"/>
      <c r="N45" s="23">
        <v>1</v>
      </c>
      <c r="O45" s="2"/>
      <c r="P45" s="2"/>
      <c r="Q45" s="2"/>
      <c r="R45" s="2"/>
      <c r="S45" s="2"/>
      <c r="T45" s="23">
        <v>5.8532381300000003</v>
      </c>
      <c r="U45" s="23">
        <v>5.8532371599999999</v>
      </c>
      <c r="V45" s="23">
        <v>11.912811489999999</v>
      </c>
      <c r="W45" s="2">
        <v>1</v>
      </c>
      <c r="X45" s="2"/>
      <c r="Y45" s="2" t="s">
        <v>464</v>
      </c>
      <c r="Z45" s="2">
        <v>1</v>
      </c>
      <c r="AA45" s="2" t="s">
        <v>464</v>
      </c>
      <c r="AB45" s="2"/>
      <c r="AC45" s="2"/>
      <c r="AD45" s="2"/>
      <c r="AE45" s="2"/>
      <c r="AF45" s="2">
        <v>1</v>
      </c>
      <c r="AG45" s="2">
        <v>1</v>
      </c>
      <c r="AH45" s="2"/>
      <c r="AI45" s="2"/>
      <c r="AJ45" s="2"/>
      <c r="AK45">
        <v>1</v>
      </c>
      <c r="AO45">
        <v>30</v>
      </c>
      <c r="AP45" s="21">
        <v>353.45760058531442</v>
      </c>
      <c r="AQ45" s="21">
        <v>8.487580957467307E-2</v>
      </c>
      <c r="AR45" s="28">
        <v>1.833333333333333</v>
      </c>
      <c r="AS45" s="28">
        <v>2.5</v>
      </c>
      <c r="AT45" s="28">
        <v>0.66666666666666663</v>
      </c>
      <c r="AU45" s="28">
        <v>0</v>
      </c>
      <c r="AV45" s="28">
        <v>0.36666666666666659</v>
      </c>
      <c r="AW45" s="28">
        <v>0.5</v>
      </c>
      <c r="AX45" s="28">
        <v>0.1333333333333333</v>
      </c>
      <c r="AY45" s="28">
        <v>0</v>
      </c>
      <c r="AZ45" s="25">
        <v>0.89</v>
      </c>
      <c r="BA45" s="25">
        <v>3.44</v>
      </c>
      <c r="BB45" s="25">
        <v>2.5499999999999998</v>
      </c>
      <c r="BC45" s="25">
        <v>2.6020833333333329</v>
      </c>
      <c r="BD45">
        <v>2.6020833333333329</v>
      </c>
      <c r="BE45">
        <v>5.9098726145833336</v>
      </c>
    </row>
    <row r="46" spans="1:57" x14ac:dyDescent="0.3">
      <c r="A46" s="2" t="s">
        <v>39</v>
      </c>
      <c r="B46" s="13" t="s">
        <v>715</v>
      </c>
      <c r="C46" s="13"/>
      <c r="D46" s="2"/>
      <c r="E46" s="2"/>
      <c r="F46" s="2">
        <v>3.79</v>
      </c>
      <c r="G46" s="2" t="s">
        <v>36</v>
      </c>
      <c r="H46" s="9">
        <v>-1</v>
      </c>
      <c r="I46">
        <v>-1</v>
      </c>
      <c r="J46" t="s">
        <v>1150</v>
      </c>
      <c r="K46" s="2"/>
      <c r="L46" s="2"/>
      <c r="M46" s="2"/>
      <c r="N46" s="23">
        <v>0</v>
      </c>
      <c r="O46" s="2"/>
      <c r="P46" s="2"/>
      <c r="Q46" s="2"/>
      <c r="R46" s="2"/>
      <c r="S46" s="2"/>
      <c r="T46" s="23">
        <v>0</v>
      </c>
      <c r="U46" s="23"/>
      <c r="V46" s="23"/>
      <c r="W46" s="2"/>
      <c r="X46" s="2"/>
      <c r="Y46" s="2" t="s">
        <v>464</v>
      </c>
      <c r="Z46" s="2">
        <v>1</v>
      </c>
      <c r="AA46" s="2" t="s">
        <v>464</v>
      </c>
      <c r="AB46" s="2"/>
      <c r="AC46" s="2"/>
      <c r="AD46" s="2"/>
      <c r="AE46" s="2"/>
      <c r="AF46" s="2"/>
      <c r="AG46" s="2"/>
      <c r="AH46" s="2"/>
      <c r="AI46" s="2"/>
      <c r="AJ46" s="2"/>
      <c r="AO46">
        <v>30</v>
      </c>
      <c r="AP46" s="21">
        <v>0</v>
      </c>
      <c r="AQ46" s="21"/>
      <c r="AR46" s="28">
        <v>2</v>
      </c>
      <c r="AS46" s="28">
        <v>2.5</v>
      </c>
      <c r="AT46" s="28">
        <v>0.5</v>
      </c>
      <c r="AU46" s="28">
        <v>0</v>
      </c>
      <c r="AV46" s="28">
        <v>0.4</v>
      </c>
      <c r="AW46" s="28">
        <v>0.5</v>
      </c>
      <c r="AX46" s="28">
        <v>0.1</v>
      </c>
      <c r="AY46" s="28">
        <v>0</v>
      </c>
      <c r="AZ46" s="25">
        <v>1</v>
      </c>
      <c r="BA46" s="25">
        <v>3.44</v>
      </c>
      <c r="BB46" s="25">
        <v>2.44</v>
      </c>
      <c r="BC46" s="25">
        <v>2.6316666666666659</v>
      </c>
      <c r="BD46">
        <v>2.6316666666666668</v>
      </c>
      <c r="BE46">
        <v>5.9266157452083332</v>
      </c>
    </row>
    <row r="47" spans="1:57" x14ac:dyDescent="0.3">
      <c r="A47" s="2" t="s">
        <v>40</v>
      </c>
      <c r="B47" s="13" t="s">
        <v>716</v>
      </c>
      <c r="C47" s="13"/>
      <c r="D47" s="2"/>
      <c r="E47" s="2"/>
      <c r="F47" s="2">
        <v>3.85</v>
      </c>
      <c r="G47" s="2" t="s">
        <v>36</v>
      </c>
      <c r="H47" s="9" t="s">
        <v>546</v>
      </c>
      <c r="I47" t="s">
        <v>627</v>
      </c>
      <c r="K47" s="2"/>
      <c r="L47" s="2"/>
      <c r="M47" s="2"/>
      <c r="N47" s="23">
        <v>2</v>
      </c>
      <c r="O47" s="2"/>
      <c r="P47" s="2"/>
      <c r="Q47" s="2"/>
      <c r="R47" s="2"/>
      <c r="S47" s="2"/>
      <c r="T47" s="23">
        <v>5.6269875200000001</v>
      </c>
      <c r="U47" s="23">
        <v>5.6269875200000001</v>
      </c>
      <c r="V47" s="23">
        <v>22.749475</v>
      </c>
      <c r="W47" s="2">
        <v>1</v>
      </c>
      <c r="X47" s="2"/>
      <c r="Y47" s="2" t="s">
        <v>464</v>
      </c>
      <c r="Z47" s="2">
        <v>1</v>
      </c>
      <c r="AA47" s="2" t="s">
        <v>464</v>
      </c>
      <c r="AB47" s="2"/>
      <c r="AC47" s="2"/>
      <c r="AD47" s="2"/>
      <c r="AE47" s="2"/>
      <c r="AF47" s="2"/>
      <c r="AG47" s="2"/>
      <c r="AH47" s="2"/>
      <c r="AI47" s="2"/>
      <c r="AJ47" s="2"/>
      <c r="AO47">
        <v>30</v>
      </c>
      <c r="AP47" s="21">
        <v>623.81230762201892</v>
      </c>
      <c r="AQ47" s="21">
        <v>9.6182776881592519E-2</v>
      </c>
      <c r="AR47" s="28">
        <v>2</v>
      </c>
      <c r="AS47" s="28">
        <v>2.5</v>
      </c>
      <c r="AT47" s="28">
        <v>0.5</v>
      </c>
      <c r="AU47" s="28">
        <v>0</v>
      </c>
      <c r="AV47" s="28">
        <v>0.4</v>
      </c>
      <c r="AW47" s="28">
        <v>0.5</v>
      </c>
      <c r="AX47" s="28">
        <v>0.1</v>
      </c>
      <c r="AY47" s="28">
        <v>0</v>
      </c>
      <c r="AZ47" s="25">
        <v>0.89</v>
      </c>
      <c r="BA47" s="25">
        <v>3.44</v>
      </c>
      <c r="BB47" s="25">
        <v>2.5499999999999998</v>
      </c>
      <c r="BC47" s="25">
        <v>2.6270833333333332</v>
      </c>
      <c r="BD47">
        <v>2.6270833333333332</v>
      </c>
      <c r="BE47">
        <v>5.9103362479166668</v>
      </c>
    </row>
    <row r="48" spans="1:57" x14ac:dyDescent="0.3">
      <c r="A48" s="2" t="s">
        <v>41</v>
      </c>
      <c r="B48" s="13" t="s">
        <v>717</v>
      </c>
      <c r="C48" s="13"/>
      <c r="D48" s="2"/>
      <c r="E48" s="2"/>
      <c r="F48" s="2">
        <v>3.95</v>
      </c>
      <c r="G48" s="2" t="s">
        <v>36</v>
      </c>
      <c r="H48" s="9" t="s">
        <v>547</v>
      </c>
      <c r="I48" t="s">
        <v>628</v>
      </c>
      <c r="K48" s="2"/>
      <c r="L48" s="2"/>
      <c r="M48" s="2"/>
      <c r="N48" s="23">
        <v>1</v>
      </c>
      <c r="O48" s="2"/>
      <c r="P48" s="2"/>
      <c r="Q48" s="2"/>
      <c r="R48" s="2"/>
      <c r="S48" s="2"/>
      <c r="T48" s="23">
        <v>9.3662349099999993</v>
      </c>
      <c r="U48" s="23">
        <v>9.3662349099999993</v>
      </c>
      <c r="V48" s="23">
        <v>9.3662351000000008</v>
      </c>
      <c r="W48" s="2"/>
      <c r="X48" s="2"/>
      <c r="Y48" s="2" t="s">
        <v>464</v>
      </c>
      <c r="Z48" s="2">
        <v>1</v>
      </c>
      <c r="AA48" s="2" t="s">
        <v>464</v>
      </c>
      <c r="AB48" s="2"/>
      <c r="AC48" s="2"/>
      <c r="AD48" s="2"/>
      <c r="AE48" s="2"/>
      <c r="AF48" s="2"/>
      <c r="AG48" s="2">
        <v>1</v>
      </c>
      <c r="AH48" s="2"/>
      <c r="AI48" s="2"/>
      <c r="AJ48" s="2"/>
      <c r="AK48">
        <v>1</v>
      </c>
      <c r="AO48">
        <v>24</v>
      </c>
      <c r="AP48" s="21">
        <v>238.908881754341</v>
      </c>
      <c r="AQ48" s="21">
        <v>0.10045670895014321</v>
      </c>
      <c r="AR48" s="28">
        <v>2</v>
      </c>
      <c r="AS48" s="28">
        <v>2.5263157894736841</v>
      </c>
      <c r="AT48" s="28">
        <v>0.52631578947368418</v>
      </c>
      <c r="AU48" s="28">
        <v>0</v>
      </c>
      <c r="AV48" s="28">
        <v>0.39583333333333343</v>
      </c>
      <c r="AW48" s="28">
        <v>0.5</v>
      </c>
      <c r="AX48" s="28">
        <v>0.1041666666666667</v>
      </c>
      <c r="AY48" s="28">
        <v>0</v>
      </c>
      <c r="AZ48" s="25">
        <v>1.1000000000000001</v>
      </c>
      <c r="BA48" s="25">
        <v>3.44</v>
      </c>
      <c r="BB48" s="25">
        <v>2.34</v>
      </c>
      <c r="BC48" s="25">
        <v>2.647368421052632</v>
      </c>
      <c r="BD48">
        <v>2.6473684210526311</v>
      </c>
      <c r="BE48">
        <v>5.9525974578947363</v>
      </c>
    </row>
    <row r="49" spans="1:57" x14ac:dyDescent="0.3">
      <c r="A49" s="2" t="s">
        <v>39</v>
      </c>
      <c r="B49" s="13" t="s">
        <v>715</v>
      </c>
      <c r="C49" s="13"/>
      <c r="D49" s="2"/>
      <c r="E49" s="2"/>
      <c r="F49" s="2">
        <v>3.79</v>
      </c>
      <c r="G49" s="2" t="s">
        <v>36</v>
      </c>
      <c r="H49" s="9">
        <v>-1</v>
      </c>
      <c r="I49">
        <v>-1</v>
      </c>
      <c r="J49" t="s">
        <v>1150</v>
      </c>
      <c r="K49" s="2"/>
      <c r="L49" s="2"/>
      <c r="M49" s="2"/>
      <c r="N49" s="23">
        <v>0</v>
      </c>
      <c r="O49" s="2"/>
      <c r="P49" s="2"/>
      <c r="Q49" s="2"/>
      <c r="R49" s="2"/>
      <c r="S49" s="2"/>
      <c r="T49" s="23">
        <v>0</v>
      </c>
      <c r="U49" s="23"/>
      <c r="V49" s="23"/>
      <c r="W49" s="2"/>
      <c r="X49" s="2"/>
      <c r="Y49" s="2" t="s">
        <v>464</v>
      </c>
      <c r="Z49" s="2">
        <v>1</v>
      </c>
      <c r="AA49" s="2" t="s">
        <v>464</v>
      </c>
      <c r="AB49" s="2"/>
      <c r="AC49" s="2"/>
      <c r="AD49" s="2"/>
      <c r="AE49" s="2"/>
      <c r="AF49" s="2"/>
      <c r="AG49" s="2">
        <v>1</v>
      </c>
      <c r="AH49" s="2"/>
      <c r="AI49" s="2"/>
      <c r="AJ49" s="2"/>
      <c r="AK49">
        <v>1</v>
      </c>
      <c r="AO49">
        <v>30</v>
      </c>
      <c r="AP49" s="21">
        <v>0</v>
      </c>
      <c r="AQ49" s="21"/>
      <c r="AR49" s="28">
        <v>2</v>
      </c>
      <c r="AS49" s="28">
        <v>2.5</v>
      </c>
      <c r="AT49" s="28">
        <v>0.5</v>
      </c>
      <c r="AU49" s="28">
        <v>0</v>
      </c>
      <c r="AV49" s="28">
        <v>0.4</v>
      </c>
      <c r="AW49" s="28">
        <v>0.5</v>
      </c>
      <c r="AX49" s="28">
        <v>0.1</v>
      </c>
      <c r="AY49" s="28">
        <v>0</v>
      </c>
      <c r="AZ49" s="25">
        <v>1</v>
      </c>
      <c r="BA49" s="25">
        <v>3.44</v>
      </c>
      <c r="BB49" s="25">
        <v>2.44</v>
      </c>
      <c r="BC49" s="25">
        <v>2.6316666666666659</v>
      </c>
      <c r="BD49">
        <v>2.6316666666666668</v>
      </c>
      <c r="BE49">
        <v>5.9266157452083332</v>
      </c>
    </row>
    <row r="50" spans="1:57" x14ac:dyDescent="0.3">
      <c r="A50" s="2" t="s">
        <v>42</v>
      </c>
      <c r="B50" s="13" t="s">
        <v>718</v>
      </c>
      <c r="C50" s="13"/>
      <c r="D50" s="2"/>
      <c r="E50" s="2"/>
      <c r="F50" s="2">
        <v>3.82</v>
      </c>
      <c r="G50" s="2" t="s">
        <v>36</v>
      </c>
      <c r="H50" s="9">
        <v>-1</v>
      </c>
      <c r="I50">
        <v>-1</v>
      </c>
      <c r="J50" t="s">
        <v>1151</v>
      </c>
      <c r="K50" s="2"/>
      <c r="L50" s="2"/>
      <c r="M50" s="2"/>
      <c r="N50" s="23">
        <v>0</v>
      </c>
      <c r="O50" s="2"/>
      <c r="P50" s="2"/>
      <c r="Q50" s="2"/>
      <c r="R50" s="2"/>
      <c r="S50" s="2"/>
      <c r="T50" s="23">
        <v>0</v>
      </c>
      <c r="U50" s="23"/>
      <c r="V50" s="23"/>
      <c r="W50" s="2"/>
      <c r="X50" s="2"/>
      <c r="Y50" s="2" t="s">
        <v>464</v>
      </c>
      <c r="Z50" s="2">
        <v>1</v>
      </c>
      <c r="AA50" s="2" t="s">
        <v>464</v>
      </c>
      <c r="AB50" s="2"/>
      <c r="AC50" s="2"/>
      <c r="AD50" s="2"/>
      <c r="AE50" s="2"/>
      <c r="AF50" s="2"/>
      <c r="AG50" s="2">
        <v>1</v>
      </c>
      <c r="AH50" s="2"/>
      <c r="AI50" s="2"/>
      <c r="AJ50" s="2"/>
      <c r="AK50">
        <v>1</v>
      </c>
      <c r="AO50">
        <v>30</v>
      </c>
      <c r="AP50" s="21">
        <v>0</v>
      </c>
      <c r="AQ50" s="21"/>
      <c r="AR50" s="28">
        <v>2</v>
      </c>
      <c r="AS50" s="28">
        <v>2.5</v>
      </c>
      <c r="AT50" s="28">
        <v>0.5</v>
      </c>
      <c r="AU50" s="28">
        <v>0</v>
      </c>
      <c r="AV50" s="28">
        <v>0.4</v>
      </c>
      <c r="AW50" s="28">
        <v>0.5</v>
      </c>
      <c r="AX50" s="28">
        <v>0.1</v>
      </c>
      <c r="AY50" s="28">
        <v>0</v>
      </c>
      <c r="AZ50" s="25">
        <v>0.95</v>
      </c>
      <c r="BA50" s="25">
        <v>3.44</v>
      </c>
      <c r="BB50" s="25">
        <v>2.4900000000000002</v>
      </c>
      <c r="BC50" s="25">
        <v>2.6295833333333332</v>
      </c>
      <c r="BD50">
        <v>2.6295833333333332</v>
      </c>
      <c r="BE50">
        <v>5.9184746406250008</v>
      </c>
    </row>
    <row r="51" spans="1:57" x14ac:dyDescent="0.3">
      <c r="A51" s="2" t="s">
        <v>40</v>
      </c>
      <c r="B51" s="13" t="s">
        <v>716</v>
      </c>
      <c r="C51" s="13"/>
      <c r="D51" s="2"/>
      <c r="E51" s="2"/>
      <c r="F51" s="2">
        <v>3.85</v>
      </c>
      <c r="G51" s="2" t="s">
        <v>36</v>
      </c>
      <c r="H51" s="9" t="s">
        <v>546</v>
      </c>
      <c r="I51" t="s">
        <v>627</v>
      </c>
      <c r="K51" s="2"/>
      <c r="L51" s="2"/>
      <c r="M51" s="2"/>
      <c r="N51" s="23">
        <v>2</v>
      </c>
      <c r="O51" s="2"/>
      <c r="P51" s="2"/>
      <c r="Q51" s="2"/>
      <c r="R51" s="2"/>
      <c r="S51" s="2"/>
      <c r="T51" s="23">
        <v>5.6269875200000001</v>
      </c>
      <c r="U51" s="23">
        <v>5.6269875200000001</v>
      </c>
      <c r="V51" s="23">
        <v>22.749475</v>
      </c>
      <c r="W51" s="2"/>
      <c r="X51" s="2"/>
      <c r="Y51" s="2" t="s">
        <v>464</v>
      </c>
      <c r="Z51" s="2">
        <v>1</v>
      </c>
      <c r="AA51" s="2" t="s">
        <v>464</v>
      </c>
      <c r="AB51" s="2"/>
      <c r="AC51" s="2"/>
      <c r="AD51" s="2"/>
      <c r="AE51" s="2"/>
      <c r="AF51" s="2"/>
      <c r="AG51" s="2">
        <v>1</v>
      </c>
      <c r="AH51" s="2"/>
      <c r="AI51" s="2"/>
      <c r="AJ51" s="2"/>
      <c r="AK51">
        <v>1</v>
      </c>
      <c r="AO51">
        <v>30</v>
      </c>
      <c r="AP51" s="21">
        <v>623.81230762201892</v>
      </c>
      <c r="AQ51" s="21">
        <v>9.6182776881592519E-2</v>
      </c>
      <c r="AR51" s="28">
        <v>2</v>
      </c>
      <c r="AS51" s="28">
        <v>2.5</v>
      </c>
      <c r="AT51" s="28">
        <v>0.5</v>
      </c>
      <c r="AU51" s="28">
        <v>0</v>
      </c>
      <c r="AV51" s="28">
        <v>0.4</v>
      </c>
      <c r="AW51" s="28">
        <v>0.5</v>
      </c>
      <c r="AX51" s="28">
        <v>0.1</v>
      </c>
      <c r="AY51" s="28">
        <v>0</v>
      </c>
      <c r="AZ51" s="25">
        <v>0.89</v>
      </c>
      <c r="BA51" s="25">
        <v>3.44</v>
      </c>
      <c r="BB51" s="25">
        <v>2.5499999999999998</v>
      </c>
      <c r="BC51" s="25">
        <v>2.6270833333333332</v>
      </c>
      <c r="BD51">
        <v>2.6270833333333332</v>
      </c>
      <c r="BE51">
        <v>5.9103362479166668</v>
      </c>
    </row>
    <row r="52" spans="1:57" x14ac:dyDescent="0.3">
      <c r="A52" s="2" t="s">
        <v>43</v>
      </c>
      <c r="B52" s="13" t="s">
        <v>719</v>
      </c>
      <c r="C52" s="13"/>
      <c r="D52" s="2"/>
      <c r="E52" s="2"/>
      <c r="F52" s="2">
        <v>4.07</v>
      </c>
      <c r="G52" s="2" t="s">
        <v>36</v>
      </c>
      <c r="H52" s="9" t="s">
        <v>548</v>
      </c>
      <c r="I52">
        <v>-1</v>
      </c>
      <c r="K52" s="2"/>
      <c r="L52" s="2"/>
      <c r="M52" s="2"/>
      <c r="N52" s="23">
        <v>1</v>
      </c>
      <c r="O52" s="2"/>
      <c r="P52" s="2"/>
      <c r="Q52" s="2"/>
      <c r="R52" s="2"/>
      <c r="S52" s="2"/>
      <c r="T52" s="23">
        <v>9.9321903099999993</v>
      </c>
      <c r="U52" s="23">
        <v>9.9321903099999993</v>
      </c>
      <c r="V52" s="23">
        <v>9.9321899499999997</v>
      </c>
      <c r="W52" s="2"/>
      <c r="X52" s="2"/>
      <c r="Y52" s="2" t="s">
        <v>464</v>
      </c>
      <c r="Z52" s="2">
        <v>1</v>
      </c>
      <c r="AA52" s="2" t="s">
        <v>464</v>
      </c>
      <c r="AB52" s="2"/>
      <c r="AC52" s="2"/>
      <c r="AD52" s="2"/>
      <c r="AE52" s="2"/>
      <c r="AF52" s="2"/>
      <c r="AG52" s="2">
        <v>1</v>
      </c>
      <c r="AH52" s="2"/>
      <c r="AI52" s="2"/>
      <c r="AJ52" s="2"/>
      <c r="AK52">
        <v>1</v>
      </c>
      <c r="AO52">
        <v>24</v>
      </c>
      <c r="AP52" s="21">
        <v>275.17611786249188</v>
      </c>
      <c r="AQ52" s="21">
        <v>8.7216871094871057E-2</v>
      </c>
      <c r="AR52" s="28">
        <v>1.8421052631578949</v>
      </c>
      <c r="AS52" s="28">
        <v>2.5263157894736841</v>
      </c>
      <c r="AT52" s="28">
        <v>0.68421052631578949</v>
      </c>
      <c r="AU52" s="28">
        <v>0</v>
      </c>
      <c r="AV52" s="28">
        <v>0.36458333333333343</v>
      </c>
      <c r="AW52" s="28">
        <v>0.5</v>
      </c>
      <c r="AX52" s="28">
        <v>0.13541666666666671</v>
      </c>
      <c r="AY52" s="28">
        <v>0</v>
      </c>
      <c r="AZ52" s="25">
        <v>0.89</v>
      </c>
      <c r="BA52" s="25">
        <v>3.44</v>
      </c>
      <c r="BB52" s="25">
        <v>2.5499999999999998</v>
      </c>
      <c r="BC52" s="25">
        <v>2.6236842105263158</v>
      </c>
      <c r="BD52">
        <v>2.623684210526315</v>
      </c>
      <c r="BE52">
        <v>5.9521582263157891</v>
      </c>
    </row>
    <row r="53" spans="1:57" x14ac:dyDescent="0.3">
      <c r="A53" s="2" t="s">
        <v>37</v>
      </c>
      <c r="B53" s="13" t="s">
        <v>713</v>
      </c>
      <c r="C53" s="13"/>
      <c r="D53" s="2"/>
      <c r="E53" s="2"/>
      <c r="F53" s="2">
        <v>4.04</v>
      </c>
      <c r="G53" s="2" t="s">
        <v>36</v>
      </c>
      <c r="H53" s="9" t="s">
        <v>544</v>
      </c>
      <c r="I53" t="s">
        <v>625</v>
      </c>
      <c r="K53" s="2"/>
      <c r="L53" s="2"/>
      <c r="M53" s="2"/>
      <c r="N53" s="23">
        <v>1</v>
      </c>
      <c r="O53" s="2"/>
      <c r="P53" s="2"/>
      <c r="Q53" s="2"/>
      <c r="R53" s="2"/>
      <c r="S53" s="2"/>
      <c r="T53" s="23">
        <v>5.7458564399999998</v>
      </c>
      <c r="U53" s="23">
        <v>5.7458564399999998</v>
      </c>
      <c r="V53" s="23">
        <v>11.67169612</v>
      </c>
      <c r="W53" s="2"/>
      <c r="X53" s="2"/>
      <c r="Y53" s="2" t="s">
        <v>464</v>
      </c>
      <c r="Z53" s="2">
        <v>1</v>
      </c>
      <c r="AA53" s="2" t="s">
        <v>464</v>
      </c>
      <c r="AB53" s="2"/>
      <c r="AC53" s="2"/>
      <c r="AD53" s="2"/>
      <c r="AE53" s="2"/>
      <c r="AF53" s="2"/>
      <c r="AG53" s="2"/>
      <c r="AH53" s="2"/>
      <c r="AI53" s="2"/>
      <c r="AJ53" s="2"/>
      <c r="AO53">
        <v>30</v>
      </c>
      <c r="AP53" s="21">
        <v>333.30247418302179</v>
      </c>
      <c r="AQ53" s="21">
        <v>9.0008332742008132E-2</v>
      </c>
      <c r="AR53" s="28">
        <v>1.833333333333333</v>
      </c>
      <c r="AS53" s="28">
        <v>2.5</v>
      </c>
      <c r="AT53" s="28">
        <v>0.66666666666666663</v>
      </c>
      <c r="AU53" s="28">
        <v>0</v>
      </c>
      <c r="AV53" s="28">
        <v>0.36666666666666659</v>
      </c>
      <c r="AW53" s="28">
        <v>0.5</v>
      </c>
      <c r="AX53" s="28">
        <v>0.1333333333333333</v>
      </c>
      <c r="AY53" s="28">
        <v>0</v>
      </c>
      <c r="AZ53" s="25">
        <v>0.95</v>
      </c>
      <c r="BA53" s="25">
        <v>3.44</v>
      </c>
      <c r="BB53" s="25">
        <v>2.4900000000000002</v>
      </c>
      <c r="BC53" s="25">
        <v>2.614583333333333</v>
      </c>
      <c r="BD53">
        <v>2.614583333333333</v>
      </c>
      <c r="BE53">
        <v>5.9505645781250003</v>
      </c>
    </row>
    <row r="54" spans="1:57" x14ac:dyDescent="0.3">
      <c r="A54" s="2" t="s">
        <v>38</v>
      </c>
      <c r="B54" s="13" t="s">
        <v>714</v>
      </c>
      <c r="C54" s="13"/>
      <c r="D54" s="2"/>
      <c r="E54" s="2"/>
      <c r="F54" s="2">
        <v>3.87</v>
      </c>
      <c r="G54" s="2" t="s">
        <v>36</v>
      </c>
      <c r="H54" s="9" t="s">
        <v>545</v>
      </c>
      <c r="I54" t="s">
        <v>626</v>
      </c>
      <c r="K54" s="2"/>
      <c r="L54" s="2"/>
      <c r="M54" s="2"/>
      <c r="N54" s="23">
        <v>1</v>
      </c>
      <c r="O54" s="2"/>
      <c r="P54" s="2"/>
      <c r="Q54" s="2"/>
      <c r="R54" s="2"/>
      <c r="S54" s="2"/>
      <c r="T54" s="23">
        <v>5.8532381300000003</v>
      </c>
      <c r="U54" s="23">
        <v>5.8532371599999999</v>
      </c>
      <c r="V54" s="23">
        <v>11.912811489999999</v>
      </c>
      <c r="W54" s="2"/>
      <c r="X54" s="2"/>
      <c r="Y54" s="2" t="s">
        <v>464</v>
      </c>
      <c r="Z54" s="2">
        <v>1</v>
      </c>
      <c r="AA54" s="2" t="s">
        <v>464</v>
      </c>
      <c r="AB54" s="2"/>
      <c r="AC54" s="2"/>
      <c r="AD54" s="2"/>
      <c r="AE54" s="2"/>
      <c r="AF54" s="2"/>
      <c r="AG54" s="2"/>
      <c r="AH54" s="2"/>
      <c r="AI54" s="2"/>
      <c r="AJ54" s="2"/>
      <c r="AO54">
        <v>30</v>
      </c>
      <c r="AP54" s="21">
        <v>353.45760058531442</v>
      </c>
      <c r="AQ54" s="21">
        <v>8.487580957467307E-2</v>
      </c>
      <c r="AR54" s="28">
        <v>1.833333333333333</v>
      </c>
      <c r="AS54" s="28">
        <v>2.5</v>
      </c>
      <c r="AT54" s="28">
        <v>0.66666666666666663</v>
      </c>
      <c r="AU54" s="28">
        <v>0</v>
      </c>
      <c r="AV54" s="28">
        <v>0.36666666666666659</v>
      </c>
      <c r="AW54" s="28">
        <v>0.5</v>
      </c>
      <c r="AX54" s="28">
        <v>0.1333333333333333</v>
      </c>
      <c r="AY54" s="28">
        <v>0</v>
      </c>
      <c r="AZ54" s="25">
        <v>0.89</v>
      </c>
      <c r="BA54" s="25">
        <v>3.44</v>
      </c>
      <c r="BB54" s="25">
        <v>2.5499999999999998</v>
      </c>
      <c r="BC54" s="25">
        <v>2.6020833333333329</v>
      </c>
      <c r="BD54">
        <v>2.6020833333333329</v>
      </c>
      <c r="BE54">
        <v>5.9098726145833336</v>
      </c>
    </row>
    <row r="55" spans="1:57" x14ac:dyDescent="0.3">
      <c r="A55" s="2" t="s">
        <v>44</v>
      </c>
      <c r="B55" s="13" t="s">
        <v>720</v>
      </c>
      <c r="C55" s="13"/>
      <c r="D55" s="2"/>
      <c r="E55" s="2"/>
      <c r="F55" s="2">
        <v>3.4</v>
      </c>
      <c r="G55" s="2" t="s">
        <v>36</v>
      </c>
      <c r="H55" s="9" t="s">
        <v>549</v>
      </c>
      <c r="I55">
        <v>-1</v>
      </c>
      <c r="K55" s="2"/>
      <c r="L55" s="2"/>
      <c r="M55" s="2"/>
      <c r="N55" s="23">
        <v>1</v>
      </c>
      <c r="O55" s="2"/>
      <c r="P55" s="2"/>
      <c r="Q55" s="2"/>
      <c r="R55" s="2"/>
      <c r="S55" s="2"/>
      <c r="T55" s="23">
        <v>15.28115725</v>
      </c>
      <c r="U55" s="23">
        <v>15.28115725</v>
      </c>
      <c r="V55" s="23">
        <v>15.28115725</v>
      </c>
      <c r="W55" s="2"/>
      <c r="X55" s="2"/>
      <c r="Y55" s="2" t="s">
        <v>464</v>
      </c>
      <c r="Z55" s="2">
        <v>1</v>
      </c>
      <c r="AA55" s="2" t="s">
        <v>464</v>
      </c>
      <c r="AB55" s="2"/>
      <c r="AC55" s="2"/>
      <c r="AD55" s="2"/>
      <c r="AE55" s="2"/>
      <c r="AF55" s="2"/>
      <c r="AG55" s="2"/>
      <c r="AH55" s="2"/>
      <c r="AI55" s="2"/>
      <c r="AJ55" s="2"/>
      <c r="AO55">
        <v>20</v>
      </c>
      <c r="AP55" s="21">
        <v>229.90248606119221</v>
      </c>
      <c r="AQ55" s="21">
        <v>8.6993404650164072E-2</v>
      </c>
      <c r="AR55" s="28">
        <v>1.882352941176471</v>
      </c>
      <c r="AS55" s="28">
        <v>2.3529411764705879</v>
      </c>
      <c r="AT55" s="28">
        <v>0.47058823529411759</v>
      </c>
      <c r="AU55" s="28">
        <v>0</v>
      </c>
      <c r="AV55" s="28">
        <v>0.4</v>
      </c>
      <c r="AW55" s="28">
        <v>0.5</v>
      </c>
      <c r="AX55" s="28">
        <v>9.9999999999999992E-2</v>
      </c>
      <c r="AY55" s="28">
        <v>0</v>
      </c>
      <c r="AZ55" s="25">
        <v>0.82</v>
      </c>
      <c r="BA55" s="25">
        <v>3.44</v>
      </c>
      <c r="BB55" s="25">
        <v>2.62</v>
      </c>
      <c r="BC55" s="25">
        <v>2.5211764705882351</v>
      </c>
      <c r="BD55">
        <v>2.521176470588236</v>
      </c>
      <c r="BE55">
        <v>5.6898745917647062</v>
      </c>
    </row>
    <row r="56" spans="1:57" x14ac:dyDescent="0.3">
      <c r="A56" s="2" t="s">
        <v>34</v>
      </c>
      <c r="B56" s="13" t="s">
        <v>711</v>
      </c>
      <c r="C56" s="13"/>
      <c r="D56" s="2"/>
      <c r="E56" s="2"/>
      <c r="F56" s="2">
        <v>3.2</v>
      </c>
      <c r="G56" s="2" t="s">
        <v>36</v>
      </c>
      <c r="H56" s="9" t="s">
        <v>542</v>
      </c>
      <c r="I56" t="s">
        <v>623</v>
      </c>
      <c r="K56" s="2"/>
      <c r="L56" s="2"/>
      <c r="M56" s="2"/>
      <c r="N56" s="23">
        <v>1</v>
      </c>
      <c r="O56" s="2"/>
      <c r="P56" s="2"/>
      <c r="Q56" s="2"/>
      <c r="R56" s="2"/>
      <c r="S56" s="2"/>
      <c r="T56" s="23">
        <v>3.9086759899999999</v>
      </c>
      <c r="U56" s="23">
        <v>3.908676100000001</v>
      </c>
      <c r="V56" s="23">
        <v>10.552604730000001</v>
      </c>
      <c r="W56" s="2"/>
      <c r="X56" s="2"/>
      <c r="Y56" s="2" t="s">
        <v>464</v>
      </c>
      <c r="Z56" s="2">
        <v>1</v>
      </c>
      <c r="AA56" s="2" t="s">
        <v>464</v>
      </c>
      <c r="AB56" s="2"/>
      <c r="AC56" s="2"/>
      <c r="AD56" s="2"/>
      <c r="AE56" s="2"/>
      <c r="AF56" s="2"/>
      <c r="AG56" s="2"/>
      <c r="AH56" s="2"/>
      <c r="AI56" s="2"/>
      <c r="AJ56" s="2"/>
      <c r="AO56">
        <v>14</v>
      </c>
      <c r="AP56" s="21">
        <v>155.59136328639269</v>
      </c>
      <c r="AQ56" s="21">
        <v>8.9979287437893268E-2</v>
      </c>
      <c r="AR56" s="28">
        <v>2</v>
      </c>
      <c r="AS56" s="28">
        <v>2.333333333333333</v>
      </c>
      <c r="AT56" s="28">
        <v>0.33333333333333331</v>
      </c>
      <c r="AU56" s="28">
        <v>0</v>
      </c>
      <c r="AV56" s="28">
        <v>0.42857142857142849</v>
      </c>
      <c r="AW56" s="28">
        <v>0.5</v>
      </c>
      <c r="AX56" s="28">
        <v>7.1428571428571425E-2</v>
      </c>
      <c r="AY56" s="28">
        <v>0</v>
      </c>
      <c r="AZ56" s="25">
        <v>0.95</v>
      </c>
      <c r="BA56" s="25">
        <v>3.44</v>
      </c>
      <c r="BB56" s="25">
        <v>2.4900000000000002</v>
      </c>
      <c r="BC56" s="25">
        <v>2.500833333333333</v>
      </c>
      <c r="BD56">
        <v>2.500833333333333</v>
      </c>
      <c r="BE56">
        <v>5.6917605187500007</v>
      </c>
    </row>
    <row r="57" spans="1:57" x14ac:dyDescent="0.3">
      <c r="A57" s="2" t="s">
        <v>45</v>
      </c>
      <c r="B57" s="13" t="s">
        <v>721</v>
      </c>
      <c r="C57" s="13"/>
      <c r="D57" s="2"/>
      <c r="E57" s="2"/>
      <c r="F57" s="2">
        <v>3.3</v>
      </c>
      <c r="G57" s="2" t="s">
        <v>36</v>
      </c>
      <c r="H57" s="9" t="s">
        <v>550</v>
      </c>
      <c r="I57">
        <v>-1</v>
      </c>
      <c r="K57" s="2"/>
      <c r="L57" s="2"/>
      <c r="M57" s="2"/>
      <c r="N57" s="23">
        <v>1</v>
      </c>
      <c r="O57" s="2"/>
      <c r="P57" s="2"/>
      <c r="Q57" s="2"/>
      <c r="R57" s="2"/>
      <c r="S57" s="2"/>
      <c r="T57" s="23">
        <v>3.91068857</v>
      </c>
      <c r="U57" s="23">
        <v>3.9106874500000002</v>
      </c>
      <c r="V57" s="23">
        <v>14.360376649999999</v>
      </c>
      <c r="W57" s="2"/>
      <c r="X57" s="2"/>
      <c r="Y57" s="2" t="s">
        <v>464</v>
      </c>
      <c r="Z57" s="2">
        <v>1</v>
      </c>
      <c r="AA57" s="2" t="s">
        <v>464</v>
      </c>
      <c r="AB57" s="2"/>
      <c r="AC57" s="2"/>
      <c r="AD57" s="2"/>
      <c r="AE57" s="2"/>
      <c r="AF57" s="2"/>
      <c r="AG57" s="2"/>
      <c r="AH57" s="2"/>
      <c r="AI57" s="2"/>
      <c r="AJ57" s="2"/>
      <c r="AO57">
        <v>20</v>
      </c>
      <c r="AP57" s="21">
        <v>215.5098899352688</v>
      </c>
      <c r="AQ57" s="21">
        <v>9.2803165580972902E-2</v>
      </c>
      <c r="AR57" s="28">
        <v>2</v>
      </c>
      <c r="AS57" s="28">
        <v>2.3529411764705879</v>
      </c>
      <c r="AT57" s="28">
        <v>0.35294117647058831</v>
      </c>
      <c r="AU57" s="28">
        <v>0</v>
      </c>
      <c r="AV57" s="28">
        <v>0.42499999999999999</v>
      </c>
      <c r="AW57" s="28">
        <v>0.5</v>
      </c>
      <c r="AX57" s="28">
        <v>7.4999999999999997E-2</v>
      </c>
      <c r="AY57" s="28">
        <v>0</v>
      </c>
      <c r="AZ57" s="25">
        <v>0.95</v>
      </c>
      <c r="BA57" s="25">
        <v>3.44</v>
      </c>
      <c r="BB57" s="25">
        <v>2.4900000000000002</v>
      </c>
      <c r="BC57" s="25">
        <v>2.518823529411764</v>
      </c>
      <c r="BD57">
        <v>2.5188235294117649</v>
      </c>
      <c r="BE57">
        <v>5.720303876470588</v>
      </c>
    </row>
    <row r="58" spans="1:57" x14ac:dyDescent="0.3">
      <c r="A58" s="2" t="s">
        <v>46</v>
      </c>
      <c r="B58" s="13" t="s">
        <v>722</v>
      </c>
      <c r="C58" s="13"/>
      <c r="D58" s="2"/>
      <c r="E58" s="2"/>
      <c r="F58" s="2">
        <v>3.8</v>
      </c>
      <c r="G58" s="2" t="s">
        <v>36</v>
      </c>
      <c r="H58" s="9" t="s">
        <v>551</v>
      </c>
      <c r="I58" t="s">
        <v>629</v>
      </c>
      <c r="K58" s="2"/>
      <c r="L58" s="2"/>
      <c r="M58" s="2"/>
      <c r="N58" s="23">
        <v>2</v>
      </c>
      <c r="O58" s="2"/>
      <c r="P58" s="2"/>
      <c r="Q58" s="2"/>
      <c r="R58" s="2"/>
      <c r="S58" s="2"/>
      <c r="T58" s="23">
        <v>7.41544296</v>
      </c>
      <c r="U58" s="23">
        <v>7.4154429599999991</v>
      </c>
      <c r="V58" s="23">
        <v>7.41544296</v>
      </c>
      <c r="W58" s="2"/>
      <c r="X58" s="2"/>
      <c r="Y58" s="2" t="s">
        <v>464</v>
      </c>
      <c r="Z58" s="2">
        <v>1</v>
      </c>
      <c r="AA58" s="2" t="s">
        <v>464</v>
      </c>
      <c r="AB58" s="2"/>
      <c r="AC58" s="2"/>
      <c r="AD58" s="2"/>
      <c r="AE58" s="2"/>
      <c r="AF58" s="2"/>
      <c r="AG58" s="2"/>
      <c r="AH58" s="2"/>
      <c r="AI58" s="2"/>
      <c r="AJ58" s="2"/>
      <c r="AO58">
        <v>14</v>
      </c>
      <c r="AP58" s="21">
        <v>288.33429290182369</v>
      </c>
      <c r="AQ58" s="21">
        <v>9.7109503410799117E-2</v>
      </c>
      <c r="AR58" s="28">
        <v>2</v>
      </c>
      <c r="AS58" s="28">
        <v>2.545454545454545</v>
      </c>
      <c r="AT58" s="28">
        <v>0.54545454545454541</v>
      </c>
      <c r="AU58" s="28">
        <v>0</v>
      </c>
      <c r="AV58" s="28">
        <v>0.39285714285714279</v>
      </c>
      <c r="AW58" s="28">
        <v>0.5</v>
      </c>
      <c r="AX58" s="28">
        <v>0.1071428571428571</v>
      </c>
      <c r="AY58" s="28">
        <v>0</v>
      </c>
      <c r="AZ58" s="25">
        <v>1.1000000000000001</v>
      </c>
      <c r="BA58" s="25">
        <v>3.44</v>
      </c>
      <c r="BB58" s="25">
        <v>2.34</v>
      </c>
      <c r="BC58" s="25">
        <v>2.669090909090909</v>
      </c>
      <c r="BD58">
        <v>2.669090909090909</v>
      </c>
      <c r="BE58">
        <v>5.9831974772727277</v>
      </c>
    </row>
    <row r="59" spans="1:57" x14ac:dyDescent="0.3">
      <c r="A59" s="2" t="s">
        <v>47</v>
      </c>
      <c r="B59" s="13" t="s">
        <v>723</v>
      </c>
      <c r="C59" s="13"/>
      <c r="D59" s="2"/>
      <c r="E59" s="2"/>
      <c r="F59" s="2">
        <v>3.8</v>
      </c>
      <c r="G59" s="2" t="s">
        <v>36</v>
      </c>
      <c r="H59" s="9">
        <v>-1</v>
      </c>
      <c r="I59">
        <v>-1</v>
      </c>
      <c r="J59" t="s">
        <v>1152</v>
      </c>
      <c r="K59" s="2"/>
      <c r="L59" s="2"/>
      <c r="M59" s="2"/>
      <c r="N59" s="23">
        <v>0</v>
      </c>
      <c r="O59" s="2"/>
      <c r="P59" s="2"/>
      <c r="Q59" s="2"/>
      <c r="R59" s="2"/>
      <c r="S59" s="2"/>
      <c r="T59" s="23">
        <v>0</v>
      </c>
      <c r="U59" s="23"/>
      <c r="V59" s="23"/>
      <c r="W59" s="2"/>
      <c r="X59" s="2"/>
      <c r="Y59" s="2" t="s">
        <v>464</v>
      </c>
      <c r="Z59" s="2">
        <v>1</v>
      </c>
      <c r="AA59" s="2" t="s">
        <v>464</v>
      </c>
      <c r="AB59" s="2"/>
      <c r="AC59" s="2"/>
      <c r="AD59" s="2"/>
      <c r="AE59" s="2"/>
      <c r="AF59" s="2"/>
      <c r="AG59" s="2"/>
      <c r="AH59" s="2"/>
      <c r="AI59" s="2"/>
      <c r="AJ59" s="2"/>
      <c r="AO59">
        <v>34</v>
      </c>
      <c r="AP59" s="21">
        <v>0</v>
      </c>
      <c r="AQ59" s="21"/>
      <c r="AR59" s="28">
        <v>2</v>
      </c>
      <c r="AS59" s="28">
        <v>2.518518518518519</v>
      </c>
      <c r="AT59" s="28">
        <v>0.51851851851851849</v>
      </c>
      <c r="AU59" s="28">
        <v>0</v>
      </c>
      <c r="AV59" s="28">
        <v>0.39705882352941169</v>
      </c>
      <c r="AW59" s="28">
        <v>0.5</v>
      </c>
      <c r="AX59" s="28">
        <v>0.1029411764705882</v>
      </c>
      <c r="AY59" s="28">
        <v>0</v>
      </c>
      <c r="AZ59" s="25">
        <v>1</v>
      </c>
      <c r="BA59" s="25">
        <v>3.44</v>
      </c>
      <c r="BB59" s="25">
        <v>2.44</v>
      </c>
      <c r="BC59" s="25">
        <v>2.6511111111111112</v>
      </c>
      <c r="BD59">
        <v>2.6511111111111112</v>
      </c>
      <c r="BE59">
        <v>5.9544359512962952</v>
      </c>
    </row>
    <row r="60" spans="1:57" x14ac:dyDescent="0.3">
      <c r="A60" s="2" t="s">
        <v>40</v>
      </c>
      <c r="B60" s="13" t="s">
        <v>716</v>
      </c>
      <c r="C60" s="13"/>
      <c r="D60" s="2"/>
      <c r="E60" s="2"/>
      <c r="F60" s="2">
        <v>3.85</v>
      </c>
      <c r="G60" s="2" t="s">
        <v>36</v>
      </c>
      <c r="H60" s="9" t="s">
        <v>546</v>
      </c>
      <c r="I60" t="s">
        <v>627</v>
      </c>
      <c r="K60" s="2"/>
      <c r="L60" s="2"/>
      <c r="M60" s="2"/>
      <c r="N60" s="23">
        <v>2</v>
      </c>
      <c r="O60" s="2"/>
      <c r="P60" s="2"/>
      <c r="Q60" s="2"/>
      <c r="R60" s="2"/>
      <c r="S60" s="2"/>
      <c r="T60" s="23">
        <v>5.6269875200000001</v>
      </c>
      <c r="U60" s="23">
        <v>5.6269875200000001</v>
      </c>
      <c r="V60" s="23">
        <v>22.749475</v>
      </c>
      <c r="W60" s="2"/>
      <c r="X60" s="2"/>
      <c r="Y60" s="2" t="s">
        <v>464</v>
      </c>
      <c r="Z60" s="2">
        <v>1</v>
      </c>
      <c r="AA60" s="2" t="s">
        <v>464</v>
      </c>
      <c r="AB60" s="2"/>
      <c r="AC60" s="2"/>
      <c r="AD60" s="2"/>
      <c r="AE60" s="2"/>
      <c r="AF60" s="2"/>
      <c r="AG60" s="2"/>
      <c r="AH60" s="2"/>
      <c r="AI60" s="2"/>
      <c r="AJ60" s="2"/>
      <c r="AO60">
        <v>30</v>
      </c>
      <c r="AP60" s="21">
        <v>623.81230762201892</v>
      </c>
      <c r="AQ60" s="21">
        <v>9.6182776881592519E-2</v>
      </c>
      <c r="AR60" s="28">
        <v>2</v>
      </c>
      <c r="AS60" s="28">
        <v>2.5</v>
      </c>
      <c r="AT60" s="28">
        <v>0.5</v>
      </c>
      <c r="AU60" s="28">
        <v>0</v>
      </c>
      <c r="AV60" s="28">
        <v>0.4</v>
      </c>
      <c r="AW60" s="28">
        <v>0.5</v>
      </c>
      <c r="AX60" s="28">
        <v>0.1</v>
      </c>
      <c r="AY60" s="28">
        <v>0</v>
      </c>
      <c r="AZ60" s="25">
        <v>0.89</v>
      </c>
      <c r="BA60" s="25">
        <v>3.44</v>
      </c>
      <c r="BB60" s="25">
        <v>2.5499999999999998</v>
      </c>
      <c r="BC60" s="25">
        <v>2.6270833333333332</v>
      </c>
      <c r="BD60">
        <v>2.6270833333333332</v>
      </c>
      <c r="BE60">
        <v>5.9103362479166668</v>
      </c>
    </row>
    <row r="61" spans="1:57" x14ac:dyDescent="0.3">
      <c r="A61" s="2" t="s">
        <v>48</v>
      </c>
      <c r="B61" s="13" t="s">
        <v>724</v>
      </c>
      <c r="C61" s="13"/>
      <c r="D61" s="2"/>
      <c r="E61" s="2"/>
      <c r="F61" s="2">
        <v>4.3</v>
      </c>
      <c r="G61" s="2" t="s">
        <v>36</v>
      </c>
      <c r="H61" s="9" t="s">
        <v>552</v>
      </c>
      <c r="I61" t="s">
        <v>630</v>
      </c>
      <c r="K61" s="2"/>
      <c r="L61" s="2"/>
      <c r="M61" s="2"/>
      <c r="N61" s="23">
        <v>2</v>
      </c>
      <c r="O61" s="2"/>
      <c r="P61" s="2"/>
      <c r="Q61" s="2"/>
      <c r="R61" s="2"/>
      <c r="S61" s="2"/>
      <c r="T61" s="23">
        <v>7.4836094600000003</v>
      </c>
      <c r="U61" s="23">
        <v>7.4836094600000003</v>
      </c>
      <c r="V61" s="23">
        <v>7.4836094600000003</v>
      </c>
      <c r="W61" s="2"/>
      <c r="X61" s="2"/>
      <c r="Y61" s="2" t="s">
        <v>464</v>
      </c>
      <c r="Z61" s="2">
        <v>1</v>
      </c>
      <c r="AA61" s="2" t="s">
        <v>464</v>
      </c>
      <c r="AB61" s="2"/>
      <c r="AC61" s="2"/>
      <c r="AD61" s="2"/>
      <c r="AE61" s="2"/>
      <c r="AF61" s="2"/>
      <c r="AG61" s="2"/>
      <c r="AH61" s="2"/>
      <c r="AI61" s="2"/>
      <c r="AJ61" s="2"/>
      <c r="AO61">
        <v>14</v>
      </c>
      <c r="AP61" s="21">
        <v>296.35915518228359</v>
      </c>
      <c r="AQ61" s="21">
        <v>9.4479956196318104E-2</v>
      </c>
      <c r="AR61" s="28">
        <v>1.8181818181818179</v>
      </c>
      <c r="AS61" s="28">
        <v>2.545454545454545</v>
      </c>
      <c r="AT61" s="28">
        <v>0.72727272727272729</v>
      </c>
      <c r="AU61" s="28">
        <v>0</v>
      </c>
      <c r="AV61" s="28">
        <v>0.35714285714285721</v>
      </c>
      <c r="AW61" s="28">
        <v>0.5</v>
      </c>
      <c r="AX61" s="28">
        <v>0.1428571428571429</v>
      </c>
      <c r="AY61" s="28">
        <v>0</v>
      </c>
      <c r="AZ61" s="25">
        <v>1</v>
      </c>
      <c r="BA61" s="25">
        <v>3.44</v>
      </c>
      <c r="BB61" s="25">
        <v>2.44</v>
      </c>
      <c r="BC61" s="25">
        <v>2.6618181818181821</v>
      </c>
      <c r="BD61">
        <v>2.6618181818181821</v>
      </c>
      <c r="BE61">
        <v>6.0537295018181814</v>
      </c>
    </row>
    <row r="62" spans="1:57" x14ac:dyDescent="0.3">
      <c r="A62" s="2" t="s">
        <v>49</v>
      </c>
      <c r="B62" s="13" t="s">
        <v>725</v>
      </c>
      <c r="C62" s="13"/>
      <c r="D62" s="2"/>
      <c r="E62" s="2"/>
      <c r="F62" s="2">
        <v>4</v>
      </c>
      <c r="G62" s="2" t="s">
        <v>36</v>
      </c>
      <c r="H62" s="9" t="s">
        <v>553</v>
      </c>
      <c r="I62" t="s">
        <v>631</v>
      </c>
      <c r="K62" s="2"/>
      <c r="L62" s="2"/>
      <c r="M62" s="2"/>
      <c r="N62" s="23">
        <v>8</v>
      </c>
      <c r="O62" s="2"/>
      <c r="P62" s="2"/>
      <c r="Q62" s="2"/>
      <c r="R62" s="2"/>
      <c r="S62" s="2"/>
      <c r="T62" s="23">
        <v>5.8017180100000001</v>
      </c>
      <c r="U62" s="23">
        <v>7.9756520899999996</v>
      </c>
      <c r="V62" s="23">
        <v>27.352093400000001</v>
      </c>
      <c r="W62" s="2"/>
      <c r="X62" s="2"/>
      <c r="Y62" s="2" t="s">
        <v>464</v>
      </c>
      <c r="Z62" s="2">
        <v>1</v>
      </c>
      <c r="AA62" s="2" t="s">
        <v>464</v>
      </c>
      <c r="AB62" s="2"/>
      <c r="AC62" s="2"/>
      <c r="AD62" s="2"/>
      <c r="AE62" s="2"/>
      <c r="AF62" s="2"/>
      <c r="AG62" s="2"/>
      <c r="AH62" s="2"/>
      <c r="AI62" s="2"/>
      <c r="AJ62" s="2"/>
      <c r="AO62">
        <v>14</v>
      </c>
      <c r="AP62" s="21">
        <v>1265.6493143942739</v>
      </c>
      <c r="AQ62" s="21">
        <v>8.8492127105210025E-2</v>
      </c>
      <c r="AR62" s="28">
        <v>1.8181818181818179</v>
      </c>
      <c r="AS62" s="28">
        <v>2.545454545454545</v>
      </c>
      <c r="AT62" s="28">
        <v>0.72727272727272729</v>
      </c>
      <c r="AU62" s="28">
        <v>0</v>
      </c>
      <c r="AV62" s="28">
        <v>0.35714285714285721</v>
      </c>
      <c r="AW62" s="28">
        <v>0.5</v>
      </c>
      <c r="AX62" s="28">
        <v>0.1428571428571429</v>
      </c>
      <c r="AY62" s="28">
        <v>0</v>
      </c>
      <c r="AZ62" s="25">
        <v>0.95</v>
      </c>
      <c r="BA62" s="25">
        <v>3.44</v>
      </c>
      <c r="BB62" s="25">
        <v>2.4900000000000002</v>
      </c>
      <c r="BC62" s="25">
        <v>2.6527272727272719</v>
      </c>
      <c r="BD62">
        <v>2.6527272727272728</v>
      </c>
      <c r="BE62">
        <v>6.0182046818181814</v>
      </c>
    </row>
    <row r="63" spans="1:57" x14ac:dyDescent="0.3">
      <c r="A63" s="2" t="s">
        <v>38</v>
      </c>
      <c r="B63" s="13" t="s">
        <v>714</v>
      </c>
      <c r="C63" s="13"/>
      <c r="D63" s="2"/>
      <c r="E63" s="2"/>
      <c r="F63" s="2">
        <v>3.91</v>
      </c>
      <c r="G63" s="2" t="s">
        <v>36</v>
      </c>
      <c r="H63" s="9" t="s">
        <v>545</v>
      </c>
      <c r="I63" t="s">
        <v>626</v>
      </c>
      <c r="K63" s="2"/>
      <c r="L63" s="2"/>
      <c r="M63" s="2"/>
      <c r="N63" s="23">
        <v>1</v>
      </c>
      <c r="O63" s="2"/>
      <c r="P63" s="2"/>
      <c r="Q63" s="2"/>
      <c r="R63" s="2"/>
      <c r="S63" s="2"/>
      <c r="T63" s="23">
        <v>5.8532381300000003</v>
      </c>
      <c r="U63" s="23">
        <v>5.8532371599999999</v>
      </c>
      <c r="V63" s="23">
        <v>11.912811489999999</v>
      </c>
      <c r="W63" s="2"/>
      <c r="X63" s="2"/>
      <c r="Y63" s="2" t="s">
        <v>464</v>
      </c>
      <c r="Z63" s="2">
        <v>1</v>
      </c>
      <c r="AA63" s="2" t="s">
        <v>464</v>
      </c>
      <c r="AB63" s="2"/>
      <c r="AC63" s="2"/>
      <c r="AD63" s="2"/>
      <c r="AE63" s="2"/>
      <c r="AF63" s="2"/>
      <c r="AG63" s="2"/>
      <c r="AH63" s="2"/>
      <c r="AI63" s="2"/>
      <c r="AJ63" s="2"/>
      <c r="AO63">
        <v>30</v>
      </c>
      <c r="AP63" s="21">
        <v>353.45760058531442</v>
      </c>
      <c r="AQ63" s="21">
        <v>8.487580957467307E-2</v>
      </c>
      <c r="AR63" s="28">
        <v>1.833333333333333</v>
      </c>
      <c r="AS63" s="28">
        <v>2.5</v>
      </c>
      <c r="AT63" s="28">
        <v>0.66666666666666663</v>
      </c>
      <c r="AU63" s="28">
        <v>0</v>
      </c>
      <c r="AV63" s="28">
        <v>0.36666666666666659</v>
      </c>
      <c r="AW63" s="28">
        <v>0.5</v>
      </c>
      <c r="AX63" s="28">
        <v>0.1333333333333333</v>
      </c>
      <c r="AY63" s="28">
        <v>0</v>
      </c>
      <c r="AZ63" s="25">
        <v>0.89</v>
      </c>
      <c r="BA63" s="25">
        <v>3.44</v>
      </c>
      <c r="BB63" s="25">
        <v>2.5499999999999998</v>
      </c>
      <c r="BC63" s="25">
        <v>2.6020833333333329</v>
      </c>
      <c r="BD63">
        <v>2.6020833333333329</v>
      </c>
      <c r="BE63">
        <v>5.9098726145833336</v>
      </c>
    </row>
    <row r="64" spans="1:57" x14ac:dyDescent="0.3">
      <c r="A64" s="2" t="s">
        <v>51</v>
      </c>
      <c r="B64" s="13" t="s">
        <v>703</v>
      </c>
      <c r="C64" s="13"/>
      <c r="D64" s="2"/>
      <c r="E64" s="2"/>
      <c r="F64" s="2">
        <v>5.5</v>
      </c>
      <c r="G64" s="2" t="s">
        <v>52</v>
      </c>
      <c r="H64" s="9" t="s">
        <v>536</v>
      </c>
      <c r="I64" t="s">
        <v>617</v>
      </c>
      <c r="K64" s="2"/>
      <c r="L64" s="2"/>
      <c r="M64" s="2"/>
      <c r="N64" s="23">
        <v>1</v>
      </c>
      <c r="O64" s="2"/>
      <c r="P64" s="2"/>
      <c r="Q64" s="2"/>
      <c r="R64" s="2"/>
      <c r="S64" s="2"/>
      <c r="T64" s="23">
        <v>12.88926011</v>
      </c>
      <c r="U64" s="23">
        <v>12.88926011</v>
      </c>
      <c r="V64" s="23">
        <v>12.88926011</v>
      </c>
      <c r="W64" s="2"/>
      <c r="X64" s="2">
        <v>1</v>
      </c>
      <c r="Y64" s="2" t="s">
        <v>464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O64">
        <v>18</v>
      </c>
      <c r="AP64" s="21">
        <v>195.03203980213701</v>
      </c>
      <c r="AQ64" s="21">
        <v>9.2292528029042184E-2</v>
      </c>
      <c r="AR64" s="28">
        <v>2</v>
      </c>
      <c r="AS64" s="28">
        <v>3</v>
      </c>
      <c r="AT64" s="28">
        <v>1.857142857142857</v>
      </c>
      <c r="AU64" s="28">
        <v>4</v>
      </c>
      <c r="AV64" s="28">
        <v>0.18421052631578949</v>
      </c>
      <c r="AW64" s="28">
        <v>0.27631578947368418</v>
      </c>
      <c r="AX64" s="28">
        <v>0.1710526315789474</v>
      </c>
      <c r="AY64" s="28">
        <v>0.36842105263157893</v>
      </c>
      <c r="AZ64" s="25">
        <v>0.95</v>
      </c>
      <c r="BA64" s="25">
        <v>3.44</v>
      </c>
      <c r="BB64" s="25">
        <v>2.4900000000000002</v>
      </c>
      <c r="BC64" s="25">
        <v>2.782142857142857</v>
      </c>
      <c r="BD64">
        <v>2.7821428571428579</v>
      </c>
      <c r="BE64">
        <v>6.2021612289285706</v>
      </c>
    </row>
    <row r="65" spans="1:57" x14ac:dyDescent="0.3">
      <c r="A65" s="2" t="s">
        <v>53</v>
      </c>
      <c r="B65" s="13" t="s">
        <v>726</v>
      </c>
      <c r="C65" s="13"/>
      <c r="D65" s="2"/>
      <c r="E65" s="2"/>
      <c r="F65" s="2">
        <v>1.96</v>
      </c>
      <c r="G65" s="2" t="s">
        <v>54</v>
      </c>
      <c r="H65" s="9" t="s">
        <v>554</v>
      </c>
      <c r="I65">
        <v>-1</v>
      </c>
      <c r="K65" s="2"/>
      <c r="L65" s="2"/>
      <c r="M65" s="2"/>
      <c r="N65" s="23">
        <v>1</v>
      </c>
      <c r="O65" s="2"/>
      <c r="P65" s="2"/>
      <c r="Q65" s="2"/>
      <c r="R65" s="2" t="s">
        <v>444</v>
      </c>
      <c r="S65" s="2"/>
      <c r="T65" s="23">
        <v>5.6904349999999999</v>
      </c>
      <c r="U65" s="23">
        <v>5.6904349999999999</v>
      </c>
      <c r="V65" s="23">
        <v>4.0362910000000003</v>
      </c>
      <c r="W65" s="2"/>
      <c r="X65" s="2">
        <v>1</v>
      </c>
      <c r="Y65" s="2" t="s">
        <v>464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O65">
        <v>12</v>
      </c>
      <c r="AP65" s="21">
        <v>130.69934266020451</v>
      </c>
      <c r="AQ65" s="21">
        <v>9.1813774696617348E-2</v>
      </c>
      <c r="AR65" s="28">
        <v>2</v>
      </c>
      <c r="AS65" s="28">
        <v>2.6</v>
      </c>
      <c r="AT65" s="28">
        <v>1.6</v>
      </c>
      <c r="AU65" s="28">
        <v>0</v>
      </c>
      <c r="AV65" s="28">
        <v>0.32258064516129031</v>
      </c>
      <c r="AW65" s="28">
        <v>0.41935483870967738</v>
      </c>
      <c r="AX65" s="28">
        <v>0.25806451612903231</v>
      </c>
      <c r="AY65" s="28">
        <v>0</v>
      </c>
      <c r="AZ65" s="25">
        <v>0.95</v>
      </c>
      <c r="BA65" s="25">
        <v>3.44</v>
      </c>
      <c r="BB65" s="25">
        <v>2.4900000000000002</v>
      </c>
      <c r="BC65" s="25">
        <v>2.633</v>
      </c>
      <c r="BD65">
        <v>2.633</v>
      </c>
      <c r="BE65">
        <v>5.9240260669999998</v>
      </c>
    </row>
    <row r="66" spans="1:57" x14ac:dyDescent="0.3">
      <c r="A66" s="2" t="s">
        <v>44</v>
      </c>
      <c r="B66" s="13" t="s">
        <v>720</v>
      </c>
      <c r="C66" s="13"/>
      <c r="D66" s="2"/>
      <c r="E66" s="2"/>
      <c r="F66" s="2">
        <v>3.63</v>
      </c>
      <c r="G66" s="2" t="s">
        <v>55</v>
      </c>
      <c r="H66" s="9" t="s">
        <v>549</v>
      </c>
      <c r="I66">
        <v>-1</v>
      </c>
      <c r="K66" s="2"/>
      <c r="L66" s="2"/>
      <c r="M66" s="2"/>
      <c r="N66" s="23">
        <v>1</v>
      </c>
      <c r="O66" s="2">
        <v>3.8769</v>
      </c>
      <c r="P66" s="2">
        <v>3.8769</v>
      </c>
      <c r="Q66" s="2">
        <v>29.824000000000002</v>
      </c>
      <c r="R66" s="2" t="s">
        <v>440</v>
      </c>
      <c r="S66" s="2"/>
      <c r="T66" s="23">
        <v>15.28115725</v>
      </c>
      <c r="U66" s="23">
        <v>15.28115725</v>
      </c>
      <c r="V66" s="23">
        <v>15.28115725</v>
      </c>
      <c r="W66" s="2">
        <v>1</v>
      </c>
      <c r="X66" s="2"/>
      <c r="Y66" s="2" t="s">
        <v>464</v>
      </c>
      <c r="Z66" s="2"/>
      <c r="AA66" s="2"/>
      <c r="AB66" s="2"/>
      <c r="AC66" s="2"/>
      <c r="AD66" s="2">
        <v>1</v>
      </c>
      <c r="AE66" s="2"/>
      <c r="AF66" s="2">
        <v>1</v>
      </c>
      <c r="AG66" s="2">
        <v>1</v>
      </c>
      <c r="AH66" s="2"/>
      <c r="AI66" s="2"/>
      <c r="AJ66" s="2"/>
      <c r="AK66">
        <v>1</v>
      </c>
      <c r="AO66">
        <v>20</v>
      </c>
      <c r="AP66" s="21">
        <v>229.90248606119221</v>
      </c>
      <c r="AQ66" s="21">
        <v>8.6993404650164072E-2</v>
      </c>
      <c r="AR66" s="28">
        <v>1.882352941176471</v>
      </c>
      <c r="AS66" s="28">
        <v>2.3529411764705879</v>
      </c>
      <c r="AT66" s="28">
        <v>0.47058823529411759</v>
      </c>
      <c r="AU66" s="28">
        <v>0</v>
      </c>
      <c r="AV66" s="28">
        <v>0.4</v>
      </c>
      <c r="AW66" s="28">
        <v>0.5</v>
      </c>
      <c r="AX66" s="28">
        <v>9.9999999999999992E-2</v>
      </c>
      <c r="AY66" s="28">
        <v>0</v>
      </c>
      <c r="AZ66" s="25">
        <v>0.82</v>
      </c>
      <c r="BA66" s="25">
        <v>3.44</v>
      </c>
      <c r="BB66" s="25">
        <v>2.62</v>
      </c>
      <c r="BC66" s="25">
        <v>2.5211764705882351</v>
      </c>
      <c r="BD66">
        <v>2.521176470588236</v>
      </c>
      <c r="BE66">
        <v>5.6898745917647062</v>
      </c>
    </row>
    <row r="67" spans="1:57" x14ac:dyDescent="0.3">
      <c r="A67" s="2" t="s">
        <v>677</v>
      </c>
      <c r="B67" s="17" t="s">
        <v>893</v>
      </c>
      <c r="C67" s="13"/>
      <c r="D67" s="2"/>
      <c r="E67" s="2"/>
      <c r="F67" s="2">
        <v>2.67</v>
      </c>
      <c r="G67" s="2" t="s">
        <v>55</v>
      </c>
      <c r="H67" s="9">
        <v>-1</v>
      </c>
      <c r="I67">
        <v>-1</v>
      </c>
      <c r="K67" s="2"/>
      <c r="L67" s="2"/>
      <c r="M67" s="2"/>
      <c r="N67" s="23">
        <v>0</v>
      </c>
      <c r="O67" s="2">
        <v>3.8079999999999998</v>
      </c>
      <c r="P67" s="2">
        <v>3.8079999999999998</v>
      </c>
      <c r="Q67" s="2">
        <v>28.87</v>
      </c>
      <c r="R67" s="2" t="s">
        <v>440</v>
      </c>
      <c r="S67" s="2"/>
      <c r="T67" s="23">
        <v>0</v>
      </c>
      <c r="U67" s="23"/>
      <c r="V67" s="23"/>
      <c r="W67" s="2">
        <v>1</v>
      </c>
      <c r="X67" s="2"/>
      <c r="Y67" s="2" t="s">
        <v>464</v>
      </c>
      <c r="Z67" s="2"/>
      <c r="AA67" s="2"/>
      <c r="AB67" s="2"/>
      <c r="AC67" s="2"/>
      <c r="AD67" s="2">
        <v>1</v>
      </c>
      <c r="AE67" s="2"/>
      <c r="AF67" s="2">
        <v>1</v>
      </c>
      <c r="AG67" s="2">
        <v>1</v>
      </c>
      <c r="AH67" s="2"/>
      <c r="AI67" s="2"/>
      <c r="AJ67" s="2"/>
      <c r="AK67">
        <v>1</v>
      </c>
      <c r="AO67">
        <v>20</v>
      </c>
      <c r="AP67" s="21">
        <v>0</v>
      </c>
      <c r="AQ67" s="21"/>
      <c r="AR67" s="28">
        <v>1.933534743202417</v>
      </c>
      <c r="AS67" s="28">
        <v>2.4712990936555901</v>
      </c>
      <c r="AT67" s="28">
        <v>0.75528700906344426</v>
      </c>
      <c r="AU67" s="28">
        <v>0</v>
      </c>
      <c r="AV67" s="28">
        <v>0.37470725995316168</v>
      </c>
      <c r="AW67" s="28">
        <v>0.47892271662763469</v>
      </c>
      <c r="AX67" s="28">
        <v>0.1463700234192038</v>
      </c>
      <c r="AY67" s="28">
        <v>0</v>
      </c>
      <c r="AZ67" s="25">
        <v>0.82</v>
      </c>
      <c r="BA67" s="25">
        <v>3.44</v>
      </c>
      <c r="BB67" s="25">
        <v>2.62</v>
      </c>
      <c r="BC67" s="25">
        <v>2.673474320241692</v>
      </c>
      <c r="BD67">
        <v>2.673474320241692</v>
      </c>
      <c r="BE67">
        <v>6.086490604281928</v>
      </c>
    </row>
    <row r="68" spans="1:57" x14ac:dyDescent="0.3">
      <c r="A68" s="2" t="s">
        <v>44</v>
      </c>
      <c r="B68" s="17" t="s">
        <v>720</v>
      </c>
      <c r="C68" s="13"/>
      <c r="D68" s="2" t="s">
        <v>676</v>
      </c>
      <c r="E68" s="2" t="s">
        <v>1067</v>
      </c>
      <c r="F68" s="2">
        <v>3.59</v>
      </c>
      <c r="G68" s="2" t="s">
        <v>55</v>
      </c>
      <c r="H68" s="9" t="s">
        <v>549</v>
      </c>
      <c r="I68">
        <v>-1</v>
      </c>
      <c r="K68" s="2"/>
      <c r="L68" s="2"/>
      <c r="M68" s="2"/>
      <c r="N68" s="23">
        <v>1</v>
      </c>
      <c r="O68" s="2">
        <f xml:space="preserve"> 3.857</f>
        <v>3.8570000000000002</v>
      </c>
      <c r="P68" s="2">
        <f xml:space="preserve"> 3.857</f>
        <v>3.8570000000000002</v>
      </c>
      <c r="Q68" s="2">
        <v>14.692</v>
      </c>
      <c r="R68" s="2" t="s">
        <v>439</v>
      </c>
      <c r="S68" s="2"/>
      <c r="T68" s="23">
        <v>15.28115725</v>
      </c>
      <c r="U68" s="23">
        <v>15.28115725</v>
      </c>
      <c r="V68" s="23">
        <v>15.28115725</v>
      </c>
      <c r="W68" s="2">
        <v>1</v>
      </c>
      <c r="X68" s="2"/>
      <c r="Y68" s="2" t="s">
        <v>464</v>
      </c>
      <c r="Z68" s="2"/>
      <c r="AA68" s="2"/>
      <c r="AB68" s="2"/>
      <c r="AC68" s="2"/>
      <c r="AD68" s="2">
        <v>1</v>
      </c>
      <c r="AE68" s="2"/>
      <c r="AF68" s="2">
        <v>1</v>
      </c>
      <c r="AG68" s="2">
        <v>1</v>
      </c>
      <c r="AH68" s="2"/>
      <c r="AI68" s="2"/>
      <c r="AJ68" s="2">
        <v>1</v>
      </c>
      <c r="AK68">
        <v>1</v>
      </c>
      <c r="AN68">
        <v>1</v>
      </c>
      <c r="AO68">
        <v>20</v>
      </c>
      <c r="AP68" s="21">
        <v>229.90248606119221</v>
      </c>
      <c r="AQ68" s="21">
        <v>8.6993404650164072E-2</v>
      </c>
      <c r="AR68" s="28">
        <v>1.882352941176471</v>
      </c>
      <c r="AS68" s="28">
        <v>2.3529411764705879</v>
      </c>
      <c r="AT68" s="28">
        <v>0.47058823529411759</v>
      </c>
      <c r="AU68" s="28">
        <v>0</v>
      </c>
      <c r="AV68" s="28">
        <v>0.4</v>
      </c>
      <c r="AW68" s="28">
        <v>0.5</v>
      </c>
      <c r="AX68" s="28">
        <v>9.9999999999999992E-2</v>
      </c>
      <c r="AY68" s="28">
        <v>0</v>
      </c>
      <c r="AZ68" s="25">
        <v>0.82</v>
      </c>
      <c r="BA68" s="25">
        <v>3.44</v>
      </c>
      <c r="BB68" s="25">
        <v>2.62</v>
      </c>
      <c r="BC68" s="25">
        <v>2.5211764705882351</v>
      </c>
      <c r="BD68">
        <v>2.521176470588236</v>
      </c>
      <c r="BE68">
        <v>5.6898745917647062</v>
      </c>
    </row>
    <row r="69" spans="1:57" x14ac:dyDescent="0.3">
      <c r="A69" s="2" t="s">
        <v>107</v>
      </c>
      <c r="B69" s="13" t="s">
        <v>728</v>
      </c>
      <c r="C69" s="13"/>
      <c r="D69" s="2"/>
      <c r="E69" s="2"/>
      <c r="F69" s="2">
        <v>2.34</v>
      </c>
      <c r="G69" s="2" t="s">
        <v>447</v>
      </c>
      <c r="H69" s="9" t="s">
        <v>555</v>
      </c>
      <c r="I69" t="s">
        <v>632</v>
      </c>
      <c r="K69" s="2"/>
      <c r="L69" s="2"/>
      <c r="M69" s="2"/>
      <c r="N69" s="23">
        <v>0</v>
      </c>
      <c r="O69" s="2"/>
      <c r="P69" s="2"/>
      <c r="Q69" s="2"/>
      <c r="R69" s="2"/>
      <c r="S69" s="2"/>
      <c r="T69" s="23">
        <v>0</v>
      </c>
      <c r="U69" s="23"/>
      <c r="V69" s="23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O69">
        <v>20</v>
      </c>
      <c r="AP69" s="21">
        <v>0</v>
      </c>
      <c r="AQ69" s="21"/>
      <c r="AR69" s="28">
        <v>2</v>
      </c>
      <c r="AS69" s="28">
        <v>3.0666666666666669</v>
      </c>
      <c r="AT69" s="28">
        <v>1.7333333333333329</v>
      </c>
      <c r="AU69" s="28">
        <v>1.8666666666666669</v>
      </c>
      <c r="AV69" s="28">
        <v>0.23076923076923081</v>
      </c>
      <c r="AW69" s="28">
        <v>0.35384615384615392</v>
      </c>
      <c r="AX69" s="28">
        <v>0.2</v>
      </c>
      <c r="AY69" s="28">
        <v>0.2153846153846154</v>
      </c>
      <c r="AZ69" s="25">
        <v>1.54</v>
      </c>
      <c r="BA69" s="25">
        <v>3.44</v>
      </c>
      <c r="BB69" s="25">
        <v>1.9</v>
      </c>
      <c r="BC69" s="25">
        <v>2.8706666666666658</v>
      </c>
      <c r="BD69">
        <v>2.8706666666666671</v>
      </c>
      <c r="BE69">
        <v>6.2652784753333339</v>
      </c>
    </row>
    <row r="70" spans="1:57" x14ac:dyDescent="0.3">
      <c r="A70" s="2" t="s">
        <v>107</v>
      </c>
      <c r="B70" s="17" t="s">
        <v>728</v>
      </c>
      <c r="C70" s="13"/>
      <c r="D70" s="2" t="s">
        <v>678</v>
      </c>
      <c r="E70" s="2" t="s">
        <v>1067</v>
      </c>
      <c r="F70" s="2">
        <v>1.64</v>
      </c>
      <c r="G70" s="2" t="s">
        <v>447</v>
      </c>
      <c r="H70" s="9" t="s">
        <v>555</v>
      </c>
      <c r="I70" t="s">
        <v>632</v>
      </c>
      <c r="K70" s="2"/>
      <c r="L70" s="2"/>
      <c r="M70" s="2"/>
      <c r="N70" s="23">
        <v>0</v>
      </c>
      <c r="O70" s="2"/>
      <c r="P70" s="2"/>
      <c r="Q70" s="2"/>
      <c r="R70" s="2"/>
      <c r="S70" s="2"/>
      <c r="T70" s="23">
        <v>0</v>
      </c>
      <c r="U70" s="23"/>
      <c r="V70" s="23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O70">
        <v>20</v>
      </c>
      <c r="AP70" s="21">
        <v>0</v>
      </c>
      <c r="AQ70" s="21"/>
      <c r="AR70" s="28">
        <v>2</v>
      </c>
      <c r="AS70" s="28">
        <v>3.0666666666666669</v>
      </c>
      <c r="AT70" s="28">
        <v>1.7333333333333329</v>
      </c>
      <c r="AU70" s="28">
        <v>1.8666666666666669</v>
      </c>
      <c r="AV70" s="28">
        <v>0.23076923076923081</v>
      </c>
      <c r="AW70" s="28">
        <v>0.35384615384615392</v>
      </c>
      <c r="AX70" s="28">
        <v>0.2</v>
      </c>
      <c r="AY70" s="28">
        <v>0.2153846153846154</v>
      </c>
      <c r="AZ70" s="25">
        <v>1.54</v>
      </c>
      <c r="BA70" s="25">
        <v>3.44</v>
      </c>
      <c r="BB70" s="25">
        <v>1.9</v>
      </c>
      <c r="BC70" s="25">
        <v>2.8706666666666658</v>
      </c>
      <c r="BD70">
        <v>2.8706666666666671</v>
      </c>
      <c r="BE70">
        <v>6.2652784753333339</v>
      </c>
    </row>
    <row r="71" spans="1:57" x14ac:dyDescent="0.3">
      <c r="A71" s="2" t="s">
        <v>185</v>
      </c>
      <c r="B71" s="13" t="s">
        <v>729</v>
      </c>
      <c r="C71" s="13"/>
      <c r="D71" s="2"/>
      <c r="E71" s="2"/>
      <c r="F71" s="2">
        <v>4.5999999999999996</v>
      </c>
      <c r="G71" s="2" t="s">
        <v>57</v>
      </c>
      <c r="H71" s="9" t="s">
        <v>556</v>
      </c>
      <c r="I71" t="s">
        <v>633</v>
      </c>
      <c r="K71" s="2"/>
      <c r="L71" s="2"/>
      <c r="M71" s="2"/>
      <c r="N71" s="23">
        <v>2</v>
      </c>
      <c r="O71" s="2"/>
      <c r="P71" s="2"/>
      <c r="Q71" s="2"/>
      <c r="R71" s="2"/>
      <c r="S71" s="2"/>
      <c r="T71" s="23">
        <v>13.81974189</v>
      </c>
      <c r="U71" s="23">
        <v>13.81974189</v>
      </c>
      <c r="V71" s="23">
        <v>5.7110870199999999</v>
      </c>
      <c r="W71" s="2"/>
      <c r="X71" s="2"/>
      <c r="Y71" s="2"/>
      <c r="Z71" s="2">
        <v>0.9</v>
      </c>
      <c r="AA71" s="2">
        <v>1</v>
      </c>
      <c r="AB71" s="2"/>
      <c r="AC71" s="2"/>
      <c r="AD71" s="2"/>
      <c r="AE71" s="2"/>
      <c r="AF71" s="2"/>
      <c r="AG71" s="2">
        <v>1</v>
      </c>
      <c r="AH71" s="2">
        <v>1</v>
      </c>
      <c r="AI71" s="2"/>
      <c r="AJ71" s="2"/>
      <c r="AK71">
        <v>1</v>
      </c>
      <c r="AL71">
        <v>1</v>
      </c>
      <c r="AO71">
        <v>14</v>
      </c>
      <c r="AP71" s="21">
        <v>309.44138863753989</v>
      </c>
      <c r="AQ71" s="21">
        <v>9.0485633235046756E-2</v>
      </c>
      <c r="AR71" s="28">
        <v>2</v>
      </c>
      <c r="AS71" s="28">
        <v>2.545454545454545</v>
      </c>
      <c r="AT71" s="28">
        <v>0.54545454545454541</v>
      </c>
      <c r="AU71" s="28">
        <v>2.545454545454545</v>
      </c>
      <c r="AV71" s="28">
        <v>0.26190476190476192</v>
      </c>
      <c r="AW71" s="28">
        <v>0.33333333333333331</v>
      </c>
      <c r="AX71" s="28">
        <v>7.1428571428571425E-2</v>
      </c>
      <c r="AY71" s="28">
        <v>0.33333333333333331</v>
      </c>
      <c r="AZ71" s="25">
        <v>0.95</v>
      </c>
      <c r="BA71" s="25">
        <v>3.44</v>
      </c>
      <c r="BB71" s="25">
        <v>2.4900000000000002</v>
      </c>
      <c r="BC71" s="25">
        <v>2.6345454545454539</v>
      </c>
      <c r="BD71">
        <v>2.6345454545454552</v>
      </c>
      <c r="BE71">
        <v>6.036062318181818</v>
      </c>
    </row>
    <row r="72" spans="1:57" x14ac:dyDescent="0.3">
      <c r="A72" s="2" t="s">
        <v>49</v>
      </c>
      <c r="B72" s="13" t="s">
        <v>725</v>
      </c>
      <c r="C72" s="13"/>
      <c r="D72" s="2"/>
      <c r="E72" s="2"/>
      <c r="F72" s="2">
        <v>3.9</v>
      </c>
      <c r="G72" s="2" t="s">
        <v>57</v>
      </c>
      <c r="H72" s="9" t="s">
        <v>553</v>
      </c>
      <c r="I72" t="s">
        <v>631</v>
      </c>
      <c r="K72" s="2"/>
      <c r="L72" s="2"/>
      <c r="M72" s="2"/>
      <c r="N72" s="23">
        <v>8</v>
      </c>
      <c r="O72" s="2"/>
      <c r="P72" s="2"/>
      <c r="Q72" s="2"/>
      <c r="R72" s="2"/>
      <c r="S72" s="2"/>
      <c r="T72" s="23">
        <v>5.8017180100000001</v>
      </c>
      <c r="U72" s="23">
        <v>7.9756520899999996</v>
      </c>
      <c r="V72" s="23">
        <v>27.352093400000001</v>
      </c>
      <c r="W72" s="2"/>
      <c r="X72" s="2"/>
      <c r="Y72" s="2"/>
      <c r="Z72" s="2">
        <v>0.7</v>
      </c>
      <c r="AA72" s="2">
        <v>1</v>
      </c>
      <c r="AB72" s="2"/>
      <c r="AC72" s="2"/>
      <c r="AD72" s="2"/>
      <c r="AE72" s="2"/>
      <c r="AF72" s="2"/>
      <c r="AG72" s="2">
        <v>1</v>
      </c>
      <c r="AH72" s="2">
        <v>1</v>
      </c>
      <c r="AI72" s="2"/>
      <c r="AJ72" s="2"/>
      <c r="AK72">
        <v>1</v>
      </c>
      <c r="AL72">
        <v>1</v>
      </c>
      <c r="AO72">
        <v>14</v>
      </c>
      <c r="AP72" s="21">
        <v>1265.6493143942739</v>
      </c>
      <c r="AQ72" s="21">
        <v>8.8492127105210025E-2</v>
      </c>
      <c r="AR72" s="28">
        <v>1.8181818181818179</v>
      </c>
      <c r="AS72" s="28">
        <v>2.545454545454545</v>
      </c>
      <c r="AT72" s="28">
        <v>0.72727272727272729</v>
      </c>
      <c r="AU72" s="28">
        <v>0</v>
      </c>
      <c r="AV72" s="28">
        <v>0.35714285714285721</v>
      </c>
      <c r="AW72" s="28">
        <v>0.5</v>
      </c>
      <c r="AX72" s="28">
        <v>0.1428571428571429</v>
      </c>
      <c r="AY72" s="28">
        <v>0</v>
      </c>
      <c r="AZ72" s="25">
        <v>0.95</v>
      </c>
      <c r="BA72" s="25">
        <v>3.44</v>
      </c>
      <c r="BB72" s="25">
        <v>2.4900000000000002</v>
      </c>
      <c r="BC72" s="25">
        <v>2.6527272727272719</v>
      </c>
      <c r="BD72">
        <v>2.6527272727272728</v>
      </c>
      <c r="BE72">
        <v>6.0182046818181814</v>
      </c>
    </row>
    <row r="73" spans="1:57" x14ac:dyDescent="0.3">
      <c r="A73" s="2" t="s">
        <v>56</v>
      </c>
      <c r="B73" s="13" t="s">
        <v>730</v>
      </c>
      <c r="C73" s="13"/>
      <c r="D73" s="2"/>
      <c r="E73" s="2"/>
      <c r="F73" s="2">
        <v>3.6</v>
      </c>
      <c r="G73" s="2" t="s">
        <v>57</v>
      </c>
      <c r="H73" s="9" t="s">
        <v>557</v>
      </c>
      <c r="I73" t="s">
        <v>634</v>
      </c>
      <c r="K73" s="2"/>
      <c r="L73" s="2"/>
      <c r="M73" s="2"/>
      <c r="N73" s="23">
        <v>1</v>
      </c>
      <c r="O73" s="2"/>
      <c r="P73" s="2"/>
      <c r="Q73" s="2"/>
      <c r="R73" s="2"/>
      <c r="S73" s="2"/>
      <c r="T73" s="23">
        <v>2.92483936</v>
      </c>
      <c r="U73" s="23">
        <v>2.92483936</v>
      </c>
      <c r="V73" s="23">
        <v>3.4422619999999999</v>
      </c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O73">
        <v>2</v>
      </c>
      <c r="AP73" s="21">
        <v>25.502259160055111</v>
      </c>
      <c r="AQ73" s="21">
        <v>7.8424424575398208E-2</v>
      </c>
      <c r="AR73" s="28">
        <v>2</v>
      </c>
      <c r="AS73" s="28">
        <v>2</v>
      </c>
      <c r="AT73" s="28">
        <v>4</v>
      </c>
      <c r="AU73" s="28">
        <v>0</v>
      </c>
      <c r="AV73" s="28">
        <v>0.25</v>
      </c>
      <c r="AW73" s="28">
        <v>0.25</v>
      </c>
      <c r="AX73" s="28">
        <v>0.5</v>
      </c>
      <c r="AY73" s="28">
        <v>0</v>
      </c>
      <c r="AZ73" s="25">
        <v>1.91</v>
      </c>
      <c r="BA73" s="25">
        <v>3.44</v>
      </c>
      <c r="BB73" s="25">
        <v>1.53</v>
      </c>
      <c r="BC73" s="25">
        <v>2.6749999999999998</v>
      </c>
      <c r="BD73">
        <v>2.6749999999999998</v>
      </c>
      <c r="BE73">
        <v>5.9690498749999996</v>
      </c>
    </row>
    <row r="74" spans="1:57" x14ac:dyDescent="0.3">
      <c r="A74" s="2" t="s">
        <v>58</v>
      </c>
      <c r="B74" s="13" t="s">
        <v>731</v>
      </c>
      <c r="C74" s="13"/>
      <c r="D74" s="2"/>
      <c r="E74" s="2"/>
      <c r="F74" s="2">
        <v>4.2</v>
      </c>
      <c r="G74" s="2" t="s">
        <v>57</v>
      </c>
      <c r="H74" s="9">
        <v>-1</v>
      </c>
      <c r="I74">
        <v>-1</v>
      </c>
      <c r="K74" s="2"/>
      <c r="L74" s="2"/>
      <c r="M74" s="2"/>
      <c r="N74" s="23">
        <v>0</v>
      </c>
      <c r="O74" s="2">
        <v>44.2</v>
      </c>
      <c r="P74" s="2">
        <v>7.92</v>
      </c>
      <c r="Q74" s="2">
        <v>6.46</v>
      </c>
      <c r="R74" s="2"/>
      <c r="S74" s="2" t="s">
        <v>1142</v>
      </c>
      <c r="T74" s="23">
        <v>0</v>
      </c>
      <c r="U74" s="23"/>
      <c r="V74" s="23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>
        <v>1</v>
      </c>
      <c r="AH74" s="2"/>
      <c r="AI74" s="2"/>
      <c r="AJ74" s="2"/>
      <c r="AK74">
        <v>1</v>
      </c>
      <c r="AO74">
        <v>34</v>
      </c>
      <c r="AP74" s="21">
        <v>0</v>
      </c>
      <c r="AQ74" s="21"/>
      <c r="AR74" s="28">
        <v>1.8518518518518521</v>
      </c>
      <c r="AS74" s="28">
        <v>2.518518518518519</v>
      </c>
      <c r="AT74" s="28">
        <v>0.66666666666666663</v>
      </c>
      <c r="AU74" s="28">
        <v>3.1111111111111112</v>
      </c>
      <c r="AV74" s="28">
        <v>0.22727272727272729</v>
      </c>
      <c r="AW74" s="28">
        <v>0.30909090909090908</v>
      </c>
      <c r="AX74" s="28">
        <v>8.1818181818181804E-2</v>
      </c>
      <c r="AY74" s="28">
        <v>0.38181818181818178</v>
      </c>
      <c r="AZ74" s="25">
        <v>0.82</v>
      </c>
      <c r="BA74" s="25">
        <v>3.44</v>
      </c>
      <c r="BB74" s="25">
        <v>2.62</v>
      </c>
      <c r="BC74" s="25">
        <v>2.6207407407407399</v>
      </c>
      <c r="BD74">
        <v>2.6207407407407408</v>
      </c>
      <c r="BE74">
        <v>5.9672971914814816</v>
      </c>
    </row>
    <row r="75" spans="1:57" x14ac:dyDescent="0.3">
      <c r="A75" s="2" t="s">
        <v>59</v>
      </c>
      <c r="B75" s="13" t="s">
        <v>732</v>
      </c>
      <c r="C75" s="13"/>
      <c r="D75" s="2"/>
      <c r="E75" s="2"/>
      <c r="F75" s="2">
        <v>3.55</v>
      </c>
      <c r="G75" s="2" t="s">
        <v>57</v>
      </c>
      <c r="H75" s="9">
        <v>-1</v>
      </c>
      <c r="I75">
        <v>-1</v>
      </c>
      <c r="J75" t="s">
        <v>1153</v>
      </c>
      <c r="K75" s="2"/>
      <c r="L75" s="2"/>
      <c r="M75" s="2"/>
      <c r="N75" s="23">
        <v>0</v>
      </c>
      <c r="O75" s="2"/>
      <c r="P75" s="2"/>
      <c r="Q75" s="2"/>
      <c r="R75" s="2"/>
      <c r="S75" s="2"/>
      <c r="T75" s="23">
        <v>0</v>
      </c>
      <c r="U75" s="23"/>
      <c r="V75" s="23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>
        <v>1</v>
      </c>
      <c r="AH75" s="2"/>
      <c r="AI75" s="2"/>
      <c r="AJ75" s="2"/>
      <c r="AK75">
        <v>1</v>
      </c>
      <c r="AO75">
        <v>34</v>
      </c>
      <c r="AP75" s="21">
        <v>0</v>
      </c>
      <c r="AQ75" s="21"/>
      <c r="AR75" s="28">
        <v>1.62962962962963</v>
      </c>
      <c r="AS75" s="28">
        <v>2.518518518518519</v>
      </c>
      <c r="AT75" s="28">
        <v>0.88888888888888884</v>
      </c>
      <c r="AU75" s="28">
        <v>0</v>
      </c>
      <c r="AV75" s="28">
        <v>0.32352941176470579</v>
      </c>
      <c r="AW75" s="28">
        <v>0.5</v>
      </c>
      <c r="AX75" s="28">
        <v>0.1764705882352941</v>
      </c>
      <c r="AY75" s="28">
        <v>0</v>
      </c>
      <c r="AZ75" s="25">
        <v>0.82</v>
      </c>
      <c r="BA75" s="25">
        <v>3.44</v>
      </c>
      <c r="BB75" s="25">
        <v>2.62</v>
      </c>
      <c r="BC75" s="25">
        <v>2.642962962962963</v>
      </c>
      <c r="BD75">
        <v>2.642962962962963</v>
      </c>
      <c r="BE75">
        <v>5.9454711914814808</v>
      </c>
    </row>
    <row r="76" spans="1:57" x14ac:dyDescent="0.3">
      <c r="A76" s="2" t="s">
        <v>60</v>
      </c>
      <c r="B76" s="13" t="s">
        <v>733</v>
      </c>
      <c r="C76" s="13"/>
      <c r="D76" s="2"/>
      <c r="E76" s="2"/>
      <c r="F76" s="2">
        <v>2.54</v>
      </c>
      <c r="G76" s="2" t="s">
        <v>62</v>
      </c>
      <c r="H76" s="9" t="s">
        <v>558</v>
      </c>
      <c r="I76" t="s">
        <v>635</v>
      </c>
      <c r="K76" s="2"/>
      <c r="L76" s="2"/>
      <c r="M76" s="2"/>
      <c r="N76" s="23">
        <v>1</v>
      </c>
      <c r="O76" s="2">
        <v>3.8860999999999999</v>
      </c>
      <c r="P76" s="2">
        <v>3.8860999999999999</v>
      </c>
      <c r="Q76" s="2">
        <v>12.5922</v>
      </c>
      <c r="R76" s="2" t="s">
        <v>440</v>
      </c>
      <c r="S76" s="2"/>
      <c r="T76" s="23">
        <v>3.8962357000000001</v>
      </c>
      <c r="U76" s="23">
        <v>3.8962353200000002</v>
      </c>
      <c r="V76" s="23">
        <v>6.87349342</v>
      </c>
      <c r="W76" s="2">
        <v>1</v>
      </c>
      <c r="X76" s="2">
        <v>1</v>
      </c>
      <c r="Y76" s="2"/>
      <c r="Z76" s="2">
        <v>0.4</v>
      </c>
      <c r="AA76" s="2">
        <v>1</v>
      </c>
      <c r="AB76" s="2"/>
      <c r="AC76" s="2"/>
      <c r="AD76" s="2">
        <v>1</v>
      </c>
      <c r="AE76" s="2">
        <v>1</v>
      </c>
      <c r="AF76" s="2"/>
      <c r="AG76" s="2">
        <v>1</v>
      </c>
      <c r="AH76" s="2"/>
      <c r="AI76" s="2"/>
      <c r="AJ76" s="2">
        <v>1</v>
      </c>
      <c r="AK76">
        <v>1</v>
      </c>
      <c r="AN76">
        <v>1</v>
      </c>
      <c r="AO76">
        <v>8</v>
      </c>
      <c r="AP76" s="21">
        <v>95.595427689592043</v>
      </c>
      <c r="AQ76" s="21">
        <v>8.3686010862117841E-2</v>
      </c>
      <c r="AR76" s="28">
        <v>2</v>
      </c>
      <c r="AS76" s="28">
        <v>2.285714285714286</v>
      </c>
      <c r="AT76" s="28">
        <v>0.2857142857142857</v>
      </c>
      <c r="AU76" s="28">
        <v>0</v>
      </c>
      <c r="AV76" s="28">
        <v>0.4375</v>
      </c>
      <c r="AW76" s="28">
        <v>0.5</v>
      </c>
      <c r="AX76" s="28">
        <v>6.25E-2</v>
      </c>
      <c r="AY76" s="28">
        <v>0</v>
      </c>
      <c r="AZ76" s="25">
        <v>0.95</v>
      </c>
      <c r="BA76" s="25">
        <v>3.44</v>
      </c>
      <c r="BB76" s="25">
        <v>2.4900000000000002</v>
      </c>
      <c r="BC76" s="25">
        <v>2.4571428571428569</v>
      </c>
      <c r="BD76">
        <v>2.4571428571428569</v>
      </c>
      <c r="BE76">
        <v>5.6224409357142857</v>
      </c>
    </row>
    <row r="77" spans="1:57" x14ac:dyDescent="0.3">
      <c r="A77" s="2" t="s">
        <v>61</v>
      </c>
      <c r="B77" s="17" t="s">
        <v>894</v>
      </c>
      <c r="C77" s="13"/>
      <c r="D77" s="2"/>
      <c r="E77" s="2"/>
      <c r="F77" s="2">
        <v>2.3199999999999998</v>
      </c>
      <c r="G77" s="2" t="s">
        <v>62</v>
      </c>
      <c r="H77" s="32" t="s">
        <v>558</v>
      </c>
      <c r="I77" s="1" t="s">
        <v>635</v>
      </c>
      <c r="K77" s="2"/>
      <c r="L77" s="2"/>
      <c r="M77" s="2"/>
      <c r="N77" s="23">
        <v>0</v>
      </c>
      <c r="O77" s="2">
        <v>3.8915000000000002</v>
      </c>
      <c r="P77" s="2">
        <v>3.8915000000000002</v>
      </c>
      <c r="Q77" s="2">
        <v>12.589499999999999</v>
      </c>
      <c r="R77" s="2" t="s">
        <v>440</v>
      </c>
      <c r="S77" s="2"/>
      <c r="T77" s="23">
        <v>0</v>
      </c>
      <c r="U77" s="23"/>
      <c r="V77" s="23"/>
      <c r="W77" s="2">
        <v>1</v>
      </c>
      <c r="X77" s="2">
        <v>1</v>
      </c>
      <c r="Y77" s="2"/>
      <c r="Z77" s="2">
        <v>1.3</v>
      </c>
      <c r="AA77" s="2">
        <v>1</v>
      </c>
      <c r="AB77" s="2"/>
      <c r="AC77" s="2"/>
      <c r="AD77" s="2">
        <v>1</v>
      </c>
      <c r="AE77" s="2">
        <v>1</v>
      </c>
      <c r="AF77" s="2"/>
      <c r="AG77" s="2">
        <v>1</v>
      </c>
      <c r="AH77" s="2"/>
      <c r="AI77" s="2"/>
      <c r="AJ77" s="2">
        <v>1</v>
      </c>
      <c r="AK77">
        <v>1</v>
      </c>
      <c r="AN77">
        <v>1</v>
      </c>
      <c r="AO77">
        <v>8</v>
      </c>
      <c r="AP77" s="21">
        <v>0</v>
      </c>
      <c r="AQ77" s="21"/>
      <c r="AR77" s="28">
        <v>2</v>
      </c>
      <c r="AS77" s="28">
        <v>2.285714285714286</v>
      </c>
      <c r="AT77" s="28">
        <v>0.3</v>
      </c>
      <c r="AU77" s="28">
        <v>0</v>
      </c>
      <c r="AV77" s="28">
        <v>0.43613707165109028</v>
      </c>
      <c r="AW77" s="28">
        <v>0.49844236760124599</v>
      </c>
      <c r="AX77" s="28">
        <v>6.5420560747663545E-2</v>
      </c>
      <c r="AY77" s="28">
        <v>0</v>
      </c>
      <c r="AZ77" s="25">
        <v>0.95</v>
      </c>
      <c r="BA77" s="25">
        <v>3.44</v>
      </c>
      <c r="BB77" s="25">
        <v>2.4900000000000002</v>
      </c>
      <c r="BC77" s="25">
        <v>2.4592857142857141</v>
      </c>
      <c r="BD77">
        <v>2.459285714285715</v>
      </c>
      <c r="BE77">
        <v>5.625208883928571</v>
      </c>
    </row>
    <row r="78" spans="1:57" x14ac:dyDescent="0.3">
      <c r="A78" s="2" t="s">
        <v>883</v>
      </c>
      <c r="B78" s="17" t="s">
        <v>895</v>
      </c>
      <c r="C78" s="13"/>
      <c r="D78" s="2"/>
      <c r="E78" s="2"/>
      <c r="F78" s="2">
        <v>2.2200000000000002</v>
      </c>
      <c r="G78" s="2" t="s">
        <v>62</v>
      </c>
      <c r="H78" s="32" t="s">
        <v>558</v>
      </c>
      <c r="I78" s="1" t="s">
        <v>635</v>
      </c>
      <c r="K78" s="2"/>
      <c r="L78" s="2"/>
      <c r="M78" s="2"/>
      <c r="N78" s="23">
        <v>0</v>
      </c>
      <c r="O78" s="2">
        <v>3.8965000000000001</v>
      </c>
      <c r="P78" s="2">
        <v>3.8965000000000001</v>
      </c>
      <c r="Q78" s="2">
        <v>12.6137</v>
      </c>
      <c r="R78" s="2" t="s">
        <v>440</v>
      </c>
      <c r="S78" s="2"/>
      <c r="T78" s="23">
        <v>0</v>
      </c>
      <c r="U78" s="23"/>
      <c r="V78" s="23"/>
      <c r="W78" s="2">
        <v>1</v>
      </c>
      <c r="X78" s="2">
        <v>1</v>
      </c>
      <c r="Y78" s="2"/>
      <c r="Z78" s="2">
        <v>3.2</v>
      </c>
      <c r="AA78" s="2">
        <v>1</v>
      </c>
      <c r="AB78" s="2"/>
      <c r="AC78" s="2"/>
      <c r="AD78" s="2">
        <v>1</v>
      </c>
      <c r="AE78" s="2">
        <v>1</v>
      </c>
      <c r="AF78" s="2"/>
      <c r="AG78" s="2">
        <v>1</v>
      </c>
      <c r="AH78" s="2"/>
      <c r="AI78" s="2"/>
      <c r="AJ78" s="2">
        <v>1</v>
      </c>
      <c r="AK78">
        <v>1</v>
      </c>
      <c r="AN78">
        <v>1</v>
      </c>
      <c r="AO78">
        <v>8</v>
      </c>
      <c r="AP78" s="21">
        <v>0</v>
      </c>
      <c r="AQ78" s="21"/>
      <c r="AR78" s="28">
        <v>2</v>
      </c>
      <c r="AS78" s="28">
        <v>2.285714285714286</v>
      </c>
      <c r="AT78" s="28">
        <v>0.31428571428571428</v>
      </c>
      <c r="AU78" s="28">
        <v>0</v>
      </c>
      <c r="AV78" s="28">
        <v>0.43478260869565211</v>
      </c>
      <c r="AW78" s="28">
        <v>0.49689440993788808</v>
      </c>
      <c r="AX78" s="28">
        <v>6.8322981366459631E-2</v>
      </c>
      <c r="AY78" s="28">
        <v>0</v>
      </c>
      <c r="AZ78" s="25">
        <v>0.95</v>
      </c>
      <c r="BA78" s="25">
        <v>3.44</v>
      </c>
      <c r="BB78" s="25">
        <v>2.4900000000000002</v>
      </c>
      <c r="BC78" s="25">
        <v>2.4614285714285709</v>
      </c>
      <c r="BD78">
        <v>2.4614285714285709</v>
      </c>
      <c r="BE78">
        <v>5.627976832142858</v>
      </c>
    </row>
    <row r="79" spans="1:57" x14ac:dyDescent="0.3">
      <c r="A79" s="2" t="s">
        <v>884</v>
      </c>
      <c r="B79" s="17" t="s">
        <v>896</v>
      </c>
      <c r="C79" s="13"/>
      <c r="D79" s="2"/>
      <c r="E79" s="2"/>
      <c r="F79" s="2">
        <v>2.16</v>
      </c>
      <c r="G79" s="2" t="s">
        <v>62</v>
      </c>
      <c r="H79" s="32" t="s">
        <v>558</v>
      </c>
      <c r="I79" s="1" t="s">
        <v>635</v>
      </c>
      <c r="K79" s="2"/>
      <c r="L79" s="2"/>
      <c r="M79" s="2"/>
      <c r="N79" s="23">
        <v>0</v>
      </c>
      <c r="O79" s="2">
        <v>3.9016999999999999</v>
      </c>
      <c r="P79" s="2">
        <v>3.9016999999999999</v>
      </c>
      <c r="Q79" s="2">
        <v>12.593500000000001</v>
      </c>
      <c r="R79" s="2" t="s">
        <v>440</v>
      </c>
      <c r="S79" s="2"/>
      <c r="T79" s="23">
        <v>0</v>
      </c>
      <c r="U79" s="23"/>
      <c r="V79" s="23"/>
      <c r="W79" s="2">
        <v>1</v>
      </c>
      <c r="X79" s="2">
        <v>1</v>
      </c>
      <c r="Y79" s="2"/>
      <c r="Z79" s="2">
        <v>3.4</v>
      </c>
      <c r="AA79" s="2">
        <v>1</v>
      </c>
      <c r="AB79" s="2"/>
      <c r="AC79" s="2"/>
      <c r="AD79" s="2">
        <v>1</v>
      </c>
      <c r="AE79" s="2">
        <v>1</v>
      </c>
      <c r="AF79" s="2"/>
      <c r="AG79" s="2">
        <v>1</v>
      </c>
      <c r="AH79" s="2"/>
      <c r="AI79" s="2"/>
      <c r="AJ79" s="2">
        <v>1</v>
      </c>
      <c r="AK79">
        <v>1</v>
      </c>
      <c r="AN79">
        <v>1</v>
      </c>
      <c r="AO79">
        <v>8</v>
      </c>
      <c r="AP79" s="21">
        <v>0</v>
      </c>
      <c r="AQ79" s="21"/>
      <c r="AR79" s="28">
        <v>2</v>
      </c>
      <c r="AS79" s="28">
        <v>2.285714285714286</v>
      </c>
      <c r="AT79" s="28">
        <v>0.32857142857142863</v>
      </c>
      <c r="AU79" s="28">
        <v>0</v>
      </c>
      <c r="AV79" s="28">
        <v>0.43343653250774</v>
      </c>
      <c r="AW79" s="28">
        <v>0.49535603715170279</v>
      </c>
      <c r="AX79" s="28">
        <v>7.1207430340557279E-2</v>
      </c>
      <c r="AY79" s="28">
        <v>0</v>
      </c>
      <c r="AZ79" s="25">
        <v>0.95</v>
      </c>
      <c r="BA79" s="25">
        <v>3.44</v>
      </c>
      <c r="BB79" s="25">
        <v>2.4900000000000002</v>
      </c>
      <c r="BC79" s="25">
        <v>2.463571428571429</v>
      </c>
      <c r="BD79">
        <v>2.463571428571429</v>
      </c>
      <c r="BE79">
        <v>5.6307447803571433</v>
      </c>
    </row>
    <row r="80" spans="1:57" x14ac:dyDescent="0.3">
      <c r="A80" s="2" t="s">
        <v>885</v>
      </c>
      <c r="B80" s="17" t="s">
        <v>897</v>
      </c>
      <c r="C80" s="13"/>
      <c r="D80" s="2"/>
      <c r="E80" s="2"/>
      <c r="F80" s="2">
        <v>2.1</v>
      </c>
      <c r="G80" s="2" t="s">
        <v>62</v>
      </c>
      <c r="H80" s="32" t="s">
        <v>558</v>
      </c>
      <c r="I80" s="1" t="s">
        <v>635</v>
      </c>
      <c r="K80" s="2"/>
      <c r="L80" s="2"/>
      <c r="M80" s="2"/>
      <c r="N80" s="23">
        <v>0</v>
      </c>
      <c r="O80" s="2">
        <v>3.9022000000000001</v>
      </c>
      <c r="P80" s="2">
        <v>3.9022000000000001</v>
      </c>
      <c r="Q80" s="2">
        <v>12.6189</v>
      </c>
      <c r="R80" s="2" t="s">
        <v>440</v>
      </c>
      <c r="S80" s="2"/>
      <c r="T80" s="23">
        <v>0</v>
      </c>
      <c r="U80" s="23"/>
      <c r="V80" s="23"/>
      <c r="W80" s="2">
        <v>1</v>
      </c>
      <c r="X80" s="2">
        <v>1</v>
      </c>
      <c r="Y80" s="2"/>
      <c r="Z80" s="2">
        <v>3.8</v>
      </c>
      <c r="AA80" s="2">
        <v>1</v>
      </c>
      <c r="AB80" s="2"/>
      <c r="AC80" s="2"/>
      <c r="AD80" s="2">
        <v>1</v>
      </c>
      <c r="AE80" s="2">
        <v>1</v>
      </c>
      <c r="AF80" s="2"/>
      <c r="AG80" s="2">
        <v>1</v>
      </c>
      <c r="AH80" s="2"/>
      <c r="AI80" s="2"/>
      <c r="AJ80" s="2">
        <v>1</v>
      </c>
      <c r="AK80">
        <v>1</v>
      </c>
      <c r="AN80">
        <v>1</v>
      </c>
      <c r="AO80">
        <v>8</v>
      </c>
      <c r="AP80" s="21">
        <v>0</v>
      </c>
      <c r="AQ80" s="21"/>
      <c r="AR80" s="28">
        <v>2</v>
      </c>
      <c r="AS80" s="28">
        <v>2.285714285714286</v>
      </c>
      <c r="AT80" s="28">
        <v>0.34285714285714292</v>
      </c>
      <c r="AU80" s="28">
        <v>0</v>
      </c>
      <c r="AV80" s="28">
        <v>0.4320987654320988</v>
      </c>
      <c r="AW80" s="28">
        <v>0.49382716049382719</v>
      </c>
      <c r="AX80" s="28">
        <v>7.4074074074074084E-2</v>
      </c>
      <c r="AY80" s="28">
        <v>0</v>
      </c>
      <c r="AZ80" s="25">
        <v>0.95</v>
      </c>
      <c r="BA80" s="25">
        <v>3.44</v>
      </c>
      <c r="BB80" s="25">
        <v>2.4900000000000002</v>
      </c>
      <c r="BC80" s="25">
        <v>2.4657142857142849</v>
      </c>
      <c r="BD80">
        <v>2.4657142857142862</v>
      </c>
      <c r="BE80">
        <v>5.6335127285714286</v>
      </c>
    </row>
    <row r="81" spans="1:57" x14ac:dyDescent="0.3">
      <c r="A81" s="2" t="s">
        <v>886</v>
      </c>
      <c r="B81" s="17" t="s">
        <v>898</v>
      </c>
      <c r="C81" s="13"/>
      <c r="D81" s="2"/>
      <c r="E81" s="2"/>
      <c r="F81" s="2">
        <v>2.08</v>
      </c>
      <c r="G81" s="2" t="s">
        <v>62</v>
      </c>
      <c r="H81" s="32" t="s">
        <v>558</v>
      </c>
      <c r="I81" s="1" t="s">
        <v>635</v>
      </c>
      <c r="K81" s="2"/>
      <c r="L81" s="2"/>
      <c r="M81" s="2"/>
      <c r="N81" s="23">
        <v>0</v>
      </c>
      <c r="O81" s="2">
        <v>3.9043999999999999</v>
      </c>
      <c r="P81" s="2">
        <v>3.9043999999999999</v>
      </c>
      <c r="Q81" s="2">
        <v>12.6092</v>
      </c>
      <c r="R81" s="2" t="s">
        <v>440</v>
      </c>
      <c r="S81" s="2"/>
      <c r="T81" s="23">
        <v>0</v>
      </c>
      <c r="U81" s="23"/>
      <c r="V81" s="23"/>
      <c r="W81" s="2">
        <v>1</v>
      </c>
      <c r="X81" s="2">
        <v>1</v>
      </c>
      <c r="Y81" s="2"/>
      <c r="Z81" s="2">
        <v>4.2</v>
      </c>
      <c r="AA81" s="2">
        <v>1</v>
      </c>
      <c r="AB81" s="2"/>
      <c r="AC81" s="2"/>
      <c r="AD81" s="2">
        <v>1</v>
      </c>
      <c r="AE81" s="2">
        <v>1</v>
      </c>
      <c r="AF81" s="2"/>
      <c r="AG81" s="2">
        <v>1</v>
      </c>
      <c r="AH81" s="2"/>
      <c r="AI81" s="2"/>
      <c r="AJ81" s="2">
        <v>1</v>
      </c>
      <c r="AK81">
        <v>1</v>
      </c>
      <c r="AN81">
        <v>1</v>
      </c>
      <c r="AO81">
        <v>8</v>
      </c>
      <c r="AP81" s="21">
        <v>0</v>
      </c>
      <c r="AQ81" s="21"/>
      <c r="AR81" s="28">
        <v>2</v>
      </c>
      <c r="AS81" s="28">
        <v>2.285714285714286</v>
      </c>
      <c r="AT81" s="28">
        <v>0.35714285714285721</v>
      </c>
      <c r="AU81" s="28">
        <v>0</v>
      </c>
      <c r="AV81" s="28">
        <v>0.43076923076923068</v>
      </c>
      <c r="AW81" s="28">
        <v>0.49230769230769222</v>
      </c>
      <c r="AX81" s="28">
        <v>7.6923076923076913E-2</v>
      </c>
      <c r="AY81" s="28">
        <v>0</v>
      </c>
      <c r="AZ81" s="25">
        <v>0.95</v>
      </c>
      <c r="BA81" s="25">
        <v>3.44</v>
      </c>
      <c r="BB81" s="25">
        <v>2.4900000000000002</v>
      </c>
      <c r="BC81" s="25">
        <v>2.467857142857143</v>
      </c>
      <c r="BD81">
        <v>2.467857142857143</v>
      </c>
      <c r="BE81">
        <v>5.6362806767857148</v>
      </c>
    </row>
    <row r="82" spans="1:57" x14ac:dyDescent="0.3">
      <c r="A82" s="2" t="s">
        <v>215</v>
      </c>
      <c r="B82" s="17" t="s">
        <v>734</v>
      </c>
      <c r="C82" s="13"/>
      <c r="D82" s="2"/>
      <c r="E82" s="2"/>
      <c r="F82" s="2">
        <v>4.0999999999999996</v>
      </c>
      <c r="G82" s="2" t="s">
        <v>64</v>
      </c>
      <c r="H82" s="9" t="s">
        <v>587</v>
      </c>
      <c r="I82" t="s">
        <v>636</v>
      </c>
      <c r="K82" s="2"/>
      <c r="L82" s="2"/>
      <c r="M82" s="2"/>
      <c r="N82" s="23">
        <v>1</v>
      </c>
      <c r="O82" s="2">
        <v>3.87</v>
      </c>
      <c r="P82" s="2">
        <v>3.87</v>
      </c>
      <c r="Q82" s="2">
        <v>15.1</v>
      </c>
      <c r="R82" s="2" t="s">
        <v>439</v>
      </c>
      <c r="S82" s="2"/>
      <c r="T82" s="23">
        <v>3.950634</v>
      </c>
      <c r="U82" s="23">
        <v>3.950634</v>
      </c>
      <c r="V82" s="23">
        <v>15.513552000000001</v>
      </c>
      <c r="W82" s="2">
        <v>1</v>
      </c>
      <c r="X82" s="2">
        <v>1</v>
      </c>
      <c r="Y82" s="2"/>
      <c r="Z82" s="2"/>
      <c r="AA82" s="2">
        <v>1</v>
      </c>
      <c r="AB82" s="2"/>
      <c r="AC82" s="2"/>
      <c r="AD82" s="2"/>
      <c r="AE82" s="2"/>
      <c r="AF82" s="2">
        <v>1</v>
      </c>
      <c r="AG82" s="2"/>
      <c r="AH82" s="2"/>
      <c r="AI82" s="2"/>
      <c r="AJ82" s="2"/>
      <c r="AO82">
        <v>20</v>
      </c>
      <c r="AP82" s="21">
        <v>242.1279024923125</v>
      </c>
      <c r="AQ82" s="21">
        <v>8.2600971611006269E-2</v>
      </c>
      <c r="AR82" s="28">
        <v>1.9375</v>
      </c>
      <c r="AS82" s="28">
        <v>2.5</v>
      </c>
      <c r="AT82" s="28">
        <v>0.5625</v>
      </c>
      <c r="AU82" s="28">
        <v>2.625</v>
      </c>
      <c r="AV82" s="28">
        <v>0.25409836065573771</v>
      </c>
      <c r="AW82" s="28">
        <v>0.32786885245901642</v>
      </c>
      <c r="AX82" s="28">
        <v>7.3770491803278687E-2</v>
      </c>
      <c r="AY82" s="28">
        <v>0.34426229508196721</v>
      </c>
      <c r="AZ82" s="25">
        <v>0.79</v>
      </c>
      <c r="BA82" s="25">
        <v>3.44</v>
      </c>
      <c r="BB82" s="25">
        <v>2.65</v>
      </c>
      <c r="BC82" s="25">
        <v>2.6056249999999999</v>
      </c>
      <c r="BD82">
        <v>2.6056249999999999</v>
      </c>
      <c r="BE82">
        <v>5.9703320286696879</v>
      </c>
    </row>
    <row r="83" spans="1:57" x14ac:dyDescent="0.3">
      <c r="A83" s="2" t="s">
        <v>679</v>
      </c>
      <c r="B83" s="17" t="s">
        <v>899</v>
      </c>
      <c r="C83" s="2" t="s">
        <v>681</v>
      </c>
      <c r="D83" s="2"/>
      <c r="E83" s="2"/>
      <c r="F83" s="2">
        <v>4.3</v>
      </c>
      <c r="G83" s="2" t="s">
        <v>64</v>
      </c>
      <c r="H83" s="12" t="s">
        <v>683</v>
      </c>
      <c r="I83">
        <v>7221084</v>
      </c>
      <c r="K83" s="2"/>
      <c r="L83" s="2"/>
      <c r="M83" s="2"/>
      <c r="N83" s="23">
        <v>0</v>
      </c>
      <c r="O83" s="1">
        <v>3.87</v>
      </c>
      <c r="P83" s="1">
        <v>3.87</v>
      </c>
      <c r="Q83" s="2">
        <v>17.2</v>
      </c>
      <c r="R83" s="2" t="s">
        <v>439</v>
      </c>
      <c r="S83" s="2"/>
      <c r="T83" s="23">
        <v>0</v>
      </c>
      <c r="U83" s="23"/>
      <c r="V83" s="23"/>
      <c r="W83" s="2">
        <v>1</v>
      </c>
      <c r="X83" s="2">
        <v>1</v>
      </c>
      <c r="Y83" s="2"/>
      <c r="Z83" s="2"/>
      <c r="AA83" s="2">
        <v>1</v>
      </c>
      <c r="AB83" s="2"/>
      <c r="AC83" s="2"/>
      <c r="AD83" s="2"/>
      <c r="AE83" s="2"/>
      <c r="AF83" s="2">
        <v>1</v>
      </c>
      <c r="AG83" s="2"/>
      <c r="AH83" s="2"/>
      <c r="AI83" s="2"/>
      <c r="AJ83" s="2"/>
      <c r="AO83">
        <v>20</v>
      </c>
      <c r="AP83" s="21">
        <v>0</v>
      </c>
      <c r="AQ83" s="21"/>
      <c r="AR83" s="28">
        <v>1.940917661847894</v>
      </c>
      <c r="AS83" s="28">
        <v>2.5141420490257702</v>
      </c>
      <c r="AT83" s="28">
        <v>0.56568196103079826</v>
      </c>
      <c r="AU83" s="28">
        <v>2.6398491514770579</v>
      </c>
      <c r="AV83" s="28">
        <v>0.2533639645553003</v>
      </c>
      <c r="AW83" s="28">
        <v>0.32819166393173621</v>
      </c>
      <c r="AX83" s="28">
        <v>7.3843124384640635E-2</v>
      </c>
      <c r="AY83" s="28">
        <v>0.34460124712832302</v>
      </c>
      <c r="AZ83" s="25">
        <v>0.79</v>
      </c>
      <c r="BA83" s="25">
        <v>3.44</v>
      </c>
      <c r="BB83" s="25">
        <v>2.65</v>
      </c>
      <c r="BC83" s="25">
        <v>2.62350722815839</v>
      </c>
      <c r="BD83">
        <v>2.6235072281583909</v>
      </c>
      <c r="BE83">
        <v>6.0278785903935539</v>
      </c>
    </row>
    <row r="84" spans="1:57" x14ac:dyDescent="0.3">
      <c r="A84" s="2" t="s">
        <v>680</v>
      </c>
      <c r="B84" s="17" t="s">
        <v>900</v>
      </c>
      <c r="C84" s="2" t="s">
        <v>682</v>
      </c>
      <c r="D84" s="2"/>
      <c r="E84" s="2"/>
      <c r="F84" s="2">
        <v>4.2</v>
      </c>
      <c r="G84" s="2" t="s">
        <v>64</v>
      </c>
      <c r="H84" s="9">
        <v>-1</v>
      </c>
      <c r="I84">
        <v>-1</v>
      </c>
      <c r="K84" s="2"/>
      <c r="L84" s="2"/>
      <c r="M84" s="2"/>
      <c r="N84" s="23">
        <v>0</v>
      </c>
      <c r="O84" s="1">
        <v>3.87</v>
      </c>
      <c r="P84" s="1">
        <v>3.87</v>
      </c>
      <c r="Q84" s="2">
        <v>14.4</v>
      </c>
      <c r="R84" s="2" t="s">
        <v>439</v>
      </c>
      <c r="S84" s="2"/>
      <c r="T84" s="23">
        <v>0</v>
      </c>
      <c r="U84" s="23"/>
      <c r="V84" s="23"/>
      <c r="W84" s="2">
        <v>1</v>
      </c>
      <c r="X84" s="2">
        <v>1</v>
      </c>
      <c r="Y84" s="2"/>
      <c r="Z84" s="2"/>
      <c r="AA84" s="2">
        <v>1</v>
      </c>
      <c r="AB84" s="2"/>
      <c r="AC84" s="2"/>
      <c r="AD84" s="2"/>
      <c r="AE84" s="2"/>
      <c r="AF84" s="2"/>
      <c r="AG84" s="2"/>
      <c r="AH84" s="2"/>
      <c r="AI84" s="2"/>
      <c r="AJ84" s="2"/>
      <c r="AO84">
        <v>20</v>
      </c>
      <c r="AP84" s="21">
        <v>0</v>
      </c>
      <c r="AQ84" s="21"/>
      <c r="AR84" s="28">
        <v>1.937926753569212</v>
      </c>
      <c r="AS84" s="28">
        <v>2.4829298572315328</v>
      </c>
      <c r="AT84" s="28">
        <v>0.55865921787709494</v>
      </c>
      <c r="AU84" s="28">
        <v>2.6070763500931098</v>
      </c>
      <c r="AV84" s="28">
        <v>0.25544100801832759</v>
      </c>
      <c r="AW84" s="28">
        <v>0.32727867779414171</v>
      </c>
      <c r="AX84" s="28">
        <v>7.3637702503681887E-2</v>
      </c>
      <c r="AY84" s="28">
        <v>0.3436426116838488</v>
      </c>
      <c r="AZ84" s="25">
        <v>0.79</v>
      </c>
      <c r="BA84" s="25">
        <v>3.44</v>
      </c>
      <c r="BB84" s="25">
        <v>2.65</v>
      </c>
      <c r="BC84" s="25">
        <v>2.671675977653631</v>
      </c>
      <c r="BD84">
        <v>2.671675977653631</v>
      </c>
      <c r="BE84">
        <v>6.2243029613210306</v>
      </c>
    </row>
    <row r="85" spans="1:57" x14ac:dyDescent="0.3">
      <c r="A85" s="2" t="s">
        <v>855</v>
      </c>
      <c r="B85" s="17" t="s">
        <v>901</v>
      </c>
      <c r="C85" s="2" t="s">
        <v>854</v>
      </c>
      <c r="D85" s="2"/>
      <c r="E85" s="2"/>
      <c r="F85" s="2">
        <v>4</v>
      </c>
      <c r="G85" s="2" t="s">
        <v>64</v>
      </c>
      <c r="H85" s="9">
        <v>-1</v>
      </c>
      <c r="I85">
        <v>-1</v>
      </c>
      <c r="K85" s="2"/>
      <c r="L85" s="2"/>
      <c r="M85" s="2"/>
      <c r="N85" s="23">
        <v>0</v>
      </c>
      <c r="O85" s="1">
        <v>3.87</v>
      </c>
      <c r="P85" s="1">
        <v>3.87</v>
      </c>
      <c r="Q85" s="2">
        <v>28.5</v>
      </c>
      <c r="R85" s="2" t="s">
        <v>439</v>
      </c>
      <c r="S85" s="2"/>
      <c r="T85" s="23">
        <v>0</v>
      </c>
      <c r="U85" s="23"/>
      <c r="V85" s="23"/>
      <c r="W85" s="2">
        <v>1</v>
      </c>
      <c r="X85" s="2">
        <v>1</v>
      </c>
      <c r="Y85" s="2"/>
      <c r="Z85" s="2"/>
      <c r="AA85" s="2">
        <v>1</v>
      </c>
      <c r="AB85" s="2"/>
      <c r="AC85" s="2"/>
      <c r="AD85" s="2"/>
      <c r="AE85" s="2"/>
      <c r="AF85" s="2"/>
      <c r="AG85" s="2"/>
      <c r="AH85" s="2"/>
      <c r="AI85" s="2"/>
      <c r="AJ85" s="2"/>
      <c r="AO85">
        <v>20</v>
      </c>
      <c r="AP85" s="21">
        <v>0</v>
      </c>
      <c r="AQ85" s="21"/>
      <c r="AR85" s="28">
        <v>1.9375</v>
      </c>
      <c r="AS85" s="28">
        <v>2.5</v>
      </c>
      <c r="AT85" s="28">
        <v>0.5625</v>
      </c>
      <c r="AU85" s="28">
        <v>2.625</v>
      </c>
      <c r="AV85" s="28">
        <v>0.25409836065573771</v>
      </c>
      <c r="AW85" s="28">
        <v>0.32786885245901642</v>
      </c>
      <c r="AX85" s="28">
        <v>7.3770491803278687E-2</v>
      </c>
      <c r="AY85" s="28">
        <v>0.34426229508196721</v>
      </c>
      <c r="AZ85" s="25">
        <v>1</v>
      </c>
      <c r="BA85" s="25">
        <v>3.44</v>
      </c>
      <c r="BB85" s="25">
        <v>2.44</v>
      </c>
      <c r="BC85" s="25">
        <v>2.6937500000000001</v>
      </c>
      <c r="BD85">
        <v>2.6937500000000001</v>
      </c>
      <c r="BE85">
        <v>6.2824412981156881</v>
      </c>
    </row>
    <row r="86" spans="1:57" x14ac:dyDescent="0.3">
      <c r="A86" s="2" t="s">
        <v>65</v>
      </c>
      <c r="B86" s="13" t="s">
        <v>735</v>
      </c>
      <c r="C86" s="13"/>
      <c r="D86" s="2"/>
      <c r="E86" s="2"/>
      <c r="F86" s="2">
        <v>2.62</v>
      </c>
      <c r="G86" s="2" t="s">
        <v>66</v>
      </c>
      <c r="H86" s="9" t="s">
        <v>559</v>
      </c>
      <c r="I86" t="s">
        <v>637</v>
      </c>
      <c r="K86" s="2"/>
      <c r="L86" s="2"/>
      <c r="M86" s="2"/>
      <c r="N86" s="23">
        <v>2</v>
      </c>
      <c r="O86" s="2">
        <v>5.4580000000000002</v>
      </c>
      <c r="P86" s="2">
        <v>5.4210000000000003</v>
      </c>
      <c r="Q86" s="2">
        <v>41.02</v>
      </c>
      <c r="R86" s="2" t="s">
        <v>450</v>
      </c>
      <c r="S86" s="2"/>
      <c r="T86" s="23">
        <v>5.5344280000000001</v>
      </c>
      <c r="U86" s="23">
        <v>5.4860709999999999</v>
      </c>
      <c r="V86" s="23">
        <v>20.96113527</v>
      </c>
      <c r="W86" s="2">
        <v>1</v>
      </c>
      <c r="X86" s="2"/>
      <c r="Y86" s="2"/>
      <c r="Z86" s="2"/>
      <c r="AA86" s="2">
        <v>1</v>
      </c>
      <c r="AB86" s="2"/>
      <c r="AC86" s="2"/>
      <c r="AD86" s="2"/>
      <c r="AE86" s="2"/>
      <c r="AF86" s="2">
        <v>1</v>
      </c>
      <c r="AG86" s="2">
        <v>1</v>
      </c>
      <c r="AH86" s="2"/>
      <c r="AI86" s="2">
        <v>1</v>
      </c>
      <c r="AJ86" s="2"/>
      <c r="AK86">
        <v>1</v>
      </c>
      <c r="AM86">
        <v>1</v>
      </c>
      <c r="AO86">
        <v>30</v>
      </c>
      <c r="AP86" s="21">
        <v>630.95473618941708</v>
      </c>
      <c r="AQ86" s="21">
        <v>9.5093984653104466E-2</v>
      </c>
      <c r="AR86" s="28">
        <v>2</v>
      </c>
      <c r="AS86" s="28">
        <v>3.125</v>
      </c>
      <c r="AT86" s="28">
        <v>2.583333333333333</v>
      </c>
      <c r="AU86" s="28">
        <v>2.916666666666667</v>
      </c>
      <c r="AV86" s="28">
        <v>0.18823529411764711</v>
      </c>
      <c r="AW86" s="28">
        <v>0.29411764705882348</v>
      </c>
      <c r="AX86" s="28">
        <v>0.24313725490196081</v>
      </c>
      <c r="AY86" s="28">
        <v>0.2745098039215686</v>
      </c>
      <c r="AZ86" s="25">
        <v>1.54</v>
      </c>
      <c r="BA86" s="25">
        <v>3.44</v>
      </c>
      <c r="BB86" s="25">
        <v>1.9</v>
      </c>
      <c r="BC86" s="25">
        <v>2.839583333333334</v>
      </c>
      <c r="BD86">
        <v>2.8395833333333331</v>
      </c>
      <c r="BE86">
        <v>6.168614470625001</v>
      </c>
    </row>
    <row r="87" spans="1:57" x14ac:dyDescent="0.3">
      <c r="A87" s="2" t="s">
        <v>67</v>
      </c>
      <c r="B87" s="13" t="s">
        <v>736</v>
      </c>
      <c r="C87" s="13"/>
      <c r="D87" s="2"/>
      <c r="E87" s="2"/>
      <c r="F87" s="2">
        <v>2.67</v>
      </c>
      <c r="G87" s="2" t="s">
        <v>66</v>
      </c>
      <c r="H87" s="9">
        <v>-1</v>
      </c>
      <c r="I87">
        <v>-1</v>
      </c>
      <c r="K87" s="2"/>
      <c r="L87" s="2"/>
      <c r="M87" s="2"/>
      <c r="N87" s="23">
        <v>0</v>
      </c>
      <c r="O87" s="2">
        <v>5.4359999999999999</v>
      </c>
      <c r="P87" s="2">
        <v>5.42</v>
      </c>
      <c r="Q87" s="2">
        <v>41.19</v>
      </c>
      <c r="R87" s="2" t="s">
        <v>450</v>
      </c>
      <c r="S87" s="2"/>
      <c r="T87" s="23">
        <v>0</v>
      </c>
      <c r="U87" s="23"/>
      <c r="V87" s="23"/>
      <c r="W87" s="2">
        <v>1</v>
      </c>
      <c r="X87" s="2"/>
      <c r="Y87" s="2"/>
      <c r="Z87" s="2"/>
      <c r="AA87" s="2">
        <v>1</v>
      </c>
      <c r="AB87" s="2"/>
      <c r="AC87" s="2"/>
      <c r="AD87" s="2"/>
      <c r="AE87" s="2"/>
      <c r="AF87" s="2">
        <v>1</v>
      </c>
      <c r="AG87" s="2">
        <v>1</v>
      </c>
      <c r="AH87" s="2"/>
      <c r="AI87" s="2">
        <v>1</v>
      </c>
      <c r="AJ87" s="2"/>
      <c r="AK87">
        <v>1</v>
      </c>
      <c r="AM87">
        <v>1</v>
      </c>
      <c r="AO87">
        <v>30</v>
      </c>
      <c r="AP87" s="21">
        <v>0</v>
      </c>
      <c r="AQ87" s="21"/>
      <c r="AR87" s="28">
        <v>2</v>
      </c>
      <c r="AS87" s="28">
        <v>3</v>
      </c>
      <c r="AT87" s="28">
        <v>2.208333333333333</v>
      </c>
      <c r="AU87" s="28">
        <v>2.333333333333333</v>
      </c>
      <c r="AV87" s="28">
        <v>0.20960698689956331</v>
      </c>
      <c r="AW87" s="28">
        <v>0.31441048034934499</v>
      </c>
      <c r="AX87" s="28">
        <v>0.23144104803493451</v>
      </c>
      <c r="AY87" s="28">
        <v>0.24454148471615719</v>
      </c>
      <c r="AZ87" s="25">
        <v>1.1000000000000001</v>
      </c>
      <c r="BA87" s="25">
        <v>3.44</v>
      </c>
      <c r="BB87" s="25">
        <v>2.34</v>
      </c>
      <c r="BC87" s="25">
        <v>2.80125</v>
      </c>
      <c r="BD87">
        <v>2.80125</v>
      </c>
      <c r="BE87">
        <v>6.1250013054166672</v>
      </c>
    </row>
    <row r="88" spans="1:57" x14ac:dyDescent="0.3">
      <c r="A88" s="2" t="s">
        <v>68</v>
      </c>
      <c r="B88" s="13" t="s">
        <v>737</v>
      </c>
      <c r="C88" s="13"/>
      <c r="D88" s="2"/>
      <c r="E88" s="2"/>
      <c r="F88" s="2">
        <v>2.71</v>
      </c>
      <c r="G88" s="2" t="s">
        <v>66</v>
      </c>
      <c r="H88" s="9">
        <v>-1</v>
      </c>
      <c r="I88">
        <v>-1</v>
      </c>
      <c r="K88" s="2"/>
      <c r="L88" s="2"/>
      <c r="M88" s="2"/>
      <c r="N88" s="23">
        <v>0</v>
      </c>
      <c r="O88" s="2">
        <v>5.4370000000000003</v>
      </c>
      <c r="P88" s="2">
        <v>5.4359999999999999</v>
      </c>
      <c r="Q88" s="2">
        <v>41.29</v>
      </c>
      <c r="R88" s="2" t="s">
        <v>450</v>
      </c>
      <c r="S88" s="2"/>
      <c r="T88" s="23">
        <v>0</v>
      </c>
      <c r="U88" s="23"/>
      <c r="V88" s="23"/>
      <c r="W88" s="2">
        <v>1</v>
      </c>
      <c r="X88" s="2"/>
      <c r="Y88" s="2"/>
      <c r="Z88" s="2"/>
      <c r="AA88" s="2">
        <v>1</v>
      </c>
      <c r="AB88" s="2"/>
      <c r="AC88" s="2"/>
      <c r="AD88" s="2"/>
      <c r="AE88" s="2"/>
      <c r="AF88" s="2">
        <v>1</v>
      </c>
      <c r="AG88" s="2">
        <v>1</v>
      </c>
      <c r="AH88" s="2"/>
      <c r="AI88" s="2">
        <v>1</v>
      </c>
      <c r="AJ88" s="2"/>
      <c r="AK88">
        <v>1</v>
      </c>
      <c r="AM88">
        <v>1</v>
      </c>
      <c r="AO88">
        <v>30</v>
      </c>
      <c r="AP88" s="21">
        <v>0</v>
      </c>
      <c r="AQ88" s="21"/>
      <c r="AR88" s="28">
        <v>2</v>
      </c>
      <c r="AS88" s="28">
        <v>2.875</v>
      </c>
      <c r="AT88" s="28">
        <v>1.833333333333333</v>
      </c>
      <c r="AU88" s="28">
        <v>1.75</v>
      </c>
      <c r="AV88" s="28">
        <v>0.23645320197044331</v>
      </c>
      <c r="AW88" s="28">
        <v>0.33990147783251229</v>
      </c>
      <c r="AX88" s="28">
        <v>0.21674876847290639</v>
      </c>
      <c r="AY88" s="28">
        <v>0.2068965517241379</v>
      </c>
      <c r="AZ88" s="25">
        <v>1.1000000000000001</v>
      </c>
      <c r="BA88" s="25">
        <v>3.44</v>
      </c>
      <c r="BB88" s="25">
        <v>2.34</v>
      </c>
      <c r="BC88" s="25">
        <v>2.7629166666666669</v>
      </c>
      <c r="BD88">
        <v>2.762916666666666</v>
      </c>
      <c r="BE88">
        <v>6.0813881402083334</v>
      </c>
    </row>
    <row r="89" spans="1:57" x14ac:dyDescent="0.3">
      <c r="A89" s="2" t="s">
        <v>69</v>
      </c>
      <c r="B89" s="13" t="s">
        <v>738</v>
      </c>
      <c r="C89" s="13"/>
      <c r="D89" s="2"/>
      <c r="E89" s="2"/>
      <c r="F89" s="2">
        <v>2.75</v>
      </c>
      <c r="G89" s="2" t="s">
        <v>70</v>
      </c>
      <c r="H89" s="9" t="s">
        <v>560</v>
      </c>
      <c r="I89" t="s">
        <v>638</v>
      </c>
      <c r="K89" s="2"/>
      <c r="L89" s="2"/>
      <c r="M89" s="2"/>
      <c r="N89" s="23">
        <v>2</v>
      </c>
      <c r="O89" s="2"/>
      <c r="P89" s="2"/>
      <c r="Q89" s="2"/>
      <c r="R89" s="2"/>
      <c r="S89" s="2"/>
      <c r="T89" s="23">
        <v>8.3195821399999996</v>
      </c>
      <c r="U89" s="23">
        <v>8.3195821399999996</v>
      </c>
      <c r="V89" s="23">
        <v>8.2425581700000006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O89">
        <v>12</v>
      </c>
      <c r="AP89" s="21">
        <v>248.80917443900231</v>
      </c>
      <c r="AQ89" s="21">
        <v>9.6459465588893734E-2</v>
      </c>
      <c r="AR89" s="28">
        <v>2</v>
      </c>
      <c r="AS89" s="28">
        <v>3.333333333333333</v>
      </c>
      <c r="AT89" s="28">
        <v>2.666666666666667</v>
      </c>
      <c r="AU89" s="28">
        <v>4.666666666666667</v>
      </c>
      <c r="AV89" s="28">
        <v>0.15789473684210531</v>
      </c>
      <c r="AW89" s="28">
        <v>0.26315789473684209</v>
      </c>
      <c r="AX89" s="28">
        <v>0.2105263157894737</v>
      </c>
      <c r="AY89" s="28">
        <v>0.36842105263157898</v>
      </c>
      <c r="AZ89" s="25">
        <v>2.02</v>
      </c>
      <c r="BA89" s="25">
        <v>3.44</v>
      </c>
      <c r="BB89" s="25">
        <v>1.42</v>
      </c>
      <c r="BC89" s="25">
        <v>3.0044444444444438</v>
      </c>
      <c r="BD89">
        <v>3.0044444444444438</v>
      </c>
      <c r="BE89">
        <v>6.4228342255555546</v>
      </c>
    </row>
    <row r="90" spans="1:57" x14ac:dyDescent="0.3">
      <c r="A90" s="2" t="s">
        <v>71</v>
      </c>
      <c r="B90" s="13" t="s">
        <v>739</v>
      </c>
      <c r="C90" s="13"/>
      <c r="D90" s="2"/>
      <c r="E90" s="2"/>
      <c r="F90" s="2">
        <v>3.59</v>
      </c>
      <c r="G90" s="2" t="s">
        <v>77</v>
      </c>
      <c r="H90" s="9" t="s">
        <v>561</v>
      </c>
      <c r="I90" t="s">
        <v>639</v>
      </c>
      <c r="K90" s="2"/>
      <c r="L90" s="2"/>
      <c r="M90" s="2"/>
      <c r="N90" s="23">
        <v>2</v>
      </c>
      <c r="O90" s="2"/>
      <c r="P90" s="2"/>
      <c r="Q90" s="2"/>
      <c r="R90" s="2"/>
      <c r="S90" s="2"/>
      <c r="T90" s="23">
        <v>3.8703880000000002</v>
      </c>
      <c r="U90" s="23">
        <v>3.8703880000000002</v>
      </c>
      <c r="V90" s="23">
        <v>13.604850000000001</v>
      </c>
      <c r="W90" s="2">
        <v>1</v>
      </c>
      <c r="X90" s="2"/>
      <c r="Y90" s="2"/>
      <c r="Z90" s="2">
        <v>3.59</v>
      </c>
      <c r="AA90" s="2"/>
      <c r="AB90" s="2"/>
      <c r="AC90" s="2"/>
      <c r="AD90" s="2"/>
      <c r="AE90" s="2"/>
      <c r="AF90" s="2"/>
      <c r="AG90" s="2">
        <v>1</v>
      </c>
      <c r="AH90" s="2"/>
      <c r="AI90" s="2"/>
      <c r="AJ90" s="2"/>
      <c r="AK90">
        <v>1</v>
      </c>
      <c r="AO90">
        <v>8</v>
      </c>
      <c r="AP90" s="21">
        <v>203.79933701026059</v>
      </c>
      <c r="AQ90" s="21">
        <v>7.8508596910668346E-2</v>
      </c>
      <c r="AR90" s="28">
        <v>1.857142857142857</v>
      </c>
      <c r="AS90" s="28">
        <v>2.285714285714286</v>
      </c>
      <c r="AT90" s="28">
        <v>0.42857142857142849</v>
      </c>
      <c r="AU90" s="28">
        <v>0</v>
      </c>
      <c r="AV90" s="28">
        <v>0.40625000000000011</v>
      </c>
      <c r="AW90" s="28">
        <v>0.5</v>
      </c>
      <c r="AX90" s="28">
        <v>9.375E-2</v>
      </c>
      <c r="AY90" s="28">
        <v>0</v>
      </c>
      <c r="AZ90" s="25">
        <v>0.82</v>
      </c>
      <c r="BA90" s="25">
        <v>3.44</v>
      </c>
      <c r="BB90" s="25">
        <v>2.62</v>
      </c>
      <c r="BC90" s="25">
        <v>2.46</v>
      </c>
      <c r="BD90">
        <v>2.46</v>
      </c>
      <c r="BE90">
        <v>5.5854910899999997</v>
      </c>
    </row>
    <row r="91" spans="1:57" x14ac:dyDescent="0.3">
      <c r="A91" s="2" t="s">
        <v>72</v>
      </c>
      <c r="B91" s="17" t="s">
        <v>902</v>
      </c>
      <c r="C91" s="13"/>
      <c r="D91" s="2"/>
      <c r="E91" s="2"/>
      <c r="F91" s="2">
        <v>3.74</v>
      </c>
      <c r="G91" s="2" t="s">
        <v>77</v>
      </c>
      <c r="H91" s="32" t="s">
        <v>561</v>
      </c>
      <c r="I91" s="1" t="s">
        <v>639</v>
      </c>
      <c r="K91" s="2"/>
      <c r="L91" s="2"/>
      <c r="M91" s="2"/>
      <c r="N91" s="23">
        <v>0</v>
      </c>
      <c r="O91" s="2"/>
      <c r="P91" s="2"/>
      <c r="Q91" s="2"/>
      <c r="R91" s="2"/>
      <c r="S91" s="2"/>
      <c r="T91" s="23">
        <v>0</v>
      </c>
      <c r="U91" s="23"/>
      <c r="V91" s="23"/>
      <c r="W91" s="2">
        <v>1</v>
      </c>
      <c r="X91" s="2"/>
      <c r="Y91" s="2"/>
      <c r="Z91" s="2">
        <v>3.74</v>
      </c>
      <c r="AA91" s="2"/>
      <c r="AB91" s="2"/>
      <c r="AC91" s="2"/>
      <c r="AD91" s="2"/>
      <c r="AE91" s="2"/>
      <c r="AF91" s="2"/>
      <c r="AG91" s="2">
        <v>1</v>
      </c>
      <c r="AH91" s="2"/>
      <c r="AI91" s="2"/>
      <c r="AJ91" s="2"/>
      <c r="AK91">
        <v>1</v>
      </c>
      <c r="AO91">
        <v>8</v>
      </c>
      <c r="AP91" s="21">
        <v>0</v>
      </c>
      <c r="AQ91" s="21"/>
      <c r="AR91" s="28">
        <v>1.857142857142857</v>
      </c>
      <c r="AS91" s="28">
        <v>2.285714285714286</v>
      </c>
      <c r="AT91" s="28">
        <v>0.42857142857142849</v>
      </c>
      <c r="AU91" s="28">
        <v>0</v>
      </c>
      <c r="AV91" s="28">
        <v>0.40625000000000011</v>
      </c>
      <c r="AW91" s="28">
        <v>0.5</v>
      </c>
      <c r="AX91" s="28">
        <v>9.375E-2</v>
      </c>
      <c r="AY91" s="28">
        <v>0</v>
      </c>
      <c r="AZ91" s="25">
        <v>0.82</v>
      </c>
      <c r="BA91" s="25">
        <v>3.44</v>
      </c>
      <c r="BB91" s="25">
        <v>2.62</v>
      </c>
      <c r="BC91" s="25">
        <v>2.4569999999999999</v>
      </c>
      <c r="BD91">
        <v>2.4569999999999999</v>
      </c>
      <c r="BE91">
        <v>5.5866607328571423</v>
      </c>
    </row>
    <row r="92" spans="1:57" x14ac:dyDescent="0.3">
      <c r="A92" s="2" t="s">
        <v>76</v>
      </c>
      <c r="B92" s="17" t="s">
        <v>903</v>
      </c>
      <c r="C92" s="13"/>
      <c r="D92" s="2"/>
      <c r="E92" s="2"/>
      <c r="F92" s="2">
        <v>3.82</v>
      </c>
      <c r="G92" s="2" t="s">
        <v>77</v>
      </c>
      <c r="H92" s="32" t="s">
        <v>1154</v>
      </c>
      <c r="I92" s="1" t="s">
        <v>1155</v>
      </c>
      <c r="K92" s="2"/>
      <c r="L92" s="2"/>
      <c r="M92" s="2"/>
      <c r="N92" s="23">
        <v>0</v>
      </c>
      <c r="O92" s="2"/>
      <c r="P92" s="2"/>
      <c r="Q92" s="2"/>
      <c r="R92" s="2"/>
      <c r="S92" s="2"/>
      <c r="T92" s="23">
        <v>0</v>
      </c>
      <c r="U92" s="23"/>
      <c r="V92" s="23"/>
      <c r="W92" s="2">
        <v>1</v>
      </c>
      <c r="X92" s="2"/>
      <c r="Y92" s="2"/>
      <c r="Z92" s="2">
        <v>3.82</v>
      </c>
      <c r="AA92" s="2"/>
      <c r="AB92" s="2"/>
      <c r="AC92" s="2"/>
      <c r="AD92" s="2"/>
      <c r="AE92" s="2"/>
      <c r="AF92" s="2"/>
      <c r="AG92" s="2">
        <v>1</v>
      </c>
      <c r="AH92" s="2"/>
      <c r="AI92" s="2"/>
      <c r="AJ92" s="2"/>
      <c r="AK92">
        <v>1</v>
      </c>
      <c r="AO92">
        <v>8</v>
      </c>
      <c r="AP92" s="21">
        <v>0</v>
      </c>
      <c r="AQ92" s="21"/>
      <c r="AR92" s="28">
        <v>1.857142857142857</v>
      </c>
      <c r="AS92" s="28">
        <v>2.285714285714286</v>
      </c>
      <c r="AT92" s="28">
        <v>0.42857142857142849</v>
      </c>
      <c r="AU92" s="28">
        <v>0</v>
      </c>
      <c r="AV92" s="28">
        <v>0.40625000000000011</v>
      </c>
      <c r="AW92" s="28">
        <v>0.5</v>
      </c>
      <c r="AX92" s="28">
        <v>9.375E-2</v>
      </c>
      <c r="AY92" s="28">
        <v>0</v>
      </c>
      <c r="AZ92" s="25">
        <v>0.82</v>
      </c>
      <c r="BA92" s="25">
        <v>3.44</v>
      </c>
      <c r="BB92" s="25">
        <v>2.62</v>
      </c>
      <c r="BC92" s="25">
        <v>2.4510000000000001</v>
      </c>
      <c r="BD92">
        <v>2.4510000000000001</v>
      </c>
      <c r="BE92">
        <v>5.5890000185714284</v>
      </c>
    </row>
    <row r="93" spans="1:57" x14ac:dyDescent="0.3">
      <c r="A93" s="2" t="s">
        <v>75</v>
      </c>
      <c r="B93" s="17" t="s">
        <v>904</v>
      </c>
      <c r="C93" s="13"/>
      <c r="D93" s="2"/>
      <c r="E93" s="2"/>
      <c r="F93" s="2">
        <v>4.16</v>
      </c>
      <c r="G93" s="2" t="s">
        <v>77</v>
      </c>
      <c r="H93" s="32" t="s">
        <v>1156</v>
      </c>
      <c r="I93" s="1" t="s">
        <v>1157</v>
      </c>
      <c r="K93" s="2"/>
      <c r="L93" s="2"/>
      <c r="M93" s="2"/>
      <c r="N93" s="23">
        <v>0</v>
      </c>
      <c r="O93" s="2"/>
      <c r="P93" s="2"/>
      <c r="Q93" s="2"/>
      <c r="R93" s="2"/>
      <c r="S93" s="2"/>
      <c r="T93" s="23">
        <v>0</v>
      </c>
      <c r="U93" s="23"/>
      <c r="V93" s="23"/>
      <c r="W93" s="2">
        <v>1</v>
      </c>
      <c r="X93" s="2"/>
      <c r="Y93" s="2"/>
      <c r="Z93" s="2">
        <v>4.16</v>
      </c>
      <c r="AA93" s="2"/>
      <c r="AB93" s="2"/>
      <c r="AC93" s="2"/>
      <c r="AD93" s="2"/>
      <c r="AE93" s="2"/>
      <c r="AF93" s="2"/>
      <c r="AG93" s="2">
        <v>1</v>
      </c>
      <c r="AH93" s="2"/>
      <c r="AI93" s="2"/>
      <c r="AJ93" s="2"/>
      <c r="AK93">
        <v>1</v>
      </c>
      <c r="AO93">
        <v>8</v>
      </c>
      <c r="AP93" s="21">
        <v>0</v>
      </c>
      <c r="AQ93" s="21"/>
      <c r="AR93" s="28">
        <v>1.857142857142857</v>
      </c>
      <c r="AS93" s="28">
        <v>2.285714285714286</v>
      </c>
      <c r="AT93" s="28">
        <v>0.42857142857142849</v>
      </c>
      <c r="AU93" s="28">
        <v>0</v>
      </c>
      <c r="AV93" s="28">
        <v>0.40625000000000011</v>
      </c>
      <c r="AW93" s="28">
        <v>0.5</v>
      </c>
      <c r="AX93" s="28">
        <v>9.375E-2</v>
      </c>
      <c r="AY93" s="28">
        <v>0</v>
      </c>
      <c r="AZ93" s="25">
        <v>0.82</v>
      </c>
      <c r="BA93" s="25">
        <v>3.44</v>
      </c>
      <c r="BB93" s="25">
        <v>2.62</v>
      </c>
      <c r="BC93" s="25">
        <v>2.4449999999999998</v>
      </c>
      <c r="BD93">
        <v>2.4449999999999998</v>
      </c>
      <c r="BE93">
        <v>5.5913393042857136</v>
      </c>
    </row>
    <row r="94" spans="1:57" x14ac:dyDescent="0.3">
      <c r="A94" s="2" t="s">
        <v>74</v>
      </c>
      <c r="B94" s="17" t="s">
        <v>905</v>
      </c>
      <c r="C94" s="13"/>
      <c r="D94" s="2"/>
      <c r="E94" s="2"/>
      <c r="F94" s="2">
        <v>3.52</v>
      </c>
      <c r="G94" s="2" t="s">
        <v>77</v>
      </c>
      <c r="H94" s="32" t="s">
        <v>1158</v>
      </c>
      <c r="I94" s="1" t="s">
        <v>1159</v>
      </c>
      <c r="K94" s="2"/>
      <c r="L94" s="2"/>
      <c r="M94" s="2"/>
      <c r="N94" s="23">
        <v>0</v>
      </c>
      <c r="O94" s="2"/>
      <c r="P94" s="2"/>
      <c r="Q94" s="2"/>
      <c r="R94" s="2"/>
      <c r="S94" s="2"/>
      <c r="T94" s="23">
        <v>0</v>
      </c>
      <c r="U94" s="23"/>
      <c r="V94" s="23"/>
      <c r="W94" s="2">
        <v>1</v>
      </c>
      <c r="X94" s="2"/>
      <c r="Y94" s="2"/>
      <c r="Z94" s="2">
        <v>3.52</v>
      </c>
      <c r="AA94" s="2"/>
      <c r="AB94" s="2"/>
      <c r="AC94" s="2"/>
      <c r="AD94" s="2"/>
      <c r="AE94" s="2"/>
      <c r="AF94" s="2"/>
      <c r="AG94" s="2">
        <v>1</v>
      </c>
      <c r="AH94" s="2"/>
      <c r="AI94" s="2"/>
      <c r="AJ94" s="2"/>
      <c r="AK94">
        <v>1</v>
      </c>
      <c r="AO94">
        <v>8</v>
      </c>
      <c r="AP94" s="21">
        <v>0</v>
      </c>
      <c r="AQ94" s="21"/>
      <c r="AR94" s="28">
        <v>1.857142857142857</v>
      </c>
      <c r="AS94" s="28">
        <v>2.285714285714286</v>
      </c>
      <c r="AT94" s="28">
        <v>0.42857142857142849</v>
      </c>
      <c r="AU94" s="28">
        <v>0</v>
      </c>
      <c r="AV94" s="28">
        <v>0.40625000000000011</v>
      </c>
      <c r="AW94" s="28">
        <v>0.5</v>
      </c>
      <c r="AX94" s="28">
        <v>9.375E-2</v>
      </c>
      <c r="AY94" s="28">
        <v>0</v>
      </c>
      <c r="AZ94" s="25">
        <v>0.82</v>
      </c>
      <c r="BA94" s="25">
        <v>3.44</v>
      </c>
      <c r="BB94" s="25">
        <v>2.62</v>
      </c>
      <c r="BC94" s="25">
        <v>2.4390000000000001</v>
      </c>
      <c r="BD94">
        <v>2.4390000000000001</v>
      </c>
      <c r="BE94">
        <v>5.5936785899999997</v>
      </c>
    </row>
    <row r="95" spans="1:57" x14ac:dyDescent="0.3">
      <c r="A95" s="2" t="s">
        <v>73</v>
      </c>
      <c r="B95" s="13" t="s">
        <v>740</v>
      </c>
      <c r="C95" s="13"/>
      <c r="D95" s="2"/>
      <c r="E95" s="2"/>
      <c r="F95" s="2">
        <v>3.43</v>
      </c>
      <c r="G95" s="2" t="s">
        <v>77</v>
      </c>
      <c r="H95" s="32" t="s">
        <v>1160</v>
      </c>
      <c r="I95" s="1" t="s">
        <v>1161</v>
      </c>
      <c r="K95" s="2"/>
      <c r="L95" s="2"/>
      <c r="M95" s="2"/>
      <c r="N95" s="23">
        <v>0</v>
      </c>
      <c r="O95" s="2"/>
      <c r="P95" s="2"/>
      <c r="Q95" s="2"/>
      <c r="R95" s="2"/>
      <c r="S95" s="2"/>
      <c r="T95" s="23">
        <v>0</v>
      </c>
      <c r="U95" s="23"/>
      <c r="V95" s="23"/>
      <c r="W95" s="2">
        <v>1</v>
      </c>
      <c r="X95" s="2"/>
      <c r="Y95" s="2"/>
      <c r="Z95" s="2">
        <v>3.43</v>
      </c>
      <c r="AA95" s="2"/>
      <c r="AB95" s="2"/>
      <c r="AC95" s="2"/>
      <c r="AD95" s="2"/>
      <c r="AE95" s="2"/>
      <c r="AF95" s="2"/>
      <c r="AG95" s="2">
        <v>1</v>
      </c>
      <c r="AH95" s="2"/>
      <c r="AI95" s="2"/>
      <c r="AJ95" s="2"/>
      <c r="AK95">
        <v>1</v>
      </c>
      <c r="AO95">
        <v>8</v>
      </c>
      <c r="AP95" s="21">
        <v>0</v>
      </c>
      <c r="AQ95" s="21"/>
      <c r="AR95" s="28">
        <v>1.857142857142857</v>
      </c>
      <c r="AS95" s="28">
        <v>2.285714285714286</v>
      </c>
      <c r="AT95" s="28">
        <v>0.42857142857142849</v>
      </c>
      <c r="AU95" s="28">
        <v>0</v>
      </c>
      <c r="AV95" s="28">
        <v>0.40625000000000011</v>
      </c>
      <c r="AW95" s="28">
        <v>0.5</v>
      </c>
      <c r="AX95" s="28">
        <v>9.375E-2</v>
      </c>
      <c r="AY95" s="28">
        <v>0</v>
      </c>
      <c r="AZ95" s="25">
        <v>0.82</v>
      </c>
      <c r="BA95" s="25">
        <v>3.44</v>
      </c>
      <c r="BB95" s="25">
        <v>2.62</v>
      </c>
      <c r="BC95" s="25">
        <v>2.4300000000000002</v>
      </c>
      <c r="BD95">
        <v>2.4300000000000002</v>
      </c>
      <c r="BE95">
        <v>5.5971875185714284</v>
      </c>
    </row>
    <row r="96" spans="1:57" x14ac:dyDescent="0.3">
      <c r="A96" s="2" t="s">
        <v>44</v>
      </c>
      <c r="B96" s="17" t="s">
        <v>720</v>
      </c>
      <c r="C96" s="13"/>
      <c r="D96" s="2" t="s">
        <v>676</v>
      </c>
      <c r="E96" s="2" t="s">
        <v>1067</v>
      </c>
      <c r="F96" s="2">
        <v>3.44</v>
      </c>
      <c r="G96" s="2" t="s">
        <v>78</v>
      </c>
      <c r="H96" s="9" t="s">
        <v>549</v>
      </c>
      <c r="I96">
        <v>-1</v>
      </c>
      <c r="K96" s="2"/>
      <c r="L96" s="2"/>
      <c r="M96" s="2"/>
      <c r="N96" s="23">
        <v>1</v>
      </c>
      <c r="O96" s="2"/>
      <c r="P96" s="2"/>
      <c r="Q96" s="2"/>
      <c r="R96" s="2"/>
      <c r="S96" s="2"/>
      <c r="T96" s="23">
        <v>15.28115725</v>
      </c>
      <c r="U96" s="25">
        <v>15.28115725</v>
      </c>
      <c r="V96" s="25">
        <v>15.28115725</v>
      </c>
      <c r="W96" s="2">
        <v>1</v>
      </c>
      <c r="X96" s="2">
        <v>1</v>
      </c>
      <c r="Y96" s="2"/>
      <c r="Z96" s="2">
        <v>4.0999999999999996</v>
      </c>
      <c r="AA96" s="2">
        <v>1</v>
      </c>
      <c r="AB96" s="2"/>
      <c r="AC96" s="2"/>
      <c r="AD96" s="2">
        <v>1</v>
      </c>
      <c r="AE96" s="2"/>
      <c r="AF96" s="2"/>
      <c r="AG96" s="2">
        <v>1</v>
      </c>
      <c r="AH96" s="2"/>
      <c r="AI96" s="2"/>
      <c r="AJ96" s="2"/>
      <c r="AK96">
        <v>1</v>
      </c>
      <c r="AO96">
        <v>20</v>
      </c>
      <c r="AP96" s="21">
        <v>229.90248606119221</v>
      </c>
      <c r="AQ96" s="25">
        <v>8.6993404650164072E-2</v>
      </c>
      <c r="AR96" s="28">
        <v>1.882352941176471</v>
      </c>
      <c r="AS96" s="28">
        <v>2.3529411764705879</v>
      </c>
      <c r="AT96" s="28">
        <v>0.47058823529411759</v>
      </c>
      <c r="AU96" s="28">
        <v>0</v>
      </c>
      <c r="AV96" s="28">
        <v>0.4</v>
      </c>
      <c r="AW96" s="28">
        <v>0.5</v>
      </c>
      <c r="AX96" s="28">
        <v>9.9999999999999992E-2</v>
      </c>
      <c r="AY96" s="28">
        <v>0</v>
      </c>
      <c r="AZ96" s="25">
        <v>0.82</v>
      </c>
      <c r="BA96" s="25">
        <v>3.44</v>
      </c>
      <c r="BB96" s="25">
        <v>2.62</v>
      </c>
      <c r="BC96" s="25">
        <v>2.5211764705882351</v>
      </c>
      <c r="BD96">
        <v>2.521176470588236</v>
      </c>
      <c r="BE96">
        <v>5.6898745917647062</v>
      </c>
    </row>
    <row r="97" spans="1:57" x14ac:dyDescent="0.3">
      <c r="A97" s="2" t="s">
        <v>44</v>
      </c>
      <c r="B97" s="13" t="s">
        <v>720</v>
      </c>
      <c r="C97" s="13"/>
      <c r="D97" s="2"/>
      <c r="E97" s="2"/>
      <c r="F97" s="2">
        <v>3.69</v>
      </c>
      <c r="G97" s="2" t="s">
        <v>78</v>
      </c>
      <c r="H97" s="9" t="s">
        <v>549</v>
      </c>
      <c r="I97">
        <v>-1</v>
      </c>
      <c r="K97" s="2"/>
      <c r="L97" s="2"/>
      <c r="M97" s="2"/>
      <c r="N97" s="23">
        <v>1</v>
      </c>
      <c r="O97" s="2">
        <v>3.87</v>
      </c>
      <c r="P97" s="2">
        <v>3.87</v>
      </c>
      <c r="Q97" s="2">
        <v>29.8</v>
      </c>
      <c r="R97" s="2" t="s">
        <v>440</v>
      </c>
      <c r="S97" s="2"/>
      <c r="T97" s="23">
        <v>15.28115725</v>
      </c>
      <c r="U97" s="23">
        <v>15.28115725</v>
      </c>
      <c r="V97" s="23">
        <v>15.28115725</v>
      </c>
      <c r="W97" s="2">
        <v>1</v>
      </c>
      <c r="X97" s="2">
        <v>1</v>
      </c>
      <c r="Y97" s="2">
        <v>3</v>
      </c>
      <c r="Z97" s="2">
        <v>5.7</v>
      </c>
      <c r="AA97" s="2">
        <v>1</v>
      </c>
      <c r="AB97" s="2"/>
      <c r="AC97" s="2"/>
      <c r="AD97" s="2">
        <v>1</v>
      </c>
      <c r="AE97" s="2"/>
      <c r="AF97" s="2"/>
      <c r="AG97" s="2">
        <v>1</v>
      </c>
      <c r="AH97" s="2"/>
      <c r="AI97" s="2"/>
      <c r="AJ97" s="2"/>
      <c r="AK97">
        <v>1</v>
      </c>
      <c r="AO97">
        <v>20</v>
      </c>
      <c r="AP97" s="21">
        <v>229.90248606119221</v>
      </c>
      <c r="AQ97" s="21">
        <v>8.6993404650164072E-2</v>
      </c>
      <c r="AR97" s="28">
        <v>1.882352941176471</v>
      </c>
      <c r="AS97" s="28">
        <v>2.3529411764705879</v>
      </c>
      <c r="AT97" s="28">
        <v>0.47058823529411759</v>
      </c>
      <c r="AU97" s="28">
        <v>0</v>
      </c>
      <c r="AV97" s="28">
        <v>0.4</v>
      </c>
      <c r="AW97" s="28">
        <v>0.5</v>
      </c>
      <c r="AX97" s="28">
        <v>9.9999999999999992E-2</v>
      </c>
      <c r="AY97" s="28">
        <v>0</v>
      </c>
      <c r="AZ97" s="25">
        <v>0.82</v>
      </c>
      <c r="BA97" s="25">
        <v>3.44</v>
      </c>
      <c r="BB97" s="25">
        <v>2.62</v>
      </c>
      <c r="BC97" s="25">
        <v>2.5211764705882351</v>
      </c>
      <c r="BD97">
        <v>2.521176470588236</v>
      </c>
      <c r="BE97">
        <v>5.6898745917647062</v>
      </c>
    </row>
    <row r="98" spans="1:57" x14ac:dyDescent="0.3">
      <c r="A98" s="2" t="s">
        <v>44</v>
      </c>
      <c r="B98" s="13" t="s">
        <v>720</v>
      </c>
      <c r="C98" s="13"/>
      <c r="D98" s="2"/>
      <c r="E98" s="2"/>
      <c r="F98" s="2">
        <v>3.78</v>
      </c>
      <c r="G98" s="2" t="s">
        <v>80</v>
      </c>
      <c r="H98" s="9" t="s">
        <v>549</v>
      </c>
      <c r="I98">
        <v>-1</v>
      </c>
      <c r="K98" s="2"/>
      <c r="L98" s="2"/>
      <c r="M98" s="2"/>
      <c r="N98" s="23">
        <v>1</v>
      </c>
      <c r="O98" s="2">
        <v>3.859</v>
      </c>
      <c r="P98" s="2">
        <v>3.859</v>
      </c>
      <c r="Q98" s="2">
        <v>29.047999999999998</v>
      </c>
      <c r="R98" s="2" t="s">
        <v>440</v>
      </c>
      <c r="S98" s="2"/>
      <c r="T98" s="23">
        <v>15.28115725</v>
      </c>
      <c r="U98" s="23">
        <v>15.28115725</v>
      </c>
      <c r="V98" s="23">
        <v>15.28115725</v>
      </c>
      <c r="W98" s="2">
        <v>1</v>
      </c>
      <c r="X98" s="2">
        <v>1</v>
      </c>
      <c r="Y98" s="2">
        <v>3</v>
      </c>
      <c r="Z98" s="2"/>
      <c r="AA98" s="2">
        <v>1</v>
      </c>
      <c r="AB98" s="2" t="s">
        <v>481</v>
      </c>
      <c r="AC98" s="2"/>
      <c r="AD98" s="2"/>
      <c r="AE98" s="2"/>
      <c r="AF98" s="2"/>
      <c r="AG98" s="2">
        <v>1</v>
      </c>
      <c r="AH98" s="2"/>
      <c r="AI98" s="2"/>
      <c r="AJ98" s="2"/>
      <c r="AO98">
        <v>20</v>
      </c>
      <c r="AP98" s="21">
        <v>229.90248606119221</v>
      </c>
      <c r="AQ98" s="21">
        <v>8.6993404650164072E-2</v>
      </c>
      <c r="AR98" s="28">
        <v>1.882352941176471</v>
      </c>
      <c r="AS98" s="28">
        <v>2.3529411764705879</v>
      </c>
      <c r="AT98" s="28">
        <v>0.47058823529411759</v>
      </c>
      <c r="AU98" s="28">
        <v>0</v>
      </c>
      <c r="AV98" s="28">
        <v>0.4</v>
      </c>
      <c r="AW98" s="28">
        <v>0.5</v>
      </c>
      <c r="AX98" s="28">
        <v>9.9999999999999992E-2</v>
      </c>
      <c r="AY98" s="28">
        <v>0</v>
      </c>
      <c r="AZ98" s="25">
        <v>0.82</v>
      </c>
      <c r="BA98" s="25">
        <v>3.44</v>
      </c>
      <c r="BB98" s="25">
        <v>2.62</v>
      </c>
      <c r="BC98" s="25">
        <v>2.5211764705882351</v>
      </c>
      <c r="BD98">
        <v>2.521176470588236</v>
      </c>
      <c r="BE98">
        <v>5.6898745917647062</v>
      </c>
    </row>
    <row r="99" spans="1:57" x14ac:dyDescent="0.3">
      <c r="A99" s="2" t="s">
        <v>79</v>
      </c>
      <c r="B99" s="17" t="s">
        <v>906</v>
      </c>
      <c r="C99" s="13"/>
      <c r="D99" s="2"/>
      <c r="E99" s="2"/>
      <c r="F99" s="2">
        <v>3.2</v>
      </c>
      <c r="G99" s="2" t="s">
        <v>80</v>
      </c>
      <c r="H99" s="9">
        <v>-1</v>
      </c>
      <c r="I99">
        <v>-1</v>
      </c>
      <c r="K99" s="2"/>
      <c r="L99" s="2"/>
      <c r="M99" s="2"/>
      <c r="N99" s="23">
        <v>0</v>
      </c>
      <c r="O99" s="2">
        <v>3.8650000000000002</v>
      </c>
      <c r="P99" s="2">
        <v>3.8650000000000002</v>
      </c>
      <c r="Q99" s="2">
        <v>29.241</v>
      </c>
      <c r="T99" s="23">
        <v>0</v>
      </c>
      <c r="U99" s="23"/>
      <c r="V99" s="23"/>
      <c r="W99" s="2">
        <v>1</v>
      </c>
      <c r="X99" s="2"/>
      <c r="Y99" s="2">
        <v>3</v>
      </c>
      <c r="Z99" s="2"/>
      <c r="AA99" s="2">
        <v>1</v>
      </c>
      <c r="AB99" s="2"/>
      <c r="AC99" s="2"/>
      <c r="AD99" s="2"/>
      <c r="AE99" s="2"/>
      <c r="AF99" s="2"/>
      <c r="AG99" s="2">
        <v>1</v>
      </c>
      <c r="AH99" s="2"/>
      <c r="AI99" s="2"/>
      <c r="AJ99" s="2"/>
      <c r="AO99">
        <v>20</v>
      </c>
      <c r="AP99" s="21">
        <v>0</v>
      </c>
      <c r="AQ99" s="21"/>
      <c r="AR99" s="28">
        <v>1.882352941176471</v>
      </c>
      <c r="AS99" s="28">
        <v>2.3529411764705879</v>
      </c>
      <c r="AT99" s="28">
        <v>0.49411764705882361</v>
      </c>
      <c r="AU99" s="28">
        <v>0</v>
      </c>
      <c r="AV99" s="28">
        <v>0.39800995024875629</v>
      </c>
      <c r="AW99" s="28">
        <v>0.4975124378109454</v>
      </c>
      <c r="AX99" s="28">
        <v>0.1044776119402985</v>
      </c>
      <c r="AY99" s="28">
        <v>0</v>
      </c>
      <c r="AZ99" s="25">
        <v>0.82</v>
      </c>
      <c r="BA99" s="25">
        <v>3.44</v>
      </c>
      <c r="BB99" s="25">
        <v>2.62</v>
      </c>
      <c r="BC99" s="25">
        <v>2.5228823529411768</v>
      </c>
      <c r="BD99">
        <v>2.5228823529411768</v>
      </c>
      <c r="BE99">
        <v>5.6932629430588237</v>
      </c>
    </row>
    <row r="100" spans="1:57" x14ac:dyDescent="0.3">
      <c r="A100" s="2" t="s">
        <v>81</v>
      </c>
      <c r="B100" s="17" t="s">
        <v>907</v>
      </c>
      <c r="C100" s="13"/>
      <c r="D100" s="2"/>
      <c r="E100" s="2"/>
      <c r="F100" s="2">
        <v>2.93</v>
      </c>
      <c r="G100" s="2" t="s">
        <v>80</v>
      </c>
      <c r="H100" s="9">
        <v>-1</v>
      </c>
      <c r="I100">
        <v>-1</v>
      </c>
      <c r="K100" s="2"/>
      <c r="L100" s="2"/>
      <c r="M100" s="2"/>
      <c r="N100" s="23">
        <v>0</v>
      </c>
      <c r="O100" s="2">
        <v>3.8660000000000001</v>
      </c>
      <c r="P100" s="2">
        <v>3.8660000000000001</v>
      </c>
      <c r="Q100" s="2">
        <v>29.145</v>
      </c>
      <c r="R100" s="2"/>
      <c r="S100" s="2"/>
      <c r="T100" s="23">
        <v>0</v>
      </c>
      <c r="U100" s="23"/>
      <c r="V100" s="23"/>
      <c r="W100" s="2">
        <v>1</v>
      </c>
      <c r="X100" s="2"/>
      <c r="Y100" s="2">
        <v>3</v>
      </c>
      <c r="Z100" s="2"/>
      <c r="AA100" s="2">
        <v>1</v>
      </c>
      <c r="AB100" s="2"/>
      <c r="AC100" s="2"/>
      <c r="AD100" s="2"/>
      <c r="AE100" s="2"/>
      <c r="AF100" s="2"/>
      <c r="AG100" s="2">
        <v>1</v>
      </c>
      <c r="AH100" s="2"/>
      <c r="AI100" s="2"/>
      <c r="AJ100" s="2"/>
      <c r="AO100">
        <v>20</v>
      </c>
      <c r="AP100" s="21">
        <v>0</v>
      </c>
      <c r="AQ100" s="21"/>
      <c r="AR100" s="28">
        <v>1.882352941176471</v>
      </c>
      <c r="AS100" s="28">
        <v>2.3529411764705879</v>
      </c>
      <c r="AT100" s="28">
        <v>0.51764705882352946</v>
      </c>
      <c r="AU100" s="28">
        <v>0</v>
      </c>
      <c r="AV100" s="28">
        <v>0.39603960396039611</v>
      </c>
      <c r="AW100" s="28">
        <v>0.49504950495049499</v>
      </c>
      <c r="AX100" s="28">
        <v>0.1089108910891089</v>
      </c>
      <c r="AY100" s="28">
        <v>0</v>
      </c>
      <c r="AZ100" s="25">
        <v>0.82</v>
      </c>
      <c r="BA100" s="25">
        <v>3.44</v>
      </c>
      <c r="BB100" s="25">
        <v>2.62</v>
      </c>
      <c r="BC100" s="25">
        <v>2.5245882352941171</v>
      </c>
      <c r="BD100">
        <v>2.524588235294118</v>
      </c>
      <c r="BE100">
        <v>5.6966512943529413</v>
      </c>
    </row>
    <row r="101" spans="1:57" x14ac:dyDescent="0.3">
      <c r="A101" s="2" t="s">
        <v>82</v>
      </c>
      <c r="B101" s="17" t="s">
        <v>908</v>
      </c>
      <c r="C101" s="13"/>
      <c r="D101" s="2"/>
      <c r="E101" s="2"/>
      <c r="F101" s="2">
        <v>2.69</v>
      </c>
      <c r="G101" s="2" t="s">
        <v>80</v>
      </c>
      <c r="H101" s="9">
        <v>-1</v>
      </c>
      <c r="I101">
        <v>-1</v>
      </c>
      <c r="K101" s="2"/>
      <c r="L101" s="2"/>
      <c r="M101" s="2"/>
      <c r="N101" s="23">
        <v>0</v>
      </c>
      <c r="O101" s="2">
        <v>3.871</v>
      </c>
      <c r="P101" s="2">
        <v>3.871</v>
      </c>
      <c r="Q101" s="2">
        <v>29.241</v>
      </c>
      <c r="R101" s="2"/>
      <c r="S101" s="2"/>
      <c r="T101" s="23">
        <v>0</v>
      </c>
      <c r="U101" s="23"/>
      <c r="V101" s="23"/>
      <c r="W101" s="2">
        <v>1</v>
      </c>
      <c r="X101" s="2"/>
      <c r="Y101" s="2">
        <v>3</v>
      </c>
      <c r="Z101" s="2"/>
      <c r="AA101" s="2">
        <v>1</v>
      </c>
      <c r="AB101" s="2"/>
      <c r="AC101" s="2"/>
      <c r="AD101" s="2"/>
      <c r="AE101" s="2"/>
      <c r="AF101" s="2"/>
      <c r="AG101" s="2">
        <v>1</v>
      </c>
      <c r="AH101" s="2"/>
      <c r="AI101" s="2"/>
      <c r="AJ101" s="2"/>
      <c r="AO101">
        <v>20</v>
      </c>
      <c r="AP101" s="21">
        <v>0</v>
      </c>
      <c r="AQ101" s="21"/>
      <c r="AR101" s="28">
        <v>1.882352941176471</v>
      </c>
      <c r="AS101" s="28">
        <v>2.3529411764705879</v>
      </c>
      <c r="AT101" s="28">
        <v>0.54117647058823526</v>
      </c>
      <c r="AU101" s="28">
        <v>0</v>
      </c>
      <c r="AV101" s="28">
        <v>0.39408866995073888</v>
      </c>
      <c r="AW101" s="28">
        <v>0.49261083743842371</v>
      </c>
      <c r="AX101" s="28">
        <v>0.1133004926108374</v>
      </c>
      <c r="AY101" s="28">
        <v>0</v>
      </c>
      <c r="AZ101" s="25">
        <v>0.82</v>
      </c>
      <c r="BA101" s="25">
        <v>3.44</v>
      </c>
      <c r="BB101" s="25">
        <v>2.62</v>
      </c>
      <c r="BC101" s="25">
        <v>2.5262941176470588</v>
      </c>
      <c r="BD101">
        <v>2.5262941176470588</v>
      </c>
      <c r="BE101">
        <v>5.7000396456470588</v>
      </c>
    </row>
    <row r="102" spans="1:57" x14ac:dyDescent="0.3">
      <c r="A102" s="2" t="s">
        <v>83</v>
      </c>
      <c r="B102" s="17" t="s">
        <v>909</v>
      </c>
      <c r="C102" s="13"/>
      <c r="D102" s="2"/>
      <c r="E102" s="2"/>
      <c r="F102" s="2">
        <v>2.4300000000000002</v>
      </c>
      <c r="G102" s="2" t="s">
        <v>80</v>
      </c>
      <c r="H102" s="9">
        <v>-1</v>
      </c>
      <c r="I102">
        <v>-1</v>
      </c>
      <c r="K102" s="2"/>
      <c r="L102" s="2"/>
      <c r="M102" s="2"/>
      <c r="N102" s="23">
        <v>0</v>
      </c>
      <c r="O102" s="2">
        <v>3.8740000000000001</v>
      </c>
      <c r="P102" s="2">
        <v>3.8740000000000001</v>
      </c>
      <c r="Q102" s="2">
        <v>32.945999999999998</v>
      </c>
      <c r="R102" s="2"/>
      <c r="S102" s="2"/>
      <c r="T102" s="23">
        <v>0</v>
      </c>
      <c r="U102" s="23"/>
      <c r="V102" s="23"/>
      <c r="W102" s="2">
        <v>1</v>
      </c>
      <c r="X102" s="2"/>
      <c r="Y102" s="2">
        <v>3</v>
      </c>
      <c r="Z102" s="2"/>
      <c r="AA102" s="2">
        <v>1</v>
      </c>
      <c r="AB102" s="2"/>
      <c r="AC102" s="2"/>
      <c r="AD102" s="2"/>
      <c r="AE102" s="2"/>
      <c r="AF102" s="2"/>
      <c r="AG102" s="2">
        <v>1</v>
      </c>
      <c r="AH102" s="2"/>
      <c r="AI102" s="2"/>
      <c r="AJ102" s="2"/>
      <c r="AO102">
        <v>20</v>
      </c>
      <c r="AP102" s="21">
        <v>0</v>
      </c>
      <c r="AQ102" s="21"/>
      <c r="AR102" s="28">
        <v>1.882352941176471</v>
      </c>
      <c r="AS102" s="28">
        <v>2.3529411764705879</v>
      </c>
      <c r="AT102" s="28">
        <v>0.56470588235294128</v>
      </c>
      <c r="AU102" s="28">
        <v>0</v>
      </c>
      <c r="AV102" s="28">
        <v>0.39215686274509798</v>
      </c>
      <c r="AW102" s="28">
        <v>0.49019607843137247</v>
      </c>
      <c r="AX102" s="28">
        <v>0.1176470588235294</v>
      </c>
      <c r="AY102" s="28">
        <v>0</v>
      </c>
      <c r="AZ102" s="25">
        <v>0.82</v>
      </c>
      <c r="BA102" s="25">
        <v>3.44</v>
      </c>
      <c r="BB102" s="25">
        <v>2.62</v>
      </c>
      <c r="BC102" s="25">
        <v>2.528</v>
      </c>
      <c r="BD102">
        <v>2.528</v>
      </c>
      <c r="BE102">
        <v>5.7034279969411772</v>
      </c>
    </row>
    <row r="103" spans="1:57" x14ac:dyDescent="0.3">
      <c r="A103" s="5" t="s">
        <v>84</v>
      </c>
      <c r="B103" s="17" t="s">
        <v>910</v>
      </c>
      <c r="C103" s="13"/>
      <c r="D103" s="2"/>
      <c r="E103" s="2"/>
      <c r="F103" s="2">
        <v>2.41</v>
      </c>
      <c r="G103" s="2" t="s">
        <v>80</v>
      </c>
      <c r="H103" s="9">
        <v>-1</v>
      </c>
      <c r="I103">
        <v>-1</v>
      </c>
      <c r="K103" s="2"/>
      <c r="L103" s="2"/>
      <c r="M103" s="2"/>
      <c r="N103" s="23">
        <v>0</v>
      </c>
      <c r="O103" s="2">
        <v>3.8759999999999999</v>
      </c>
      <c r="P103" s="2">
        <v>3.8759999999999999</v>
      </c>
      <c r="Q103" s="2">
        <f>AVERAGE(Q99:Q102)</f>
        <v>30.143249999999998</v>
      </c>
      <c r="R103" s="2"/>
      <c r="S103" s="2"/>
      <c r="T103" s="23">
        <v>0</v>
      </c>
      <c r="U103" s="23"/>
      <c r="V103" s="23"/>
      <c r="W103" s="2">
        <v>1</v>
      </c>
      <c r="X103" s="2"/>
      <c r="Y103" s="2">
        <v>3</v>
      </c>
      <c r="Z103" s="2"/>
      <c r="AA103" s="2">
        <v>1</v>
      </c>
      <c r="AB103" s="2"/>
      <c r="AC103" s="2"/>
      <c r="AD103" s="2"/>
      <c r="AE103" s="2"/>
      <c r="AF103" s="2"/>
      <c r="AG103" s="2">
        <v>1</v>
      </c>
      <c r="AH103" s="2"/>
      <c r="AI103" s="2"/>
      <c r="AJ103" s="2"/>
      <c r="AO103">
        <v>20</v>
      </c>
      <c r="AP103" s="21">
        <v>0</v>
      </c>
      <c r="AQ103" s="21"/>
      <c r="AR103" s="28">
        <v>1.882352941176471</v>
      </c>
      <c r="AS103" s="28">
        <v>2.3529411764705879</v>
      </c>
      <c r="AT103" s="28">
        <v>0.58823529411764708</v>
      </c>
      <c r="AU103" s="28">
        <v>0</v>
      </c>
      <c r="AV103" s="28">
        <v>0.3902439024390244</v>
      </c>
      <c r="AW103" s="28">
        <v>0.48780487804878048</v>
      </c>
      <c r="AX103" s="28">
        <v>0.12195121951219511</v>
      </c>
      <c r="AY103" s="28">
        <v>0</v>
      </c>
      <c r="AZ103" s="25">
        <v>0.82</v>
      </c>
      <c r="BA103" s="25">
        <v>3.44</v>
      </c>
      <c r="BB103" s="25">
        <v>2.62</v>
      </c>
      <c r="BC103" s="25">
        <v>2.5297058823529408</v>
      </c>
      <c r="BD103">
        <v>2.5297058823529408</v>
      </c>
      <c r="BE103">
        <v>5.7068163482352947</v>
      </c>
    </row>
    <row r="104" spans="1:57" x14ac:dyDescent="0.3">
      <c r="A104" s="2" t="s">
        <v>85</v>
      </c>
      <c r="B104" s="17" t="s">
        <v>911</v>
      </c>
      <c r="C104" s="13"/>
      <c r="D104" s="2"/>
      <c r="E104" s="2"/>
      <c r="F104" s="2">
        <v>3.06</v>
      </c>
      <c r="G104" s="2" t="s">
        <v>80</v>
      </c>
      <c r="H104" s="9">
        <v>-1</v>
      </c>
      <c r="I104">
        <v>-1</v>
      </c>
      <c r="K104" s="2"/>
      <c r="L104" s="2"/>
      <c r="M104" s="2"/>
      <c r="N104" s="23">
        <v>0</v>
      </c>
      <c r="O104" s="2">
        <v>3.8660000000000001</v>
      </c>
      <c r="P104" s="2">
        <v>3.8660000000000001</v>
      </c>
      <c r="Q104" s="2">
        <v>29.114000000000001</v>
      </c>
      <c r="R104" s="2"/>
      <c r="S104" s="2"/>
      <c r="T104" s="23">
        <v>0</v>
      </c>
      <c r="U104" s="23"/>
      <c r="V104" s="23"/>
      <c r="W104" s="2">
        <v>1</v>
      </c>
      <c r="X104" s="2"/>
      <c r="Y104" s="2">
        <v>3</v>
      </c>
      <c r="Z104" s="2"/>
      <c r="AA104" s="2">
        <v>1</v>
      </c>
      <c r="AB104" s="2"/>
      <c r="AC104" s="2"/>
      <c r="AD104" s="2"/>
      <c r="AE104" s="2"/>
      <c r="AF104" s="2"/>
      <c r="AG104" s="2">
        <v>1</v>
      </c>
      <c r="AH104" s="2"/>
      <c r="AI104" s="2"/>
      <c r="AJ104" s="2"/>
      <c r="AO104">
        <v>20</v>
      </c>
      <c r="AP104" s="21">
        <v>0</v>
      </c>
      <c r="AQ104" s="21"/>
      <c r="AR104" s="28">
        <v>1.882352941176471</v>
      </c>
      <c r="AS104" s="28">
        <v>2.3529411764705879</v>
      </c>
      <c r="AT104" s="28">
        <v>0.49411764705882361</v>
      </c>
      <c r="AU104" s="28">
        <v>0.1647058823529412</v>
      </c>
      <c r="AV104" s="28">
        <v>0.38461538461538458</v>
      </c>
      <c r="AW104" s="28">
        <v>0.48076923076923073</v>
      </c>
      <c r="AX104" s="28">
        <v>0.10096153846153851</v>
      </c>
      <c r="AY104" s="28">
        <v>3.3653846153846159E-2</v>
      </c>
      <c r="AZ104" s="25">
        <v>0.82</v>
      </c>
      <c r="BA104" s="25">
        <v>3.44</v>
      </c>
      <c r="BB104" s="25">
        <v>2.62</v>
      </c>
      <c r="BC104" s="25">
        <v>2.530823529411764</v>
      </c>
      <c r="BD104">
        <v>2.5308235294117649</v>
      </c>
      <c r="BE104">
        <v>5.7003253741176483</v>
      </c>
    </row>
    <row r="105" spans="1:57" x14ac:dyDescent="0.3">
      <c r="A105" s="2" t="s">
        <v>86</v>
      </c>
      <c r="B105" s="17" t="s">
        <v>912</v>
      </c>
      <c r="C105" s="13"/>
      <c r="D105" s="2"/>
      <c r="E105" s="2"/>
      <c r="F105" s="2">
        <v>2.12</v>
      </c>
      <c r="G105" s="2" t="s">
        <v>80</v>
      </c>
      <c r="H105" s="9">
        <v>-1</v>
      </c>
      <c r="I105">
        <v>-1</v>
      </c>
      <c r="K105" s="2"/>
      <c r="L105" s="2"/>
      <c r="M105" s="2"/>
      <c r="N105" s="23">
        <v>0</v>
      </c>
      <c r="O105" s="2">
        <v>3.8570000000000002</v>
      </c>
      <c r="P105" s="2">
        <v>3.8570000000000002</v>
      </c>
      <c r="Q105" s="2">
        <v>29.533999999999999</v>
      </c>
      <c r="R105" s="2"/>
      <c r="S105" s="2"/>
      <c r="T105" s="23">
        <v>0</v>
      </c>
      <c r="U105" s="25"/>
      <c r="V105" s="25"/>
      <c r="W105" s="2">
        <v>1</v>
      </c>
      <c r="X105" s="2"/>
      <c r="Y105" s="2">
        <v>3</v>
      </c>
      <c r="Z105" s="2"/>
      <c r="AA105" s="2">
        <v>1</v>
      </c>
      <c r="AB105" s="2"/>
      <c r="AC105" s="2"/>
      <c r="AD105" s="2"/>
      <c r="AE105" s="2"/>
      <c r="AF105" s="2"/>
      <c r="AG105" s="2">
        <v>1</v>
      </c>
      <c r="AH105" s="2"/>
      <c r="AI105" s="2"/>
      <c r="AJ105" s="2"/>
      <c r="AO105">
        <v>20</v>
      </c>
      <c r="AP105" s="21">
        <v>0</v>
      </c>
      <c r="AQ105" s="25"/>
      <c r="AR105" s="28">
        <v>1.882352941176471</v>
      </c>
      <c r="AS105" s="28">
        <v>2.3529411764705879</v>
      </c>
      <c r="AT105" s="28">
        <v>0.54117647058823526</v>
      </c>
      <c r="AU105" s="28">
        <v>0</v>
      </c>
      <c r="AV105" s="28">
        <v>0.39408866995073888</v>
      </c>
      <c r="AW105" s="28">
        <v>0.49261083743842371</v>
      </c>
      <c r="AX105" s="28">
        <v>0.1133004926108374</v>
      </c>
      <c r="AY105" s="28">
        <v>0</v>
      </c>
      <c r="AZ105" s="25">
        <v>0.82</v>
      </c>
      <c r="BA105" s="25">
        <v>3.44</v>
      </c>
      <c r="BB105" s="25">
        <v>2.62</v>
      </c>
      <c r="BC105" s="25">
        <v>2.525529411764706</v>
      </c>
      <c r="BD105">
        <v>2.525529411764706</v>
      </c>
      <c r="BE105">
        <v>5.7010120870588246</v>
      </c>
    </row>
    <row r="106" spans="1:57" x14ac:dyDescent="0.3">
      <c r="A106" s="2" t="s">
        <v>87</v>
      </c>
      <c r="B106" s="17" t="s">
        <v>743</v>
      </c>
      <c r="C106" s="13"/>
      <c r="D106" s="2"/>
      <c r="E106" s="2"/>
      <c r="F106" s="2">
        <v>3.9</v>
      </c>
      <c r="G106" s="2" t="s">
        <v>89</v>
      </c>
      <c r="H106" s="9">
        <v>-1</v>
      </c>
      <c r="I106">
        <v>-1</v>
      </c>
      <c r="J106" t="s">
        <v>1162</v>
      </c>
      <c r="K106" s="2"/>
      <c r="L106" s="2"/>
      <c r="M106" s="2"/>
      <c r="N106" s="23">
        <v>0</v>
      </c>
      <c r="O106" s="2">
        <v>3.9037999999999999</v>
      </c>
      <c r="P106" s="2">
        <v>3.9037999999999999</v>
      </c>
      <c r="Q106" s="2">
        <v>9.7742000000000004</v>
      </c>
      <c r="R106" s="2" t="s">
        <v>439</v>
      </c>
      <c r="S106" s="2"/>
      <c r="T106" s="23">
        <v>0</v>
      </c>
      <c r="U106" s="23"/>
      <c r="V106" s="23"/>
      <c r="W106" s="2">
        <v>1</v>
      </c>
      <c r="X106" s="2"/>
      <c r="Y106" s="2">
        <v>3</v>
      </c>
      <c r="Z106" s="2">
        <v>4</v>
      </c>
      <c r="AA106" s="2">
        <f>385*2</f>
        <v>770</v>
      </c>
      <c r="AB106" s="2" t="s">
        <v>482</v>
      </c>
      <c r="AC106" s="2"/>
      <c r="AD106" s="2"/>
      <c r="AE106" s="2"/>
      <c r="AF106" s="2"/>
      <c r="AG106" s="2">
        <v>1</v>
      </c>
      <c r="AH106" s="2"/>
      <c r="AI106" s="2"/>
      <c r="AJ106" s="2"/>
      <c r="AO106">
        <v>14</v>
      </c>
      <c r="AP106" s="21">
        <v>0</v>
      </c>
      <c r="AQ106" s="21"/>
      <c r="AR106" s="28">
        <v>1.833333333333333</v>
      </c>
      <c r="AS106" s="28">
        <v>2.333333333333333</v>
      </c>
      <c r="AT106" s="28">
        <v>0.5</v>
      </c>
      <c r="AU106" s="28">
        <v>2.333333333333333</v>
      </c>
      <c r="AV106" s="28">
        <v>0.26190476190476192</v>
      </c>
      <c r="AW106" s="28">
        <v>0.33333333333333343</v>
      </c>
      <c r="AX106" s="28">
        <v>7.1428571428571425E-2</v>
      </c>
      <c r="AY106" s="28">
        <v>0.33333333333333343</v>
      </c>
      <c r="AZ106" s="25">
        <v>0.95</v>
      </c>
      <c r="BA106" s="25">
        <v>3.44</v>
      </c>
      <c r="BB106" s="25">
        <v>2.4900000000000002</v>
      </c>
      <c r="BC106" s="25">
        <v>2.7024999999999988</v>
      </c>
      <c r="BD106">
        <v>2.7025000000000001</v>
      </c>
      <c r="BE106">
        <v>6.4896876145585001</v>
      </c>
    </row>
    <row r="107" spans="1:57" x14ac:dyDescent="0.3">
      <c r="A107" s="2" t="s">
        <v>88</v>
      </c>
      <c r="B107" s="13" t="s">
        <v>741</v>
      </c>
      <c r="C107" s="13"/>
      <c r="D107" s="2"/>
      <c r="E107" s="2"/>
      <c r="F107" s="2">
        <v>3.9</v>
      </c>
      <c r="G107" s="2" t="s">
        <v>89</v>
      </c>
      <c r="H107" s="9" t="s">
        <v>562</v>
      </c>
      <c r="I107" t="s">
        <v>640</v>
      </c>
      <c r="K107" s="2"/>
      <c r="L107" s="2"/>
      <c r="M107" s="2"/>
      <c r="N107" s="23">
        <v>1</v>
      </c>
      <c r="O107" s="1">
        <v>3.847</v>
      </c>
      <c r="P107" s="1">
        <v>3.847</v>
      </c>
      <c r="Q107" s="1">
        <v>18.109400000000001</v>
      </c>
      <c r="R107" s="1" t="s">
        <v>440</v>
      </c>
      <c r="S107" s="1"/>
      <c r="T107" s="23">
        <v>3.9407006600000001</v>
      </c>
      <c r="U107" s="23">
        <v>3.94070016</v>
      </c>
      <c r="V107" s="23">
        <v>9.4498532300000004</v>
      </c>
      <c r="W107" s="2">
        <v>1</v>
      </c>
      <c r="X107" s="2"/>
      <c r="Y107" s="2">
        <v>3</v>
      </c>
      <c r="Z107" s="2">
        <v>0.2</v>
      </c>
      <c r="AA107" s="2">
        <v>29.8</v>
      </c>
      <c r="AB107" s="2"/>
      <c r="AC107" s="2"/>
      <c r="AD107" s="2"/>
      <c r="AE107" s="2"/>
      <c r="AF107" s="2"/>
      <c r="AG107" s="2">
        <v>1</v>
      </c>
      <c r="AH107" s="2"/>
      <c r="AI107" s="2"/>
      <c r="AJ107" s="2"/>
      <c r="AO107">
        <v>14</v>
      </c>
      <c r="AP107" s="21">
        <v>140.22301532111419</v>
      </c>
      <c r="AQ107" s="21">
        <v>9.984095669273442E-2</v>
      </c>
      <c r="AR107" s="28">
        <v>1.833333333333333</v>
      </c>
      <c r="AS107" s="28">
        <v>2.333333333333333</v>
      </c>
      <c r="AT107" s="28">
        <v>0.5</v>
      </c>
      <c r="AU107" s="28">
        <v>2.333333333333333</v>
      </c>
      <c r="AV107" s="28">
        <v>0.26190476190476192</v>
      </c>
      <c r="AW107" s="28">
        <v>0.33333333333333343</v>
      </c>
      <c r="AX107" s="28">
        <v>7.1428571428571425E-2</v>
      </c>
      <c r="AY107" s="28">
        <v>0.33333333333333343</v>
      </c>
      <c r="AZ107" s="25">
        <v>0.95</v>
      </c>
      <c r="BA107" s="25">
        <v>3.44</v>
      </c>
      <c r="BB107" s="25">
        <v>2.4900000000000002</v>
      </c>
      <c r="BC107" s="25">
        <v>2.499166666666667</v>
      </c>
      <c r="BD107">
        <v>2.499166666666667</v>
      </c>
      <c r="BE107">
        <v>5.7944152492500001</v>
      </c>
    </row>
    <row r="108" spans="1:57" x14ac:dyDescent="0.3">
      <c r="A108" s="2" t="s">
        <v>856</v>
      </c>
      <c r="B108" s="17" t="s">
        <v>913</v>
      </c>
      <c r="C108" s="13"/>
      <c r="D108" s="2"/>
      <c r="E108" s="2"/>
      <c r="F108" s="2">
        <v>3.9</v>
      </c>
      <c r="G108" s="2" t="s">
        <v>89</v>
      </c>
      <c r="H108" s="9">
        <v>-1</v>
      </c>
      <c r="I108">
        <v>-1</v>
      </c>
      <c r="K108" s="2"/>
      <c r="L108" s="2"/>
      <c r="M108" s="2"/>
      <c r="N108" s="23">
        <v>0</v>
      </c>
      <c r="O108" s="2">
        <v>3.9973999999999998</v>
      </c>
      <c r="P108" s="2">
        <v>3.9973999999999998</v>
      </c>
      <c r="Q108" s="2">
        <v>12.132999999999999</v>
      </c>
      <c r="R108" s="2" t="s">
        <v>439</v>
      </c>
      <c r="S108" s="2"/>
      <c r="T108" s="23">
        <v>0</v>
      </c>
      <c r="U108" s="23"/>
      <c r="V108" s="23"/>
      <c r="W108" s="2">
        <v>1</v>
      </c>
      <c r="X108" s="2"/>
      <c r="Y108" s="2">
        <v>3</v>
      </c>
      <c r="Z108" s="2">
        <v>1.1000000000000001</v>
      </c>
      <c r="AA108" s="2">
        <f>374*2</f>
        <v>748</v>
      </c>
      <c r="AB108" s="2"/>
      <c r="AC108" s="2"/>
      <c r="AD108" s="2"/>
      <c r="AE108" s="2"/>
      <c r="AF108" s="2"/>
      <c r="AG108" s="2">
        <v>1</v>
      </c>
      <c r="AH108" s="2"/>
      <c r="AI108" s="2"/>
      <c r="AJ108" s="2"/>
      <c r="AO108">
        <v>14</v>
      </c>
      <c r="AP108" s="21">
        <v>0</v>
      </c>
      <c r="AQ108" s="21"/>
      <c r="AR108" s="28">
        <v>1.833333333333333</v>
      </c>
      <c r="AS108" s="28">
        <v>2.333333333333333</v>
      </c>
      <c r="AT108" s="28">
        <v>0.5</v>
      </c>
      <c r="AU108" s="28">
        <v>2.333333333333333</v>
      </c>
      <c r="AV108" s="28">
        <v>0.26190476190476192</v>
      </c>
      <c r="AW108" s="28">
        <v>0.33333333333333343</v>
      </c>
      <c r="AX108" s="28">
        <v>7.1428571428571425E-2</v>
      </c>
      <c r="AY108" s="28">
        <v>0.33333333333333343</v>
      </c>
      <c r="AZ108" s="25">
        <v>0.82</v>
      </c>
      <c r="BA108" s="25">
        <v>3.44</v>
      </c>
      <c r="BB108" s="25">
        <v>2.62</v>
      </c>
      <c r="BC108" s="25">
        <v>2.4725000000000001</v>
      </c>
      <c r="BD108">
        <v>2.4725000000000001</v>
      </c>
      <c r="BE108">
        <v>5.697111802916667</v>
      </c>
    </row>
    <row r="109" spans="1:57" x14ac:dyDescent="0.3">
      <c r="A109" s="2" t="s">
        <v>857</v>
      </c>
      <c r="B109" s="17" t="s">
        <v>914</v>
      </c>
      <c r="C109" s="13"/>
      <c r="D109" s="2"/>
      <c r="E109" s="2"/>
      <c r="F109" s="2">
        <v>3.9</v>
      </c>
      <c r="G109" s="2" t="s">
        <v>89</v>
      </c>
      <c r="H109" s="9">
        <v>-1</v>
      </c>
      <c r="I109">
        <v>-1</v>
      </c>
      <c r="K109" s="2"/>
      <c r="L109" s="2"/>
      <c r="M109" s="2"/>
      <c r="N109" s="23">
        <v>0</v>
      </c>
      <c r="O109" s="2">
        <v>3.9727000000000001</v>
      </c>
      <c r="P109" s="2">
        <v>3.9727000000000001</v>
      </c>
      <c r="Q109" s="2">
        <v>12.763199999999999</v>
      </c>
      <c r="R109" s="2" t="s">
        <v>439</v>
      </c>
      <c r="S109" s="2"/>
      <c r="T109" s="23">
        <v>0</v>
      </c>
      <c r="U109" s="23"/>
      <c r="V109" s="23"/>
      <c r="W109" s="2">
        <v>1</v>
      </c>
      <c r="X109" s="2"/>
      <c r="Y109" s="2">
        <v>3</v>
      </c>
      <c r="Z109" s="2">
        <v>1.6</v>
      </c>
      <c r="AA109" s="2">
        <v>176</v>
      </c>
      <c r="AB109" s="2"/>
      <c r="AC109" s="2"/>
      <c r="AD109" s="2"/>
      <c r="AE109" s="2"/>
      <c r="AF109" s="2"/>
      <c r="AG109" s="2">
        <v>1</v>
      </c>
      <c r="AH109" s="2"/>
      <c r="AI109" s="2"/>
      <c r="AJ109" s="2"/>
      <c r="AO109">
        <v>14</v>
      </c>
      <c r="AP109" s="21">
        <v>0</v>
      </c>
      <c r="AQ109" s="21"/>
      <c r="AR109" s="28">
        <v>1.833333333333333</v>
      </c>
      <c r="AS109" s="28">
        <v>2.333333333333333</v>
      </c>
      <c r="AT109" s="28">
        <v>0.5</v>
      </c>
      <c r="AU109" s="28">
        <v>2.333333333333333</v>
      </c>
      <c r="AV109" s="28">
        <v>0.26190476190476192</v>
      </c>
      <c r="AW109" s="28">
        <v>0.33333333333333343</v>
      </c>
      <c r="AX109" s="28">
        <v>7.1428571428571425E-2</v>
      </c>
      <c r="AY109" s="28">
        <v>0.33333333333333343</v>
      </c>
      <c r="AZ109" s="25">
        <v>0.82</v>
      </c>
      <c r="BA109" s="25">
        <v>3.44</v>
      </c>
      <c r="BB109" s="25">
        <v>2.62</v>
      </c>
      <c r="BC109" s="25">
        <v>2.4725000000000001</v>
      </c>
      <c r="BD109">
        <v>2.4725000000000001</v>
      </c>
      <c r="BE109">
        <v>5.6821885904166667</v>
      </c>
    </row>
    <row r="110" spans="1:57" x14ac:dyDescent="0.3">
      <c r="A110" s="2" t="s">
        <v>27</v>
      </c>
      <c r="B110" s="13" t="s">
        <v>742</v>
      </c>
      <c r="C110" s="13"/>
      <c r="D110" s="2"/>
      <c r="E110" s="2"/>
      <c r="F110" s="2">
        <v>3.6</v>
      </c>
      <c r="G110" s="2" t="s">
        <v>89</v>
      </c>
      <c r="H110" s="9" t="s">
        <v>563</v>
      </c>
      <c r="I110" t="s">
        <v>641</v>
      </c>
      <c r="K110" s="2"/>
      <c r="L110" s="2"/>
      <c r="M110" s="2"/>
      <c r="N110" s="23">
        <v>1</v>
      </c>
      <c r="O110" s="2"/>
      <c r="P110" s="2"/>
      <c r="Q110"/>
      <c r="R110" s="2"/>
      <c r="S110" s="2"/>
      <c r="T110" s="23">
        <v>3.9948813699999999</v>
      </c>
      <c r="U110" s="23">
        <v>3.9948813699999999</v>
      </c>
      <c r="V110" s="23">
        <v>3.9948813699999999</v>
      </c>
      <c r="W110" s="2"/>
      <c r="X110" s="2"/>
      <c r="Y110" s="2"/>
      <c r="Z110" s="2">
        <v>1.5</v>
      </c>
      <c r="AA110" s="2">
        <f>24.7*2</f>
        <v>49.4</v>
      </c>
      <c r="AB110" s="2"/>
      <c r="AC110" s="2"/>
      <c r="AD110" s="2"/>
      <c r="AE110" s="2"/>
      <c r="AF110" s="2"/>
      <c r="AG110" s="2">
        <v>1</v>
      </c>
      <c r="AH110" s="2"/>
      <c r="AI110" s="2"/>
      <c r="AJ110" s="2"/>
      <c r="AO110">
        <v>6</v>
      </c>
      <c r="AP110" s="21">
        <v>63.754620030366901</v>
      </c>
      <c r="AQ110" s="21">
        <v>9.4110826747020773E-2</v>
      </c>
      <c r="AR110" s="28">
        <v>1.8</v>
      </c>
      <c r="AS110" s="28">
        <v>2.4</v>
      </c>
      <c r="AT110" s="28">
        <v>0.6</v>
      </c>
      <c r="AU110" s="28">
        <v>2.8</v>
      </c>
      <c r="AV110" s="28">
        <v>0.23684210526315791</v>
      </c>
      <c r="AW110" s="28">
        <v>0.31578947368421051</v>
      </c>
      <c r="AX110" s="28">
        <v>7.8947368421052627E-2</v>
      </c>
      <c r="AY110" s="28">
        <v>0.36842105263157893</v>
      </c>
      <c r="AZ110" s="25">
        <v>0.82</v>
      </c>
      <c r="BA110" s="25">
        <v>3.44</v>
      </c>
      <c r="BB110" s="25">
        <v>2.62</v>
      </c>
      <c r="BC110" s="25">
        <v>2.528</v>
      </c>
      <c r="BD110">
        <v>2.528</v>
      </c>
      <c r="BE110">
        <v>5.7952294759999994</v>
      </c>
    </row>
    <row r="111" spans="1:57" x14ac:dyDescent="0.3">
      <c r="A111" s="2" t="s">
        <v>864</v>
      </c>
      <c r="B111" s="13" t="s">
        <v>861</v>
      </c>
      <c r="C111" s="13"/>
      <c r="D111" s="2"/>
      <c r="E111" s="2"/>
      <c r="F111" s="2">
        <v>4</v>
      </c>
      <c r="G111" s="2" t="s">
        <v>91</v>
      </c>
      <c r="H111" s="9">
        <v>-1</v>
      </c>
      <c r="I111">
        <v>-1</v>
      </c>
      <c r="K111" s="2"/>
      <c r="L111" s="2"/>
      <c r="M111" s="2"/>
      <c r="N111" s="23">
        <v>0</v>
      </c>
      <c r="O111" s="2">
        <v>3.9607999999999999</v>
      </c>
      <c r="P111" s="2">
        <v>3.9607999999999999</v>
      </c>
      <c r="Q111" s="2">
        <v>21.8126</v>
      </c>
      <c r="R111" s="2" t="s">
        <v>440</v>
      </c>
      <c r="S111" s="2"/>
      <c r="T111" s="23">
        <v>0</v>
      </c>
      <c r="U111" s="23"/>
      <c r="V111" s="23"/>
      <c r="W111" s="2">
        <v>1</v>
      </c>
      <c r="X111" s="2"/>
      <c r="Y111" s="2"/>
      <c r="Z111" s="2">
        <v>3.7</v>
      </c>
      <c r="AA111" s="2">
        <f>146*2</f>
        <v>292</v>
      </c>
      <c r="AB111" s="2" t="s">
        <v>482</v>
      </c>
      <c r="AC111" s="2"/>
      <c r="AD111" s="2"/>
      <c r="AE111" s="2"/>
      <c r="AF111" s="2"/>
      <c r="AG111" s="2">
        <v>1</v>
      </c>
      <c r="AH111" s="2"/>
      <c r="AI111" s="2"/>
      <c r="AJ111" s="2"/>
      <c r="AO111">
        <v>42</v>
      </c>
      <c r="AP111" s="21">
        <v>0</v>
      </c>
      <c r="AQ111" s="21"/>
      <c r="AR111" s="28">
        <v>1.828571428571429</v>
      </c>
      <c r="AS111" s="28">
        <v>2.4</v>
      </c>
      <c r="AT111" s="28">
        <v>0.5714285714285714</v>
      </c>
      <c r="AU111" s="28">
        <v>2.4</v>
      </c>
      <c r="AV111" s="28">
        <v>0.25396825396825401</v>
      </c>
      <c r="AW111" s="28">
        <v>0.33333333333333331</v>
      </c>
      <c r="AX111" s="28">
        <v>7.9365079365079361E-2</v>
      </c>
      <c r="AY111" s="28">
        <v>0.33333333333333331</v>
      </c>
      <c r="AZ111" s="25">
        <v>0.82</v>
      </c>
      <c r="BA111" s="25">
        <v>3.44</v>
      </c>
      <c r="BB111" s="25">
        <v>2.62</v>
      </c>
      <c r="BC111" s="25">
        <v>2.524571428571428</v>
      </c>
      <c r="BD111">
        <v>2.524571428571428</v>
      </c>
      <c r="BE111">
        <v>5.7888591694285711</v>
      </c>
    </row>
    <row r="112" spans="1:57" x14ac:dyDescent="0.3">
      <c r="A112" s="2" t="s">
        <v>865</v>
      </c>
      <c r="B112" s="13" t="s">
        <v>862</v>
      </c>
      <c r="C112" s="13"/>
      <c r="D112" s="2"/>
      <c r="E112" s="2"/>
      <c r="F112" s="2">
        <v>4</v>
      </c>
      <c r="G112" s="2" t="s">
        <v>91</v>
      </c>
      <c r="H112" s="9">
        <v>-1</v>
      </c>
      <c r="I112">
        <v>-1</v>
      </c>
      <c r="K112" s="2"/>
      <c r="L112" s="2"/>
      <c r="M112" s="2"/>
      <c r="N112" s="23">
        <v>0</v>
      </c>
      <c r="O112" s="2">
        <v>3.9483999999999999</v>
      </c>
      <c r="P112" s="2">
        <v>3.9483999999999999</v>
      </c>
      <c r="Q112" s="2">
        <v>9.7742000000000004</v>
      </c>
      <c r="R112" s="2" t="s">
        <v>439</v>
      </c>
      <c r="S112" s="2"/>
      <c r="T112" s="23">
        <v>0</v>
      </c>
      <c r="U112" s="23"/>
      <c r="V112" s="23"/>
      <c r="W112" s="2">
        <v>1</v>
      </c>
      <c r="X112" s="2"/>
      <c r="Y112" s="2"/>
      <c r="Z112" s="2">
        <v>7.8</v>
      </c>
      <c r="AA112" s="2">
        <f>158*2</f>
        <v>316</v>
      </c>
      <c r="AB112" s="2"/>
      <c r="AC112" s="2"/>
      <c r="AD112" s="2"/>
      <c r="AE112" s="2"/>
      <c r="AF112" s="2"/>
      <c r="AG112" s="2">
        <v>1</v>
      </c>
      <c r="AH112" s="2"/>
      <c r="AI112" s="2"/>
      <c r="AJ112" s="2"/>
      <c r="AO112">
        <v>42</v>
      </c>
      <c r="AP112" s="21">
        <v>0</v>
      </c>
      <c r="AQ112" s="21"/>
      <c r="AR112" s="28">
        <v>1.828571428571429</v>
      </c>
      <c r="AS112" s="28">
        <v>2.4</v>
      </c>
      <c r="AT112" s="28">
        <v>0.5714285714285714</v>
      </c>
      <c r="AU112" s="28">
        <v>2.4</v>
      </c>
      <c r="AV112" s="28">
        <v>0.25396825396825401</v>
      </c>
      <c r="AW112" s="28">
        <v>0.33333333333333331</v>
      </c>
      <c r="AX112" s="28">
        <v>7.9365079365079361E-2</v>
      </c>
      <c r="AY112" s="28">
        <v>0.33333333333333331</v>
      </c>
      <c r="AZ112" s="25">
        <v>1.1000000000000001</v>
      </c>
      <c r="BA112" s="25">
        <v>3.44</v>
      </c>
      <c r="BB112" s="25">
        <v>2.34</v>
      </c>
      <c r="BC112" s="25">
        <v>2.7611428571428571</v>
      </c>
      <c r="BD112">
        <v>2.7611428571428571</v>
      </c>
      <c r="BE112">
        <v>6.6040800042601706</v>
      </c>
    </row>
    <row r="113" spans="1:57" x14ac:dyDescent="0.3">
      <c r="A113" s="2" t="s">
        <v>858</v>
      </c>
      <c r="B113" s="13" t="s">
        <v>859</v>
      </c>
      <c r="C113" s="13"/>
      <c r="D113" s="2"/>
      <c r="E113" s="2"/>
      <c r="F113" s="2">
        <v>4</v>
      </c>
      <c r="G113" s="2" t="s">
        <v>91</v>
      </c>
      <c r="H113" s="9" t="s">
        <v>860</v>
      </c>
      <c r="I113">
        <v>1540895</v>
      </c>
      <c r="K113" s="2"/>
      <c r="L113" s="2"/>
      <c r="M113" s="2"/>
      <c r="N113" s="23">
        <v>0</v>
      </c>
      <c r="O113" s="2"/>
      <c r="P113" s="2"/>
      <c r="Q113" s="2"/>
      <c r="R113" s="2"/>
      <c r="S113" s="2"/>
      <c r="T113" s="23">
        <v>0</v>
      </c>
      <c r="U113" s="23"/>
      <c r="V113" s="23"/>
      <c r="W113" s="2">
        <v>1</v>
      </c>
      <c r="X113" s="2"/>
      <c r="Y113" s="2"/>
      <c r="Z113" s="2">
        <v>3.3</v>
      </c>
      <c r="AA113" s="2">
        <f>70</f>
        <v>70</v>
      </c>
      <c r="AB113" s="2"/>
      <c r="AC113" s="2"/>
      <c r="AD113" s="2"/>
      <c r="AE113" s="2"/>
      <c r="AF113" s="2"/>
      <c r="AG113" s="2">
        <v>1</v>
      </c>
      <c r="AH113" s="2"/>
      <c r="AI113" s="2"/>
      <c r="AJ113" s="2"/>
      <c r="AO113">
        <v>18</v>
      </c>
      <c r="AP113" s="21">
        <v>0</v>
      </c>
      <c r="AQ113" s="21"/>
      <c r="AR113" s="28">
        <v>2</v>
      </c>
      <c r="AS113" s="28">
        <v>2.7692307692307692</v>
      </c>
      <c r="AT113" s="28">
        <v>0.76923076923076927</v>
      </c>
      <c r="AU113" s="28">
        <v>3.2307692307692308</v>
      </c>
      <c r="AV113" s="28">
        <v>0.22807017543859651</v>
      </c>
      <c r="AW113" s="28">
        <v>0.31578947368421051</v>
      </c>
      <c r="AX113" s="28">
        <v>8.771929824561403E-2</v>
      </c>
      <c r="AY113" s="28">
        <v>0.36842105263157893</v>
      </c>
      <c r="AZ113" s="25">
        <v>1.1000000000000001</v>
      </c>
      <c r="BA113" s="25">
        <v>3.44</v>
      </c>
      <c r="BB113" s="25">
        <v>2.34</v>
      </c>
      <c r="BC113" s="25">
        <v>2.8123076923076931</v>
      </c>
      <c r="BD113">
        <v>2.8123076923076931</v>
      </c>
      <c r="BE113">
        <v>6.3640369961538461</v>
      </c>
    </row>
    <row r="114" spans="1:57" x14ac:dyDescent="0.3">
      <c r="A114" s="2" t="s">
        <v>87</v>
      </c>
      <c r="B114" s="13" t="s">
        <v>743</v>
      </c>
      <c r="C114" s="13"/>
      <c r="D114" s="2"/>
      <c r="E114" s="2"/>
      <c r="F114" s="2">
        <v>3.9</v>
      </c>
      <c r="G114" s="2" t="s">
        <v>91</v>
      </c>
      <c r="H114" s="9" t="s">
        <v>564</v>
      </c>
      <c r="I114">
        <v>-1</v>
      </c>
      <c r="K114" s="2"/>
      <c r="L114" s="2"/>
      <c r="M114" s="2"/>
      <c r="N114" s="23">
        <v>1</v>
      </c>
      <c r="O114" s="2"/>
      <c r="P114" s="2"/>
      <c r="Q114"/>
      <c r="R114" s="2"/>
      <c r="S114" s="2"/>
      <c r="T114" s="23">
        <v>9.9051542599999998</v>
      </c>
      <c r="U114" s="23">
        <v>9.9051542599999998</v>
      </c>
      <c r="V114" s="23">
        <v>9.9051542599999998</v>
      </c>
      <c r="W114" s="2">
        <v>1</v>
      </c>
      <c r="X114" s="2"/>
      <c r="Y114" s="2"/>
      <c r="Z114" s="2">
        <v>4</v>
      </c>
      <c r="AA114" s="2">
        <f>385*2</f>
        <v>770</v>
      </c>
      <c r="AB114" s="2"/>
      <c r="AC114" s="2"/>
      <c r="AD114" s="2"/>
      <c r="AE114" s="2"/>
      <c r="AF114" s="2"/>
      <c r="AG114" s="2">
        <v>1</v>
      </c>
      <c r="AH114" s="2"/>
      <c r="AI114" s="2"/>
      <c r="AJ114" s="2"/>
      <c r="AO114">
        <v>14</v>
      </c>
      <c r="AP114" s="21">
        <v>150.75696951344321</v>
      </c>
      <c r="AQ114" s="21">
        <v>9.2864695046497372E-2</v>
      </c>
      <c r="AR114" s="28">
        <v>1.833333333333333</v>
      </c>
      <c r="AS114" s="28">
        <v>2.333333333333333</v>
      </c>
      <c r="AT114" s="28">
        <v>0.5</v>
      </c>
      <c r="AU114" s="28">
        <v>2.333333333333333</v>
      </c>
      <c r="AV114" s="28">
        <v>0.26190476190476192</v>
      </c>
      <c r="AW114" s="28">
        <v>0.33333333333333343</v>
      </c>
      <c r="AX114" s="28">
        <v>7.1428571428571425E-2</v>
      </c>
      <c r="AY114" s="28">
        <v>0.33333333333333343</v>
      </c>
      <c r="AZ114" s="25">
        <v>0.95</v>
      </c>
      <c r="BA114" s="25">
        <v>3.44</v>
      </c>
      <c r="BB114" s="25">
        <v>2.4900000000000002</v>
      </c>
      <c r="BC114" s="25">
        <v>2.7024999999999988</v>
      </c>
      <c r="BD114">
        <v>2.7025000000000001</v>
      </c>
      <c r="BE114">
        <v>6.4896876145585001</v>
      </c>
    </row>
    <row r="115" spans="1:57" x14ac:dyDescent="0.3">
      <c r="A115" s="2" t="s">
        <v>92</v>
      </c>
      <c r="B115" s="17" t="s">
        <v>915</v>
      </c>
      <c r="C115" s="13"/>
      <c r="D115" s="2"/>
      <c r="E115" s="2"/>
      <c r="F115" s="2">
        <v>4.0999999999999996</v>
      </c>
      <c r="G115" s="2" t="s">
        <v>93</v>
      </c>
      <c r="H115" s="9">
        <v>-1</v>
      </c>
      <c r="I115">
        <v>-1</v>
      </c>
      <c r="K115" s="2"/>
      <c r="L115" s="2"/>
      <c r="M115" s="2"/>
      <c r="N115" s="23">
        <v>0</v>
      </c>
      <c r="O115" s="2">
        <v>3.9499</v>
      </c>
      <c r="P115" s="2">
        <v>3.9499</v>
      </c>
      <c r="Q115" s="2">
        <v>17.030999999999999</v>
      </c>
      <c r="R115" s="2" t="s">
        <v>439</v>
      </c>
      <c r="S115" s="2"/>
      <c r="T115" s="23">
        <v>0</v>
      </c>
      <c r="U115" s="23"/>
      <c r="V115" s="23"/>
      <c r="W115" s="2">
        <v>1</v>
      </c>
      <c r="X115" s="2"/>
      <c r="Y115" s="2"/>
      <c r="Z115" s="2"/>
      <c r="AA115" s="2"/>
      <c r="AB115" s="2" t="s">
        <v>483</v>
      </c>
      <c r="AC115" s="2"/>
      <c r="AD115" s="2"/>
      <c r="AE115" s="2"/>
      <c r="AF115" s="2"/>
      <c r="AG115" s="2">
        <v>1</v>
      </c>
      <c r="AH115" s="2"/>
      <c r="AI115" s="2"/>
      <c r="AJ115" s="2"/>
      <c r="AO115">
        <v>20</v>
      </c>
      <c r="AP115" s="21">
        <v>0</v>
      </c>
      <c r="AQ115" s="21"/>
      <c r="AR115" s="28">
        <v>1.8787878787878789</v>
      </c>
      <c r="AS115" s="28">
        <v>2.4242424242424239</v>
      </c>
      <c r="AT115" s="28">
        <v>0.54545454545454541</v>
      </c>
      <c r="AU115" s="28">
        <v>2.545454545454545</v>
      </c>
      <c r="AV115" s="28">
        <v>0.25409836065573771</v>
      </c>
      <c r="AW115" s="28">
        <v>0.32786885245901642</v>
      </c>
      <c r="AX115" s="28">
        <v>7.3770491803278687E-2</v>
      </c>
      <c r="AY115" s="28">
        <v>0.34426229508196721</v>
      </c>
      <c r="AZ115" s="25">
        <v>0.82</v>
      </c>
      <c r="BA115" s="25">
        <v>3.44</v>
      </c>
      <c r="BB115" s="25">
        <v>2.62</v>
      </c>
      <c r="BC115" s="25">
        <v>2.543333333333333</v>
      </c>
      <c r="BD115">
        <v>2.5433333333333339</v>
      </c>
      <c r="BE115">
        <v>5.8398279362121217</v>
      </c>
    </row>
    <row r="116" spans="1:57" x14ac:dyDescent="0.3">
      <c r="A116" s="2" t="s">
        <v>34</v>
      </c>
      <c r="B116" s="13" t="s">
        <v>711</v>
      </c>
      <c r="C116" s="13"/>
      <c r="D116" s="2"/>
      <c r="E116" s="2"/>
      <c r="F116" s="2">
        <v>3.2</v>
      </c>
      <c r="G116" s="2" t="s">
        <v>94</v>
      </c>
      <c r="H116" s="9" t="s">
        <v>542</v>
      </c>
      <c r="I116" t="s">
        <v>623</v>
      </c>
      <c r="K116" s="2"/>
      <c r="L116" s="2"/>
      <c r="M116" s="2"/>
      <c r="N116" s="23">
        <v>1</v>
      </c>
      <c r="O116" s="2"/>
      <c r="P116" s="2"/>
      <c r="Q116"/>
      <c r="T116" s="23">
        <v>3.9086759899999999</v>
      </c>
      <c r="U116" s="23">
        <v>3.908676100000001</v>
      </c>
      <c r="V116" s="23">
        <v>10.552604730000001</v>
      </c>
      <c r="W116" s="2">
        <v>1</v>
      </c>
      <c r="X116" s="2"/>
      <c r="Y116" s="2"/>
      <c r="Z116" s="2">
        <v>3.49</v>
      </c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O116">
        <v>14</v>
      </c>
      <c r="AP116" s="21">
        <v>155.59136328639269</v>
      </c>
      <c r="AQ116" s="21">
        <v>8.9979287437893268E-2</v>
      </c>
      <c r="AR116" s="28">
        <v>2</v>
      </c>
      <c r="AS116" s="28">
        <v>2.333333333333333</v>
      </c>
      <c r="AT116" s="28">
        <v>0.33333333333333331</v>
      </c>
      <c r="AU116" s="28">
        <v>0</v>
      </c>
      <c r="AV116" s="28">
        <v>0.42857142857142849</v>
      </c>
      <c r="AW116" s="28">
        <v>0.5</v>
      </c>
      <c r="AX116" s="28">
        <v>7.1428571428571425E-2</v>
      </c>
      <c r="AY116" s="28">
        <v>0</v>
      </c>
      <c r="AZ116" s="25">
        <v>0.95</v>
      </c>
      <c r="BA116" s="25">
        <v>3.44</v>
      </c>
      <c r="BB116" s="25">
        <v>2.4900000000000002</v>
      </c>
      <c r="BC116" s="25">
        <v>2.500833333333333</v>
      </c>
      <c r="BD116">
        <v>2.500833333333333</v>
      </c>
      <c r="BE116">
        <v>5.6917605187500007</v>
      </c>
    </row>
    <row r="117" spans="1:57" x14ac:dyDescent="0.3">
      <c r="A117" s="2" t="s">
        <v>95</v>
      </c>
      <c r="B117" s="13" t="s">
        <v>744</v>
      </c>
      <c r="C117" s="13"/>
      <c r="D117" s="2"/>
      <c r="E117" s="2"/>
      <c r="F117" s="2">
        <v>3.3</v>
      </c>
      <c r="G117" s="2" t="s">
        <v>96</v>
      </c>
      <c r="H117" s="9">
        <v>-1</v>
      </c>
      <c r="I117" t="s">
        <v>642</v>
      </c>
      <c r="K117" s="2"/>
      <c r="L117" s="2"/>
      <c r="M117" s="2"/>
      <c r="N117" s="23">
        <v>0</v>
      </c>
      <c r="O117" s="2">
        <v>3.8917999999999999</v>
      </c>
      <c r="P117" s="2">
        <v>3.8820000000000001</v>
      </c>
      <c r="Q117" s="2">
        <v>36.127000000000002</v>
      </c>
      <c r="R117" s="1" t="s">
        <v>484</v>
      </c>
      <c r="S117" s="1"/>
      <c r="T117" s="23">
        <v>0</v>
      </c>
      <c r="U117" s="23"/>
      <c r="V117" s="23"/>
      <c r="W117" s="2">
        <v>1</v>
      </c>
      <c r="X117" s="2"/>
      <c r="Y117" s="2">
        <v>4</v>
      </c>
      <c r="Z117" s="1">
        <v>4.5999999999999996</v>
      </c>
      <c r="AA117" s="2"/>
      <c r="AB117" s="2"/>
      <c r="AC117" s="2"/>
      <c r="AD117" s="2"/>
      <c r="AE117" s="2"/>
      <c r="AF117" s="2">
        <v>1</v>
      </c>
      <c r="AG117" s="2"/>
      <c r="AH117" s="2"/>
      <c r="AI117" s="2"/>
      <c r="AJ117" s="2"/>
      <c r="AO117">
        <v>26</v>
      </c>
      <c r="AP117" s="21">
        <v>0</v>
      </c>
      <c r="AQ117" s="21"/>
      <c r="AR117" s="28">
        <v>1.714285714285714</v>
      </c>
      <c r="AS117" s="28">
        <v>2.4761904761904758</v>
      </c>
      <c r="AT117" s="28">
        <v>0.76190476190476186</v>
      </c>
      <c r="AU117" s="28">
        <v>0</v>
      </c>
      <c r="AV117" s="28">
        <v>0.34615384615384609</v>
      </c>
      <c r="AW117" s="28">
        <v>0.5</v>
      </c>
      <c r="AX117" s="28">
        <v>0.1538461538461538</v>
      </c>
      <c r="AY117" s="28">
        <v>0</v>
      </c>
      <c r="AZ117" s="25">
        <v>0.93</v>
      </c>
      <c r="BA117" s="25">
        <v>3.44</v>
      </c>
      <c r="BB117" s="25">
        <v>2.5099999999999998</v>
      </c>
      <c r="BC117" s="25">
        <v>2.618095238095238</v>
      </c>
      <c r="BD117">
        <v>2.618095238095238</v>
      </c>
      <c r="BE117">
        <v>5.9615126490476191</v>
      </c>
    </row>
    <row r="118" spans="1:57" x14ac:dyDescent="0.3">
      <c r="A118" s="2" t="s">
        <v>97</v>
      </c>
      <c r="B118" s="13" t="s">
        <v>745</v>
      </c>
      <c r="C118" s="13"/>
      <c r="D118" s="2"/>
      <c r="E118" s="2"/>
      <c r="F118" s="2">
        <v>2.0099999999999998</v>
      </c>
      <c r="G118" s="2" t="s">
        <v>100</v>
      </c>
      <c r="H118" s="9" t="s">
        <v>565</v>
      </c>
      <c r="I118" t="s">
        <v>643</v>
      </c>
      <c r="K118" s="2"/>
      <c r="L118" s="2"/>
      <c r="M118" s="2"/>
      <c r="N118" s="23">
        <v>4</v>
      </c>
      <c r="O118" s="2">
        <v>5.63</v>
      </c>
      <c r="P118" s="2">
        <v>5.63</v>
      </c>
      <c r="Q118" s="2">
        <v>7.9509999999999996</v>
      </c>
      <c r="R118" s="2" t="s">
        <v>485</v>
      </c>
      <c r="S118" s="2"/>
      <c r="T118" s="23">
        <v>5.6671750000000003</v>
      </c>
      <c r="U118" s="23">
        <v>9.8157737100000002</v>
      </c>
      <c r="V118" s="23">
        <v>9.8153266899999991</v>
      </c>
      <c r="W118" s="2">
        <v>1</v>
      </c>
      <c r="X118" s="2"/>
      <c r="Y118" s="2"/>
      <c r="Z118" s="2" t="s">
        <v>459</v>
      </c>
      <c r="AA118" s="2">
        <v>1</v>
      </c>
      <c r="AB118" s="2"/>
      <c r="AC118" s="2"/>
      <c r="AD118" s="2"/>
      <c r="AE118" s="2"/>
      <c r="AF118" s="2"/>
      <c r="AG118" s="2"/>
      <c r="AH118" s="2"/>
      <c r="AI118" s="2"/>
      <c r="AJ118" s="2"/>
      <c r="AO118">
        <v>12</v>
      </c>
      <c r="AP118" s="21">
        <v>515.32350958904738</v>
      </c>
      <c r="AQ118" s="21">
        <v>9.3145371998025736E-2</v>
      </c>
      <c r="AR118" s="28">
        <v>2</v>
      </c>
      <c r="AS118" s="28">
        <v>2.4</v>
      </c>
      <c r="AT118" s="28">
        <v>0.9</v>
      </c>
      <c r="AU118" s="28">
        <v>1.4</v>
      </c>
      <c r="AV118" s="28">
        <v>0.29850746268656708</v>
      </c>
      <c r="AW118" s="28">
        <v>0.35820895522388058</v>
      </c>
      <c r="AX118" s="28">
        <v>0.1343283582089552</v>
      </c>
      <c r="AY118" s="28">
        <v>0.20895522388059701</v>
      </c>
      <c r="AZ118" s="25">
        <v>0.95</v>
      </c>
      <c r="BA118" s="25">
        <v>3.44</v>
      </c>
      <c r="BB118" s="25">
        <v>2.4900000000000002</v>
      </c>
      <c r="BC118" s="25">
        <v>2.5870000000000002</v>
      </c>
      <c r="BD118">
        <v>2.5870000000000002</v>
      </c>
      <c r="BE118">
        <v>5.8948612069999999</v>
      </c>
    </row>
    <row r="119" spans="1:57" x14ac:dyDescent="0.3">
      <c r="A119" s="2" t="s">
        <v>98</v>
      </c>
      <c r="B119" s="13" t="s">
        <v>746</v>
      </c>
      <c r="C119" s="13"/>
      <c r="D119" s="2"/>
      <c r="E119" s="2"/>
      <c r="F119" s="2">
        <v>2.21</v>
      </c>
      <c r="G119" s="2" t="s">
        <v>101</v>
      </c>
      <c r="H119" s="9">
        <v>-1</v>
      </c>
      <c r="I119">
        <v>-1</v>
      </c>
      <c r="K119" s="2"/>
      <c r="L119" s="2"/>
      <c r="M119" s="2"/>
      <c r="N119" s="23">
        <v>0</v>
      </c>
      <c r="O119" s="2">
        <v>3.9668000000000001</v>
      </c>
      <c r="P119" s="2">
        <v>5.63</v>
      </c>
      <c r="Q119" s="2">
        <v>20.597999999999999</v>
      </c>
      <c r="R119" s="2" t="s">
        <v>440</v>
      </c>
      <c r="S119" s="2"/>
      <c r="T119" s="23">
        <v>0</v>
      </c>
      <c r="U119" s="23"/>
      <c r="V119" s="23"/>
      <c r="W119" s="2">
        <v>1</v>
      </c>
      <c r="X119" s="2"/>
      <c r="Y119" s="2"/>
      <c r="Z119" s="1">
        <v>2</v>
      </c>
      <c r="AA119" s="2">
        <v>1</v>
      </c>
      <c r="AB119" s="2"/>
      <c r="AC119" s="2"/>
      <c r="AD119" s="2"/>
      <c r="AE119" s="2"/>
      <c r="AF119" s="2"/>
      <c r="AG119" s="2"/>
      <c r="AH119" s="2"/>
      <c r="AI119" s="2"/>
      <c r="AJ119" s="2"/>
      <c r="AO119">
        <v>16</v>
      </c>
      <c r="AP119" s="21">
        <v>0</v>
      </c>
      <c r="AQ119" s="21"/>
      <c r="AR119" s="28">
        <v>2</v>
      </c>
      <c r="AS119" s="28">
        <v>2.4615384615384621</v>
      </c>
      <c r="AT119" s="28">
        <v>0.69230769230769229</v>
      </c>
      <c r="AU119" s="28">
        <v>1.0769230769230771</v>
      </c>
      <c r="AV119" s="28">
        <v>0.32098765432098758</v>
      </c>
      <c r="AW119" s="28">
        <v>0.39506172839506182</v>
      </c>
      <c r="AX119" s="28">
        <v>0.1111111111111111</v>
      </c>
      <c r="AY119" s="28">
        <v>0.1728395061728395</v>
      </c>
      <c r="AZ119" s="25">
        <v>0.95</v>
      </c>
      <c r="BA119" s="25">
        <v>3.44</v>
      </c>
      <c r="BB119" s="25">
        <v>2.4900000000000002</v>
      </c>
      <c r="BC119" s="25">
        <v>2.592307692307692</v>
      </c>
      <c r="BD119">
        <v>2.5923076923076929</v>
      </c>
      <c r="BE119">
        <v>5.9154799303846159</v>
      </c>
    </row>
    <row r="120" spans="1:57" x14ac:dyDescent="0.3">
      <c r="A120" s="2" t="s">
        <v>99</v>
      </c>
      <c r="B120" s="13" t="s">
        <v>747</v>
      </c>
      <c r="C120" s="13"/>
      <c r="D120" s="2"/>
      <c r="E120" s="2"/>
      <c r="F120" s="2">
        <v>2.27</v>
      </c>
      <c r="G120" s="2" t="s">
        <v>102</v>
      </c>
      <c r="H120" s="9">
        <v>-1</v>
      </c>
      <c r="I120">
        <v>-1</v>
      </c>
      <c r="K120" s="2"/>
      <c r="L120" s="2"/>
      <c r="M120" s="2"/>
      <c r="N120" s="23">
        <v>0</v>
      </c>
      <c r="O120" s="2">
        <v>3.9493</v>
      </c>
      <c r="P120" s="2">
        <v>5.63</v>
      </c>
      <c r="Q120" s="2">
        <v>12.727</v>
      </c>
      <c r="R120" s="2" t="s">
        <v>440</v>
      </c>
      <c r="S120" s="2"/>
      <c r="T120" s="23">
        <v>0</v>
      </c>
      <c r="U120" s="23"/>
      <c r="V120" s="23"/>
      <c r="W120" s="2">
        <v>1</v>
      </c>
      <c r="X120" s="2"/>
      <c r="Y120" s="2"/>
      <c r="Z120" s="1">
        <v>1</v>
      </c>
      <c r="AA120">
        <v>1</v>
      </c>
      <c r="AB120" s="2"/>
      <c r="AC120" s="2"/>
      <c r="AD120" s="2"/>
      <c r="AE120" s="2"/>
      <c r="AF120" s="2">
        <v>1</v>
      </c>
      <c r="AG120" s="2">
        <v>1</v>
      </c>
      <c r="AH120" s="2"/>
      <c r="AI120" s="2"/>
      <c r="AJ120" s="2">
        <v>1</v>
      </c>
      <c r="AO120">
        <v>18</v>
      </c>
      <c r="AP120" s="21">
        <v>0</v>
      </c>
      <c r="AQ120" s="21"/>
      <c r="AR120" s="28">
        <v>2</v>
      </c>
      <c r="AS120" s="28">
        <v>2.4</v>
      </c>
      <c r="AT120" s="28">
        <v>0.6</v>
      </c>
      <c r="AU120" s="28">
        <v>0.93333333333333335</v>
      </c>
      <c r="AV120" s="28">
        <v>0.33707865168539319</v>
      </c>
      <c r="AW120" s="28">
        <v>0.4044943820224719</v>
      </c>
      <c r="AX120" s="28">
        <v>0.101123595505618</v>
      </c>
      <c r="AY120" s="28">
        <v>0.15730337078651679</v>
      </c>
      <c r="AZ120" s="25">
        <v>0.95</v>
      </c>
      <c r="BA120" s="25">
        <v>3.44</v>
      </c>
      <c r="BB120" s="25">
        <v>2.4900000000000002</v>
      </c>
      <c r="BC120" s="25">
        <v>2.539333333333333</v>
      </c>
      <c r="BD120">
        <v>2.539333333333333</v>
      </c>
      <c r="BE120">
        <v>5.8209523980000002</v>
      </c>
    </row>
    <row r="121" spans="1:57" x14ac:dyDescent="0.3">
      <c r="A121" s="2" t="s">
        <v>916</v>
      </c>
      <c r="B121" s="17" t="s">
        <v>918</v>
      </c>
      <c r="C121" s="13"/>
      <c r="D121" s="2"/>
      <c r="E121" s="2"/>
      <c r="F121" s="2">
        <v>3.157</v>
      </c>
      <c r="G121" s="2" t="s">
        <v>103</v>
      </c>
      <c r="H121" s="9">
        <v>-1</v>
      </c>
      <c r="I121">
        <v>-1</v>
      </c>
      <c r="K121" s="2"/>
      <c r="L121" s="2"/>
      <c r="M121" s="2"/>
      <c r="N121" s="23">
        <v>0</v>
      </c>
      <c r="O121" s="2">
        <v>12.449</v>
      </c>
      <c r="P121" s="2">
        <v>12.449</v>
      </c>
      <c r="Q121" s="5">
        <v>9.1999999999999993</v>
      </c>
      <c r="R121" s="2" t="s">
        <v>486</v>
      </c>
      <c r="S121" s="2"/>
      <c r="T121" s="23">
        <v>0</v>
      </c>
      <c r="U121" s="23"/>
      <c r="V121" s="23"/>
      <c r="W121" s="2">
        <v>1</v>
      </c>
      <c r="X121">
        <v>1</v>
      </c>
      <c r="Y121" s="29">
        <v>3</v>
      </c>
      <c r="Z121" s="2">
        <v>11.6</v>
      </c>
      <c r="AA121" s="2"/>
      <c r="AB121" s="2"/>
      <c r="AC121" s="2"/>
      <c r="AD121" s="2"/>
      <c r="AE121" s="2"/>
      <c r="AF121" s="2"/>
      <c r="AG121" s="2">
        <v>1</v>
      </c>
      <c r="AH121" s="2"/>
      <c r="AI121" s="2"/>
      <c r="AJ121" s="2"/>
      <c r="AO121">
        <v>28.67</v>
      </c>
      <c r="AP121" s="21">
        <v>0</v>
      </c>
      <c r="AQ121" s="21"/>
      <c r="AR121" s="28">
        <v>1.6718155361540179</v>
      </c>
      <c r="AS121" s="28">
        <v>2.567271099171704</v>
      </c>
      <c r="AT121" s="28">
        <v>0.89545556301768525</v>
      </c>
      <c r="AU121" s="28">
        <v>0</v>
      </c>
      <c r="AV121" s="28">
        <v>0.32560167422392738</v>
      </c>
      <c r="AW121" s="28">
        <v>0.5</v>
      </c>
      <c r="AX121" s="28">
        <v>0.17439832577607259</v>
      </c>
      <c r="AY121" s="28">
        <v>0</v>
      </c>
      <c r="AZ121" s="25">
        <v>0.82</v>
      </c>
      <c r="BA121" s="25">
        <v>3.44</v>
      </c>
      <c r="BB121" s="25">
        <v>2.62</v>
      </c>
      <c r="BC121" s="25">
        <v>2.680076113722857</v>
      </c>
      <c r="BD121">
        <v>2.6800761137228561</v>
      </c>
      <c r="BE121">
        <v>6.0370190189344077</v>
      </c>
    </row>
    <row r="122" spans="1:57" x14ac:dyDescent="0.3">
      <c r="A122" s="2" t="s">
        <v>917</v>
      </c>
      <c r="B122" s="17" t="s">
        <v>919</v>
      </c>
      <c r="C122" s="13"/>
      <c r="D122" s="2"/>
      <c r="E122" s="2"/>
      <c r="F122" s="2">
        <v>3.1880000000000002</v>
      </c>
      <c r="G122" s="2" t="s">
        <v>103</v>
      </c>
      <c r="H122" s="9">
        <v>-1</v>
      </c>
      <c r="I122">
        <v>-1</v>
      </c>
      <c r="K122" s="2"/>
      <c r="L122" s="2"/>
      <c r="M122" s="2"/>
      <c r="N122" s="23">
        <v>0</v>
      </c>
      <c r="O122" s="2">
        <v>12.449</v>
      </c>
      <c r="P122" s="2">
        <v>12.449</v>
      </c>
      <c r="Q122" s="2">
        <v>8.11</v>
      </c>
      <c r="R122" s="2"/>
      <c r="S122" s="2"/>
      <c r="T122" s="23">
        <v>0</v>
      </c>
      <c r="U122" s="23"/>
      <c r="V122" s="23"/>
      <c r="W122" s="2">
        <v>1</v>
      </c>
      <c r="X122" s="2"/>
      <c r="Y122" s="2">
        <v>3</v>
      </c>
      <c r="Z122" s="2">
        <v>11.72</v>
      </c>
      <c r="AA122" s="2"/>
      <c r="AB122" s="2"/>
      <c r="AC122" s="2"/>
      <c r="AD122" s="2"/>
      <c r="AE122" s="2"/>
      <c r="AF122" s="2"/>
      <c r="AG122" s="2">
        <v>1</v>
      </c>
      <c r="AH122" s="2"/>
      <c r="AI122" s="2"/>
      <c r="AJ122" s="2"/>
      <c r="AO122">
        <v>28.67</v>
      </c>
      <c r="AP122" s="21">
        <v>0</v>
      </c>
      <c r="AQ122" s="21"/>
      <c r="AR122" s="28">
        <v>1.6718155361540179</v>
      </c>
      <c r="AS122" s="28">
        <v>2.567271099171704</v>
      </c>
      <c r="AT122" s="28">
        <v>0.89545556301768525</v>
      </c>
      <c r="AU122" s="28">
        <v>0</v>
      </c>
      <c r="AV122" s="28">
        <v>0.32560167422392738</v>
      </c>
      <c r="AW122" s="28">
        <v>0.5</v>
      </c>
      <c r="AX122" s="28">
        <v>0.17439832577607259</v>
      </c>
      <c r="AY122" s="28">
        <v>0</v>
      </c>
      <c r="AZ122" s="25">
        <v>0.95</v>
      </c>
      <c r="BA122" s="25">
        <v>3.44</v>
      </c>
      <c r="BB122" s="25">
        <v>2.4900000000000002</v>
      </c>
      <c r="BC122" s="25">
        <v>2.8240385045892098</v>
      </c>
      <c r="BD122">
        <v>2.8240385045892089</v>
      </c>
      <c r="BE122">
        <v>6.533110796268315</v>
      </c>
    </row>
    <row r="123" spans="1:57" x14ac:dyDescent="0.3">
      <c r="A123" s="2" t="s">
        <v>917</v>
      </c>
      <c r="B123" s="17" t="s">
        <v>919</v>
      </c>
      <c r="C123" s="13"/>
      <c r="D123" s="2" t="s">
        <v>863</v>
      </c>
      <c r="E123" s="2">
        <v>1.1200000000000001</v>
      </c>
      <c r="F123" s="2">
        <v>3.2040000000000002</v>
      </c>
      <c r="G123" s="2" t="s">
        <v>103</v>
      </c>
      <c r="H123" s="9">
        <v>-1</v>
      </c>
      <c r="I123">
        <v>-1</v>
      </c>
      <c r="K123" s="2"/>
      <c r="L123" s="2"/>
      <c r="M123" s="2"/>
      <c r="N123" s="23">
        <v>0</v>
      </c>
      <c r="O123" s="2">
        <v>12.449</v>
      </c>
      <c r="P123" s="2">
        <v>12.449</v>
      </c>
      <c r="Q123" s="2">
        <v>8.0399999999999991</v>
      </c>
      <c r="R123" s="2"/>
      <c r="S123" s="2"/>
      <c r="T123" s="23">
        <v>0</v>
      </c>
      <c r="U123" s="23"/>
      <c r="V123" s="23"/>
      <c r="W123" s="2">
        <v>1</v>
      </c>
      <c r="X123" s="2"/>
      <c r="Y123" s="2">
        <v>3</v>
      </c>
      <c r="Z123" s="2">
        <v>11.64</v>
      </c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O123">
        <v>28.67</v>
      </c>
      <c r="AP123" s="21">
        <v>0</v>
      </c>
      <c r="AQ123" s="21"/>
      <c r="AR123" s="28">
        <v>1.6718155361540179</v>
      </c>
      <c r="AS123" s="28">
        <v>2.567271099171704</v>
      </c>
      <c r="AT123" s="28">
        <v>0.89545556301768525</v>
      </c>
      <c r="AU123" s="28">
        <v>0</v>
      </c>
      <c r="AV123" s="28">
        <v>0.32560167422392738</v>
      </c>
      <c r="AW123" s="28">
        <v>0.5</v>
      </c>
      <c r="AX123" s="28">
        <v>0.17439832577607259</v>
      </c>
      <c r="AY123" s="28">
        <v>0</v>
      </c>
      <c r="AZ123" s="25">
        <v>0.95</v>
      </c>
      <c r="BA123" s="25">
        <v>3.44</v>
      </c>
      <c r="BB123" s="25">
        <v>2.4900000000000002</v>
      </c>
      <c r="BC123" s="25">
        <v>2.8240385045892098</v>
      </c>
      <c r="BD123">
        <v>2.8240385045892089</v>
      </c>
      <c r="BE123">
        <v>6.533110796268315</v>
      </c>
    </row>
    <row r="124" spans="1:57" x14ac:dyDescent="0.3">
      <c r="A124" s="2" t="s">
        <v>104</v>
      </c>
      <c r="B124" s="13" t="s">
        <v>748</v>
      </c>
      <c r="C124" s="13"/>
      <c r="D124" s="2"/>
      <c r="E124" s="2"/>
      <c r="F124" s="2">
        <v>3</v>
      </c>
      <c r="G124" s="2" t="s">
        <v>111</v>
      </c>
      <c r="H124" s="9" t="s">
        <v>566</v>
      </c>
      <c r="I124" t="s">
        <v>644</v>
      </c>
      <c r="K124" s="2"/>
      <c r="L124" s="2"/>
      <c r="M124" s="2"/>
      <c r="N124" s="23">
        <v>4</v>
      </c>
      <c r="O124" s="2"/>
      <c r="P124" s="2"/>
      <c r="Q124" s="2"/>
      <c r="R124" s="2"/>
      <c r="S124" s="2"/>
      <c r="T124" s="23">
        <v>5.452661</v>
      </c>
      <c r="U124" s="23">
        <v>5.4531499999999999</v>
      </c>
      <c r="V124" s="23">
        <v>24.558717999999999</v>
      </c>
      <c r="W124" s="2"/>
      <c r="X124" s="2"/>
      <c r="Y124" s="2"/>
      <c r="Z124" s="2"/>
      <c r="AA124" s="2">
        <v>1</v>
      </c>
      <c r="AB124" s="2"/>
      <c r="AC124" s="2"/>
      <c r="AD124" s="2"/>
      <c r="AE124" s="2"/>
      <c r="AF124" s="2"/>
      <c r="AG124" s="2">
        <v>1</v>
      </c>
      <c r="AH124" s="2"/>
      <c r="AI124" s="2"/>
      <c r="AJ124" s="2"/>
      <c r="AO124">
        <v>18</v>
      </c>
      <c r="AP124" s="21">
        <v>730.23330062098216</v>
      </c>
      <c r="AQ124" s="21">
        <v>9.8598625862134762E-2</v>
      </c>
      <c r="AR124" s="28">
        <v>2</v>
      </c>
      <c r="AS124" s="28">
        <v>3.2307692307692308</v>
      </c>
      <c r="AT124" s="28">
        <v>2.1538461538461542</v>
      </c>
      <c r="AU124" s="28">
        <v>4.3076923076923066</v>
      </c>
      <c r="AV124" s="28">
        <v>0.1710526315789474</v>
      </c>
      <c r="AW124" s="28">
        <v>0.27631578947368418</v>
      </c>
      <c r="AX124" s="28">
        <v>0.18421052631578949</v>
      </c>
      <c r="AY124" s="28">
        <v>0.36842105263157893</v>
      </c>
      <c r="AZ124" s="25">
        <v>2.02</v>
      </c>
      <c r="BA124" s="25">
        <v>3.44</v>
      </c>
      <c r="BB124" s="25">
        <v>1.42</v>
      </c>
      <c r="BC124" s="25">
        <v>3.0553846153846149</v>
      </c>
      <c r="BD124">
        <v>3.0553846153846149</v>
      </c>
      <c r="BE124">
        <v>6.5203382676923072</v>
      </c>
    </row>
    <row r="125" spans="1:57" x14ac:dyDescent="0.3">
      <c r="A125" s="2" t="s">
        <v>69</v>
      </c>
      <c r="B125" s="13" t="s">
        <v>738</v>
      </c>
      <c r="C125" s="13"/>
      <c r="D125" s="2"/>
      <c r="E125" s="2"/>
      <c r="F125" s="2">
        <v>2.8</v>
      </c>
      <c r="G125" s="2" t="s">
        <v>111</v>
      </c>
      <c r="H125" s="9" t="s">
        <v>560</v>
      </c>
      <c r="I125" t="s">
        <v>638</v>
      </c>
      <c r="K125" s="2"/>
      <c r="L125" s="2"/>
      <c r="M125" s="2"/>
      <c r="N125" s="23">
        <v>2</v>
      </c>
      <c r="O125" s="2"/>
      <c r="P125" s="2"/>
      <c r="Q125" s="2"/>
      <c r="R125" s="2"/>
      <c r="S125" s="2"/>
      <c r="T125" s="23">
        <v>8.3195821399999996</v>
      </c>
      <c r="U125" s="23">
        <v>8.3195821399999996</v>
      </c>
      <c r="V125" s="23">
        <v>8.2425581700000006</v>
      </c>
      <c r="W125" s="2"/>
      <c r="X125" s="2"/>
      <c r="Y125" s="29">
        <v>1</v>
      </c>
      <c r="Z125" s="2"/>
      <c r="AA125" s="2">
        <v>1</v>
      </c>
      <c r="AB125" s="2"/>
      <c r="AC125" s="2"/>
      <c r="AD125" s="2"/>
      <c r="AE125" s="2"/>
      <c r="AF125" s="2"/>
      <c r="AG125" s="2">
        <v>1</v>
      </c>
      <c r="AH125" s="2"/>
      <c r="AI125" s="2"/>
      <c r="AJ125" s="2"/>
      <c r="AO125">
        <v>12</v>
      </c>
      <c r="AP125" s="21">
        <v>248.80917443900231</v>
      </c>
      <c r="AQ125" s="21">
        <v>9.6459465588893734E-2</v>
      </c>
      <c r="AR125" s="28">
        <v>2</v>
      </c>
      <c r="AS125" s="28">
        <v>3.333333333333333</v>
      </c>
      <c r="AT125" s="28">
        <v>2.666666666666667</v>
      </c>
      <c r="AU125" s="28">
        <v>4.666666666666667</v>
      </c>
      <c r="AV125" s="28">
        <v>0.15789473684210531</v>
      </c>
      <c r="AW125" s="28">
        <v>0.26315789473684209</v>
      </c>
      <c r="AX125" s="28">
        <v>0.2105263157894737</v>
      </c>
      <c r="AY125" s="28">
        <v>0.36842105263157898</v>
      </c>
      <c r="AZ125" s="25">
        <v>2.02</v>
      </c>
      <c r="BA125" s="25">
        <v>3.44</v>
      </c>
      <c r="BB125" s="25">
        <v>1.42</v>
      </c>
      <c r="BC125" s="25">
        <v>3.0044444444444438</v>
      </c>
      <c r="BD125">
        <v>3.0044444444444438</v>
      </c>
      <c r="BE125">
        <v>6.4228342255555546</v>
      </c>
    </row>
    <row r="126" spans="1:57" x14ac:dyDescent="0.3">
      <c r="A126" s="2" t="s">
        <v>105</v>
      </c>
      <c r="B126" s="13" t="s">
        <v>749</v>
      </c>
      <c r="C126" s="13"/>
      <c r="D126" s="2"/>
      <c r="E126" s="2"/>
      <c r="F126" s="2">
        <v>2.8</v>
      </c>
      <c r="G126" s="2" t="s">
        <v>111</v>
      </c>
      <c r="H126" s="9">
        <v>-1</v>
      </c>
      <c r="I126">
        <v>-1</v>
      </c>
      <c r="J126" t="s">
        <v>1163</v>
      </c>
      <c r="K126" s="2"/>
      <c r="L126" s="2"/>
      <c r="M126" s="2"/>
      <c r="N126" s="23">
        <v>0</v>
      </c>
      <c r="O126" s="2"/>
      <c r="P126" s="2"/>
      <c r="Q126" s="2"/>
      <c r="R126" s="2"/>
      <c r="S126" s="2"/>
      <c r="T126" s="23">
        <v>0</v>
      </c>
      <c r="U126" s="23"/>
      <c r="V126" s="23"/>
      <c r="W126" s="2"/>
      <c r="X126" s="2"/>
      <c r="Y126" s="2"/>
      <c r="Z126" s="2"/>
      <c r="AA126" s="2">
        <v>1</v>
      </c>
      <c r="AB126" s="2"/>
      <c r="AC126" s="2"/>
      <c r="AD126" s="2"/>
      <c r="AE126" s="2"/>
      <c r="AF126" s="2"/>
      <c r="AG126" s="2">
        <v>1</v>
      </c>
      <c r="AH126" s="2"/>
      <c r="AI126" s="2"/>
      <c r="AJ126" s="2"/>
      <c r="AO126">
        <v>54</v>
      </c>
      <c r="AP126" s="21">
        <v>0</v>
      </c>
      <c r="AQ126" s="21"/>
      <c r="AR126" s="28">
        <v>2</v>
      </c>
      <c r="AS126" s="28">
        <v>3.4883720930232558</v>
      </c>
      <c r="AT126" s="28">
        <v>3.441860465116279</v>
      </c>
      <c r="AU126" s="28">
        <v>5.2093023255813957</v>
      </c>
      <c r="AV126" s="28">
        <v>0.1414473684210526</v>
      </c>
      <c r="AW126" s="28">
        <v>0.24671052631578949</v>
      </c>
      <c r="AX126" s="28">
        <v>0.2434210526315789</v>
      </c>
      <c r="AY126" s="28">
        <v>0.36842105263157898</v>
      </c>
      <c r="AZ126" s="25">
        <v>2.02</v>
      </c>
      <c r="BA126" s="25">
        <v>3.44</v>
      </c>
      <c r="BB126" s="25">
        <v>1.42</v>
      </c>
      <c r="BC126" s="25">
        <v>2.927441860465116</v>
      </c>
      <c r="BD126">
        <v>2.9274418604651169</v>
      </c>
      <c r="BE126">
        <v>6.2754443944186056</v>
      </c>
    </row>
    <row r="127" spans="1:57" x14ac:dyDescent="0.3">
      <c r="A127" s="2" t="s">
        <v>106</v>
      </c>
      <c r="B127" s="13" t="s">
        <v>750</v>
      </c>
      <c r="C127" s="13"/>
      <c r="D127" s="2"/>
      <c r="E127" s="2"/>
      <c r="F127" s="2">
        <v>2.9</v>
      </c>
      <c r="G127" s="2" t="s">
        <v>111</v>
      </c>
      <c r="H127" s="9" t="s">
        <v>567</v>
      </c>
      <c r="I127" t="s">
        <v>645</v>
      </c>
      <c r="K127" s="2"/>
      <c r="L127" s="2"/>
      <c r="M127" s="2"/>
      <c r="N127" s="23">
        <v>2</v>
      </c>
      <c r="O127" s="2"/>
      <c r="P127" s="2"/>
      <c r="Q127" s="2"/>
      <c r="R127" s="2"/>
      <c r="S127" s="2"/>
      <c r="T127" s="23">
        <v>7.3631707899999999</v>
      </c>
      <c r="U127" s="23">
        <v>7.363170789999999</v>
      </c>
      <c r="V127" s="23">
        <v>7.3631707899999999</v>
      </c>
      <c r="W127" s="2"/>
      <c r="X127" s="2"/>
      <c r="Y127" s="2"/>
      <c r="Z127" s="2"/>
      <c r="AA127" s="2">
        <v>1</v>
      </c>
      <c r="AB127" s="2"/>
      <c r="AC127" s="2"/>
      <c r="AD127" s="2"/>
      <c r="AE127" s="2"/>
      <c r="AF127" s="2"/>
      <c r="AG127" s="2">
        <v>1</v>
      </c>
      <c r="AH127" s="2"/>
      <c r="AI127" s="2"/>
      <c r="AJ127" s="2"/>
      <c r="AO127">
        <v>14</v>
      </c>
      <c r="AP127" s="21">
        <v>282.27968527629582</v>
      </c>
      <c r="AQ127" s="21">
        <v>9.9192401934958777E-2</v>
      </c>
      <c r="AR127" s="28">
        <v>2</v>
      </c>
      <c r="AS127" s="28">
        <v>3.0909090909090908</v>
      </c>
      <c r="AT127" s="28">
        <v>2.1818181818181821</v>
      </c>
      <c r="AU127" s="28">
        <v>2.545454545454545</v>
      </c>
      <c r="AV127" s="28">
        <v>0.20370370370370369</v>
      </c>
      <c r="AW127" s="28">
        <v>0.31481481481481483</v>
      </c>
      <c r="AX127" s="28">
        <v>0.22222222222222221</v>
      </c>
      <c r="AY127" s="28">
        <v>0.25925925925925919</v>
      </c>
      <c r="AZ127" s="25">
        <v>1.54</v>
      </c>
      <c r="BA127" s="25">
        <v>3.44</v>
      </c>
      <c r="BB127" s="25">
        <v>1.9</v>
      </c>
      <c r="BC127" s="25">
        <v>2.836363636363636</v>
      </c>
      <c r="BD127">
        <v>2.836363636363636</v>
      </c>
      <c r="BE127">
        <v>6.1735094709090914</v>
      </c>
    </row>
    <row r="128" spans="1:57" x14ac:dyDescent="0.3">
      <c r="A128" s="2" t="s">
        <v>107</v>
      </c>
      <c r="B128" s="13" t="s">
        <v>727</v>
      </c>
      <c r="C128" s="13"/>
      <c r="D128" s="2"/>
      <c r="E128" s="2"/>
      <c r="F128" s="2">
        <v>3.1</v>
      </c>
      <c r="G128" s="2" t="s">
        <v>111</v>
      </c>
      <c r="H128" s="9" t="s">
        <v>555</v>
      </c>
      <c r="I128" t="s">
        <v>632</v>
      </c>
      <c r="K128" s="2"/>
      <c r="L128" s="2"/>
      <c r="M128" s="2"/>
      <c r="N128" s="23">
        <v>1</v>
      </c>
      <c r="O128" s="2"/>
      <c r="P128" s="2"/>
      <c r="Q128" s="2"/>
      <c r="R128" s="2"/>
      <c r="S128" s="2"/>
      <c r="T128" s="23">
        <v>3.86469438</v>
      </c>
      <c r="U128" s="23">
        <v>3.86469438</v>
      </c>
      <c r="V128" s="23">
        <v>16.978874730000001</v>
      </c>
      <c r="W128" s="2"/>
      <c r="X128" s="2"/>
      <c r="Y128" s="2"/>
      <c r="Z128" s="2"/>
      <c r="AA128" s="2">
        <v>1</v>
      </c>
      <c r="AB128" s="2"/>
      <c r="AC128" s="2"/>
      <c r="AD128" s="2"/>
      <c r="AE128" s="2"/>
      <c r="AF128" s="2"/>
      <c r="AG128" s="2">
        <v>1</v>
      </c>
      <c r="AH128" s="2"/>
      <c r="AI128" s="2"/>
      <c r="AJ128" s="2"/>
      <c r="AO128">
        <v>24</v>
      </c>
      <c r="AP128" s="21">
        <v>251.01098912285789</v>
      </c>
      <c r="AQ128" s="21">
        <v>9.5613343797681868E-2</v>
      </c>
      <c r="AR128" s="28">
        <v>2</v>
      </c>
      <c r="AS128" s="28">
        <v>3.1578947368421049</v>
      </c>
      <c r="AT128" s="28">
        <v>2.4210526315789469</v>
      </c>
      <c r="AU128" s="28">
        <v>2.947368421052631</v>
      </c>
      <c r="AV128" s="28">
        <v>0.19</v>
      </c>
      <c r="AW128" s="28">
        <v>0.3</v>
      </c>
      <c r="AX128" s="28">
        <v>0.23</v>
      </c>
      <c r="AY128" s="28">
        <v>0.28000000000000003</v>
      </c>
      <c r="AZ128" s="25">
        <v>1.54</v>
      </c>
      <c r="BA128" s="25">
        <v>3.44</v>
      </c>
      <c r="BB128" s="25">
        <v>1.9</v>
      </c>
      <c r="BC128" s="25">
        <v>2.8410526315789468</v>
      </c>
      <c r="BD128">
        <v>2.8410526315789468</v>
      </c>
      <c r="BE128">
        <v>6.1729587136842099</v>
      </c>
    </row>
    <row r="129" spans="1:57" x14ac:dyDescent="0.3">
      <c r="A129" s="2" t="s">
        <v>108</v>
      </c>
      <c r="B129" s="13" t="s">
        <v>751</v>
      </c>
      <c r="C129" s="13"/>
      <c r="D129" s="2"/>
      <c r="E129" s="2"/>
      <c r="F129" s="2">
        <v>3.1</v>
      </c>
      <c r="G129" s="2" t="s">
        <v>111</v>
      </c>
      <c r="H129" s="9" t="s">
        <v>568</v>
      </c>
      <c r="I129" t="s">
        <v>646</v>
      </c>
      <c r="K129" s="2"/>
      <c r="L129" s="2"/>
      <c r="M129" s="2"/>
      <c r="N129" s="23">
        <v>1</v>
      </c>
      <c r="O129" s="2"/>
      <c r="P129" s="2"/>
      <c r="Q129" s="2"/>
      <c r="R129" s="2"/>
      <c r="S129" s="2"/>
      <c r="T129" s="23">
        <v>12.951407789999999</v>
      </c>
      <c r="U129" s="23">
        <v>12.951407789999999</v>
      </c>
      <c r="V129" s="23">
        <v>12.951407789999999</v>
      </c>
      <c r="W129" s="2"/>
      <c r="X129" s="2"/>
      <c r="Y129" s="2"/>
      <c r="Z129" s="2"/>
      <c r="AA129" s="2">
        <v>1</v>
      </c>
      <c r="AB129" s="2"/>
      <c r="AC129" s="2"/>
      <c r="AD129" s="2"/>
      <c r="AE129" s="2"/>
      <c r="AF129" s="2"/>
      <c r="AG129" s="2">
        <v>1</v>
      </c>
      <c r="AH129" s="2"/>
      <c r="AI129" s="2"/>
      <c r="AJ129" s="2"/>
      <c r="AO129">
        <v>18</v>
      </c>
      <c r="AP129" s="21">
        <v>189.23096942123021</v>
      </c>
      <c r="AQ129" s="21">
        <v>9.5121850588482687E-2</v>
      </c>
      <c r="AR129" s="28">
        <v>1.928571428571429</v>
      </c>
      <c r="AS129" s="28">
        <v>3.214285714285714</v>
      </c>
      <c r="AT129" s="28">
        <v>2.5714285714285721</v>
      </c>
      <c r="AU129" s="28">
        <v>3</v>
      </c>
      <c r="AV129" s="28">
        <v>0.18</v>
      </c>
      <c r="AW129" s="28">
        <v>0.3</v>
      </c>
      <c r="AX129" s="28">
        <v>0.24</v>
      </c>
      <c r="AY129" s="28">
        <v>0.28000000000000003</v>
      </c>
      <c r="AZ129" s="25">
        <v>1.54</v>
      </c>
      <c r="BA129" s="25">
        <v>3.44</v>
      </c>
      <c r="BB129" s="25">
        <v>1.9</v>
      </c>
      <c r="BC129" s="25">
        <v>2.8685714285714292</v>
      </c>
      <c r="BD129">
        <v>2.8685714285714292</v>
      </c>
      <c r="BE129">
        <v>6.249142824642858</v>
      </c>
    </row>
    <row r="130" spans="1:57" x14ac:dyDescent="0.3">
      <c r="A130" s="2" t="s">
        <v>109</v>
      </c>
      <c r="B130" s="13" t="s">
        <v>752</v>
      </c>
      <c r="C130" s="13"/>
      <c r="D130" s="2"/>
      <c r="E130" s="2"/>
      <c r="F130" s="2">
        <v>3</v>
      </c>
      <c r="G130" s="2" t="s">
        <v>111</v>
      </c>
      <c r="H130" s="9" t="s">
        <v>569</v>
      </c>
      <c r="I130" t="s">
        <v>647</v>
      </c>
      <c r="K130" s="2"/>
      <c r="L130" s="2"/>
      <c r="M130" s="2"/>
      <c r="N130" s="23">
        <v>16</v>
      </c>
      <c r="O130" s="2"/>
      <c r="P130" s="2"/>
      <c r="Q130" s="2"/>
      <c r="R130" s="2"/>
      <c r="S130" s="2"/>
      <c r="T130" s="23">
        <v>22.855297</v>
      </c>
      <c r="U130" s="23">
        <v>5.6559619999999997</v>
      </c>
      <c r="V130" s="23">
        <v>17.48922452</v>
      </c>
      <c r="W130" s="2"/>
      <c r="X130" s="2"/>
      <c r="Y130" s="2"/>
      <c r="Z130" s="2"/>
      <c r="AA130" s="2">
        <v>1</v>
      </c>
      <c r="AB130" s="2"/>
      <c r="AC130" s="2"/>
      <c r="AD130" s="2"/>
      <c r="AE130" s="2"/>
      <c r="AF130" s="2"/>
      <c r="AG130" s="2">
        <v>1</v>
      </c>
      <c r="AH130" s="2"/>
      <c r="AI130" s="2"/>
      <c r="AJ130" s="2"/>
      <c r="AO130">
        <v>12</v>
      </c>
      <c r="AP130" s="21">
        <v>2260.7115007974689</v>
      </c>
      <c r="AQ130" s="21">
        <v>8.4929014574514128E-2</v>
      </c>
      <c r="AR130" s="28">
        <v>1.8888888888888891</v>
      </c>
      <c r="AS130" s="28">
        <v>3.333333333333333</v>
      </c>
      <c r="AT130" s="28">
        <v>2.7777777777777781</v>
      </c>
      <c r="AU130" s="28">
        <v>3.1111111111111112</v>
      </c>
      <c r="AV130" s="28">
        <v>0.17</v>
      </c>
      <c r="AW130" s="28">
        <v>0.3</v>
      </c>
      <c r="AX130" s="28">
        <v>0.25</v>
      </c>
      <c r="AY130" s="28">
        <v>0.28000000000000003</v>
      </c>
      <c r="AZ130" s="25">
        <v>2.02</v>
      </c>
      <c r="BA130" s="25">
        <v>3.44</v>
      </c>
      <c r="BB130" s="25">
        <v>1.42</v>
      </c>
      <c r="BC130" s="25">
        <v>2.9822222222222221</v>
      </c>
      <c r="BD130">
        <v>2.9822222222222221</v>
      </c>
      <c r="BE130">
        <v>6.3761376700000003</v>
      </c>
    </row>
    <row r="131" spans="1:57" x14ac:dyDescent="0.3">
      <c r="A131" s="2" t="s">
        <v>110</v>
      </c>
      <c r="B131" s="13" t="s">
        <v>753</v>
      </c>
      <c r="C131" s="13"/>
      <c r="D131" s="2"/>
      <c r="E131" s="2"/>
      <c r="F131" s="2">
        <v>3.3</v>
      </c>
      <c r="G131" s="2" t="s">
        <v>111</v>
      </c>
      <c r="H131" s="9" t="s">
        <v>570</v>
      </c>
      <c r="I131" t="s">
        <v>648</v>
      </c>
      <c r="K131" s="2"/>
      <c r="L131" s="2"/>
      <c r="M131" s="2"/>
      <c r="N131" s="23">
        <v>1</v>
      </c>
      <c r="O131" s="2"/>
      <c r="P131" s="2"/>
      <c r="Q131" s="2"/>
      <c r="R131" s="2"/>
      <c r="S131" s="2"/>
      <c r="T131" s="23">
        <v>20.551678089999999</v>
      </c>
      <c r="U131" s="23">
        <v>20.551678089999999</v>
      </c>
      <c r="V131" s="23">
        <v>20.551678089999999</v>
      </c>
      <c r="W131" s="2"/>
      <c r="X131" s="2"/>
      <c r="Y131" s="2"/>
      <c r="Z131" s="2"/>
      <c r="AA131" s="2">
        <v>1</v>
      </c>
      <c r="AB131" s="2"/>
      <c r="AC131" s="2"/>
      <c r="AD131" s="2"/>
      <c r="AE131" s="2"/>
      <c r="AF131" s="2"/>
      <c r="AG131" s="2">
        <v>1</v>
      </c>
      <c r="AH131" s="2"/>
      <c r="AI131" s="2"/>
      <c r="AJ131" s="2"/>
      <c r="AO131">
        <v>30</v>
      </c>
      <c r="AP131" s="21">
        <v>309.59189648929049</v>
      </c>
      <c r="AQ131" s="21">
        <v>9.6901761125513727E-2</v>
      </c>
      <c r="AR131" s="28">
        <v>2</v>
      </c>
      <c r="AS131" s="28">
        <v>3</v>
      </c>
      <c r="AT131" s="28">
        <v>2</v>
      </c>
      <c r="AU131" s="28">
        <v>2.333333333333333</v>
      </c>
      <c r="AV131" s="28">
        <v>0.2142857142857143</v>
      </c>
      <c r="AW131" s="28">
        <v>0.3214285714285714</v>
      </c>
      <c r="AX131" s="28">
        <v>0.2142857142857143</v>
      </c>
      <c r="AY131" s="28">
        <v>0.25</v>
      </c>
      <c r="AZ131" s="25">
        <v>0.89</v>
      </c>
      <c r="BA131" s="25">
        <v>3.44</v>
      </c>
      <c r="BB131" s="25">
        <v>2.5499999999999998</v>
      </c>
      <c r="BC131" s="25">
        <v>2.780416666666667</v>
      </c>
      <c r="BD131">
        <v>2.780416666666667</v>
      </c>
      <c r="BE131">
        <v>6.0847889087500002</v>
      </c>
    </row>
    <row r="132" spans="1:57" x14ac:dyDescent="0.3">
      <c r="A132" s="2" t="s">
        <v>109</v>
      </c>
      <c r="B132" s="13" t="s">
        <v>752</v>
      </c>
      <c r="C132" s="13"/>
      <c r="D132" s="2"/>
      <c r="E132" s="2"/>
      <c r="F132" s="2">
        <v>2.64</v>
      </c>
      <c r="G132" s="2" t="s">
        <v>114</v>
      </c>
      <c r="H132" s="9" t="s">
        <v>569</v>
      </c>
      <c r="I132" t="s">
        <v>647</v>
      </c>
      <c r="K132" s="2"/>
      <c r="L132" s="2"/>
      <c r="M132" s="2"/>
      <c r="N132" s="23">
        <v>16</v>
      </c>
      <c r="O132" s="2"/>
      <c r="P132" s="2"/>
      <c r="Q132" s="2"/>
      <c r="R132" s="2"/>
      <c r="S132" s="2"/>
      <c r="T132" s="23">
        <v>22.855297</v>
      </c>
      <c r="U132" s="23">
        <v>5.6559619999999997</v>
      </c>
      <c r="V132" s="23">
        <v>17.48922452</v>
      </c>
      <c r="W132" s="2">
        <v>1</v>
      </c>
      <c r="X132" s="2"/>
      <c r="Y132" s="2"/>
      <c r="Z132" s="2">
        <v>2.2999999999999998</v>
      </c>
      <c r="AA132" s="2">
        <v>1</v>
      </c>
      <c r="AB132" s="2"/>
      <c r="AC132" s="2"/>
      <c r="AD132" s="2"/>
      <c r="AE132" s="2"/>
      <c r="AF132" s="2">
        <v>1</v>
      </c>
      <c r="AG132" s="2"/>
      <c r="AH132" s="2"/>
      <c r="AI132" s="2"/>
      <c r="AJ132" s="2"/>
      <c r="AO132">
        <v>12</v>
      </c>
      <c r="AP132" s="21">
        <v>2260.7115007974689</v>
      </c>
      <c r="AQ132" s="21">
        <v>8.4929014574514128E-2</v>
      </c>
      <c r="AR132" s="28">
        <v>1.8888888888888891</v>
      </c>
      <c r="AS132" s="28">
        <v>3.333333333333333</v>
      </c>
      <c r="AT132" s="28">
        <v>2.7777777777777781</v>
      </c>
      <c r="AU132" s="28">
        <v>3.1111111111111112</v>
      </c>
      <c r="AV132" s="28">
        <v>0.17</v>
      </c>
      <c r="AW132" s="28">
        <v>0.3</v>
      </c>
      <c r="AX132" s="28">
        <v>0.25</v>
      </c>
      <c r="AY132" s="28">
        <v>0.28000000000000003</v>
      </c>
      <c r="AZ132" s="25">
        <v>2.02</v>
      </c>
      <c r="BA132" s="25">
        <v>3.44</v>
      </c>
      <c r="BB132" s="25">
        <v>1.42</v>
      </c>
      <c r="BC132" s="25">
        <v>2.9822222222222221</v>
      </c>
      <c r="BD132">
        <v>2.9822222222222221</v>
      </c>
      <c r="BE132">
        <v>6.3761376700000003</v>
      </c>
    </row>
    <row r="133" spans="1:57" x14ac:dyDescent="0.3">
      <c r="A133" s="2" t="s">
        <v>25</v>
      </c>
      <c r="B133" s="13" t="s">
        <v>708</v>
      </c>
      <c r="C133" s="13"/>
      <c r="D133" s="2"/>
      <c r="E133" s="2"/>
      <c r="F133" s="2">
        <v>2.88</v>
      </c>
      <c r="G133" s="2" t="s">
        <v>115</v>
      </c>
      <c r="H133" s="9" t="s">
        <v>541</v>
      </c>
      <c r="I133" t="s">
        <v>621</v>
      </c>
      <c r="K133" s="2"/>
      <c r="L133" s="2"/>
      <c r="M133" s="2"/>
      <c r="N133" s="23">
        <v>1</v>
      </c>
      <c r="O133" s="2">
        <v>5.4960000000000004</v>
      </c>
      <c r="P133" s="2">
        <v>5.4960000000000004</v>
      </c>
      <c r="Q133" s="2">
        <v>25.55</v>
      </c>
      <c r="R133" s="2" t="s">
        <v>450</v>
      </c>
      <c r="S133" s="2"/>
      <c r="T133" s="23">
        <v>12.868820120000001</v>
      </c>
      <c r="U133" s="23">
        <v>12.868820120000001</v>
      </c>
      <c r="V133" s="23">
        <v>12.868820120000001</v>
      </c>
      <c r="W133" s="2">
        <v>1</v>
      </c>
      <c r="X133" s="2"/>
      <c r="Y133" s="2"/>
      <c r="Z133" s="2"/>
      <c r="AA133" s="2">
        <v>1</v>
      </c>
      <c r="AB133" s="2"/>
      <c r="AC133" s="2"/>
      <c r="AD133" s="2"/>
      <c r="AE133" s="2"/>
      <c r="AF133" s="2"/>
      <c r="AG133" s="2">
        <v>1</v>
      </c>
      <c r="AH133" s="2"/>
      <c r="AI133" s="2"/>
      <c r="AJ133" s="2"/>
      <c r="AO133">
        <v>18</v>
      </c>
      <c r="AP133" s="21">
        <v>197.4403766939285</v>
      </c>
      <c r="AQ133" s="21">
        <v>9.1166762854710051E-2</v>
      </c>
      <c r="AR133" s="28">
        <v>1.857142857142857</v>
      </c>
      <c r="AS133" s="28">
        <v>3.1428571428571428</v>
      </c>
      <c r="AT133" s="28">
        <v>2.714285714285714</v>
      </c>
      <c r="AU133" s="28">
        <v>3</v>
      </c>
      <c r="AV133" s="28">
        <v>0.17333333333333331</v>
      </c>
      <c r="AW133" s="28">
        <v>0.29333333333333328</v>
      </c>
      <c r="AX133" s="28">
        <v>0.25333333333333341</v>
      </c>
      <c r="AY133" s="28">
        <v>0.28000000000000003</v>
      </c>
      <c r="AZ133" s="25">
        <v>1.6</v>
      </c>
      <c r="BA133" s="25">
        <v>3.44</v>
      </c>
      <c r="BB133" s="25">
        <v>1.84</v>
      </c>
      <c r="BC133" s="25">
        <v>2.895</v>
      </c>
      <c r="BD133">
        <v>2.895</v>
      </c>
      <c r="BE133">
        <v>6.260504073571429</v>
      </c>
    </row>
    <row r="134" spans="1:57" x14ac:dyDescent="0.3">
      <c r="A134" s="2" t="s">
        <v>8</v>
      </c>
      <c r="B134" s="13" t="s">
        <v>694</v>
      </c>
      <c r="C134" s="13"/>
      <c r="D134" s="2" t="s">
        <v>676</v>
      </c>
      <c r="E134" s="2" t="s">
        <v>1067</v>
      </c>
      <c r="F134" s="2">
        <v>2.73</v>
      </c>
      <c r="G134" s="2" t="s">
        <v>115</v>
      </c>
      <c r="H134" s="9" t="s">
        <v>530</v>
      </c>
      <c r="I134" t="s">
        <v>612</v>
      </c>
      <c r="K134" s="2"/>
      <c r="L134" s="2"/>
      <c r="M134" s="2"/>
      <c r="N134" s="23">
        <v>30</v>
      </c>
      <c r="O134" s="2"/>
      <c r="P134" s="2"/>
      <c r="Q134"/>
      <c r="R134" s="2"/>
      <c r="S134" s="2"/>
      <c r="T134" s="23">
        <v>10.59112378</v>
      </c>
      <c r="U134" s="23">
        <v>10.784736629999999</v>
      </c>
      <c r="V134" s="23">
        <v>10.486176179999999</v>
      </c>
      <c r="W134" s="2"/>
      <c r="X134" s="2"/>
      <c r="Y134" s="2"/>
      <c r="Z134" s="2"/>
      <c r="AA134" s="2">
        <v>1</v>
      </c>
      <c r="AB134" s="2"/>
      <c r="AC134" s="2"/>
      <c r="AD134" s="2"/>
      <c r="AE134" s="2"/>
      <c r="AF134" s="2"/>
      <c r="AG134" s="2">
        <v>1</v>
      </c>
      <c r="AH134" s="2"/>
      <c r="AI134" s="2"/>
      <c r="AJ134" s="2"/>
      <c r="AO134">
        <v>4</v>
      </c>
      <c r="AP134" s="21">
        <v>1182.741260108548</v>
      </c>
      <c r="AQ134" s="21">
        <v>0.1014592151701775</v>
      </c>
      <c r="AR134" s="28">
        <v>2</v>
      </c>
      <c r="AS134" s="28">
        <v>2.666666666666667</v>
      </c>
      <c r="AT134" s="28">
        <v>0.66666666666666663</v>
      </c>
      <c r="AU134" s="28">
        <v>0</v>
      </c>
      <c r="AV134" s="28">
        <v>0.375</v>
      </c>
      <c r="AW134" s="28">
        <v>0.5</v>
      </c>
      <c r="AX134" s="28">
        <v>0.125</v>
      </c>
      <c r="AY134" s="28">
        <v>0</v>
      </c>
      <c r="AZ134" s="25">
        <v>1.54</v>
      </c>
      <c r="BA134" s="25">
        <v>3.44</v>
      </c>
      <c r="BB134" s="25">
        <v>1.9</v>
      </c>
      <c r="BC134" s="25">
        <v>2.8066666666666671</v>
      </c>
      <c r="BD134">
        <v>2.8066666666666662</v>
      </c>
      <c r="BE134">
        <v>6.1769976</v>
      </c>
    </row>
    <row r="135" spans="1:57" x14ac:dyDescent="0.3">
      <c r="A135" s="2" t="s">
        <v>19</v>
      </c>
      <c r="B135" s="13" t="s">
        <v>705</v>
      </c>
      <c r="C135" s="13"/>
      <c r="D135" s="2"/>
      <c r="E135" s="2"/>
      <c r="F135" s="2">
        <v>3.46</v>
      </c>
      <c r="G135" s="2" t="s">
        <v>116</v>
      </c>
      <c r="H135" s="9" t="s">
        <v>538</v>
      </c>
      <c r="I135">
        <v>-1</v>
      </c>
      <c r="K135" s="2"/>
      <c r="L135" s="2"/>
      <c r="M135" s="2"/>
      <c r="N135" s="23">
        <v>1</v>
      </c>
      <c r="O135" s="2"/>
      <c r="P135" s="2"/>
      <c r="Q135" s="2"/>
      <c r="R135" s="2" t="s">
        <v>450</v>
      </c>
      <c r="S135" s="2"/>
      <c r="T135" s="23">
        <v>13.83861243</v>
      </c>
      <c r="U135" s="25">
        <v>13.83861243</v>
      </c>
      <c r="V135" s="25">
        <v>13.83861243</v>
      </c>
      <c r="W135" s="2"/>
      <c r="X135" t="s">
        <v>462</v>
      </c>
      <c r="Y135" s="2"/>
      <c r="Z135" s="2"/>
      <c r="AA135" s="2">
        <v>1</v>
      </c>
      <c r="AB135" s="2"/>
      <c r="AC135" s="2"/>
      <c r="AD135" s="2"/>
      <c r="AE135" s="2"/>
      <c r="AF135" s="2"/>
      <c r="AG135" s="2">
        <v>1</v>
      </c>
      <c r="AH135" s="2"/>
      <c r="AI135" s="2"/>
      <c r="AJ135" s="2"/>
      <c r="AO135">
        <v>18</v>
      </c>
      <c r="AP135" s="21">
        <v>208.2630581553295</v>
      </c>
      <c r="AQ135" s="25">
        <v>8.6429154356194082E-2</v>
      </c>
      <c r="AR135" s="28">
        <v>1.857142857142857</v>
      </c>
      <c r="AS135" s="28">
        <v>3</v>
      </c>
      <c r="AT135" s="28">
        <v>2</v>
      </c>
      <c r="AU135" s="28">
        <v>2</v>
      </c>
      <c r="AV135" s="28">
        <v>0.20967741935483869</v>
      </c>
      <c r="AW135" s="28">
        <v>0.33870967741935482</v>
      </c>
      <c r="AX135" s="28">
        <v>0.22580645161290319</v>
      </c>
      <c r="AY135" s="28">
        <v>0.22580645161290319</v>
      </c>
      <c r="AZ135" s="25">
        <v>1</v>
      </c>
      <c r="BA135" s="25">
        <v>3.44</v>
      </c>
      <c r="BB135" s="25">
        <v>2.44</v>
      </c>
      <c r="BC135" s="25">
        <v>2.8</v>
      </c>
      <c r="BD135">
        <v>2.8</v>
      </c>
      <c r="BE135">
        <v>6.2020864082142868</v>
      </c>
    </row>
    <row r="136" spans="1:57" x14ac:dyDescent="0.3">
      <c r="A136" s="2" t="s">
        <v>20</v>
      </c>
      <c r="B136" s="13" t="s">
        <v>706</v>
      </c>
      <c r="C136" s="13"/>
      <c r="D136" s="2"/>
      <c r="E136" s="2"/>
      <c r="F136" s="2">
        <v>3.43</v>
      </c>
      <c r="G136" s="2" t="s">
        <v>116</v>
      </c>
      <c r="H136" s="9" t="s">
        <v>539</v>
      </c>
      <c r="I136" t="s">
        <v>619</v>
      </c>
      <c r="K136" s="2"/>
      <c r="L136" s="2"/>
      <c r="M136" s="2"/>
      <c r="N136" s="23">
        <v>2</v>
      </c>
      <c r="O136" s="2"/>
      <c r="P136" s="2"/>
      <c r="Q136" s="2"/>
      <c r="R136" s="2" t="s">
        <v>450</v>
      </c>
      <c r="S136" s="2"/>
      <c r="T136" s="23">
        <v>13.01244535</v>
      </c>
      <c r="U136" s="25">
        <v>13.01244535</v>
      </c>
      <c r="V136" s="25">
        <v>5.6884839999999999</v>
      </c>
      <c r="W136" s="2"/>
      <c r="X136" t="s">
        <v>462</v>
      </c>
      <c r="Y136" s="2"/>
      <c r="Z136" s="2"/>
      <c r="AA136" s="2">
        <v>1</v>
      </c>
      <c r="AB136" s="2"/>
      <c r="AC136" s="2"/>
      <c r="AD136" s="2"/>
      <c r="AE136" s="2"/>
      <c r="AF136" s="2"/>
      <c r="AG136" s="2">
        <v>1</v>
      </c>
      <c r="AH136" s="2"/>
      <c r="AI136" s="2"/>
      <c r="AJ136" s="2"/>
      <c r="AO136">
        <v>18</v>
      </c>
      <c r="AP136" s="21">
        <v>408.08048566890238</v>
      </c>
      <c r="AQ136" s="25">
        <v>8.8217891480379992E-2</v>
      </c>
      <c r="AR136" s="28">
        <v>1.857142857142857</v>
      </c>
      <c r="AS136" s="28">
        <v>3</v>
      </c>
      <c r="AT136" s="28">
        <v>2</v>
      </c>
      <c r="AU136" s="28">
        <v>2</v>
      </c>
      <c r="AV136" s="28">
        <v>0.20967741935483869</v>
      </c>
      <c r="AW136" s="28">
        <v>0.33870967741935482</v>
      </c>
      <c r="AX136" s="28">
        <v>0.22580645161290319</v>
      </c>
      <c r="AY136" s="28">
        <v>0.22580645161290319</v>
      </c>
      <c r="AZ136" s="25">
        <v>0.95</v>
      </c>
      <c r="BA136" s="25">
        <v>3.44</v>
      </c>
      <c r="BB136" s="25">
        <v>2.4900000000000002</v>
      </c>
      <c r="BC136" s="25">
        <v>2.7964285714285722</v>
      </c>
      <c r="BD136">
        <v>2.7964285714285722</v>
      </c>
      <c r="BE136">
        <v>6.1881302289285713</v>
      </c>
    </row>
    <row r="137" spans="1:57" x14ac:dyDescent="0.3">
      <c r="A137" s="2" t="s">
        <v>21</v>
      </c>
      <c r="B137" s="13" t="s">
        <v>707</v>
      </c>
      <c r="C137" s="13"/>
      <c r="D137" s="2"/>
      <c r="E137" s="2"/>
      <c r="F137" s="2">
        <v>3.3</v>
      </c>
      <c r="G137" s="2" t="s">
        <v>116</v>
      </c>
      <c r="H137" s="9" t="s">
        <v>540</v>
      </c>
      <c r="I137" t="s">
        <v>620</v>
      </c>
      <c r="K137" s="2"/>
      <c r="L137" s="2"/>
      <c r="M137" s="2"/>
      <c r="N137" s="23">
        <v>2</v>
      </c>
      <c r="O137" s="2"/>
      <c r="P137" s="2"/>
      <c r="Q137" s="2"/>
      <c r="R137" s="2" t="s">
        <v>440</v>
      </c>
      <c r="S137" s="2"/>
      <c r="T137" s="23">
        <v>13.052871550000001</v>
      </c>
      <c r="U137" s="25">
        <v>13.052871550000001</v>
      </c>
      <c r="V137" s="25">
        <v>5.7602650000000004</v>
      </c>
      <c r="W137" s="2"/>
      <c r="X137" t="s">
        <v>463</v>
      </c>
      <c r="Y137" s="2"/>
      <c r="Z137" s="2"/>
      <c r="AA137" s="2">
        <v>1</v>
      </c>
      <c r="AB137" s="2"/>
      <c r="AC137" s="2"/>
      <c r="AD137" s="2"/>
      <c r="AE137" s="2"/>
      <c r="AF137" s="2"/>
      <c r="AG137" s="2">
        <v>1</v>
      </c>
      <c r="AH137" s="2"/>
      <c r="AI137" s="2"/>
      <c r="AJ137" s="2"/>
      <c r="AO137">
        <v>18</v>
      </c>
      <c r="AP137" s="21">
        <v>419.87909289623292</v>
      </c>
      <c r="AQ137" s="25">
        <v>8.5738967738736363E-2</v>
      </c>
      <c r="AR137" s="28">
        <v>1.857142857142857</v>
      </c>
      <c r="AS137" s="28">
        <v>3</v>
      </c>
      <c r="AT137" s="28">
        <v>2</v>
      </c>
      <c r="AU137" s="28">
        <v>2</v>
      </c>
      <c r="AV137" s="28">
        <v>0.20967741935483869</v>
      </c>
      <c r="AW137" s="28">
        <v>0.33870967741935482</v>
      </c>
      <c r="AX137" s="28">
        <v>0.22580645161290319</v>
      </c>
      <c r="AY137" s="28">
        <v>0.22580645161290319</v>
      </c>
      <c r="AZ137" s="25">
        <v>0.89</v>
      </c>
      <c r="BA137" s="25">
        <v>3.44</v>
      </c>
      <c r="BB137" s="25">
        <v>2.5499999999999998</v>
      </c>
      <c r="BC137" s="25">
        <v>2.7921428571428568</v>
      </c>
      <c r="BD137">
        <v>2.7921428571428568</v>
      </c>
      <c r="BE137">
        <v>6.1741786985714304</v>
      </c>
    </row>
    <row r="138" spans="1:57" x14ac:dyDescent="0.3">
      <c r="A138" s="2" t="s">
        <v>17</v>
      </c>
      <c r="B138" s="13" t="s">
        <v>702</v>
      </c>
      <c r="C138" s="13"/>
      <c r="D138" s="2"/>
      <c r="E138" s="2"/>
      <c r="F138" s="2">
        <v>3.67</v>
      </c>
      <c r="G138" s="2" t="s">
        <v>117</v>
      </c>
      <c r="H138" s="9" t="s">
        <v>535</v>
      </c>
      <c r="I138" t="s">
        <v>616</v>
      </c>
      <c r="K138" s="2"/>
      <c r="L138" s="2"/>
      <c r="M138" s="2"/>
      <c r="N138" s="23">
        <v>1</v>
      </c>
      <c r="O138" s="2">
        <v>5.4669999999999996</v>
      </c>
      <c r="P138" s="2">
        <v>5.4269999999999996</v>
      </c>
      <c r="Q138" s="2">
        <v>24.931000000000001</v>
      </c>
      <c r="R138" s="2" t="s">
        <v>450</v>
      </c>
      <c r="S138" s="2"/>
      <c r="T138" s="23">
        <v>13.46934785</v>
      </c>
      <c r="U138" s="25">
        <v>13.46934785</v>
      </c>
      <c r="V138" s="25">
        <v>13.46934785</v>
      </c>
      <c r="W138" s="2">
        <v>1</v>
      </c>
      <c r="X138" t="s">
        <v>462</v>
      </c>
      <c r="Z138" s="2">
        <v>1.96</v>
      </c>
      <c r="AA138" s="2">
        <v>1</v>
      </c>
      <c r="AB138" s="2"/>
      <c r="AC138" s="2"/>
      <c r="AD138" s="2">
        <v>1</v>
      </c>
      <c r="AE138" s="2"/>
      <c r="AF138" s="2"/>
      <c r="AG138" s="2">
        <v>1</v>
      </c>
      <c r="AH138" s="2"/>
      <c r="AI138" s="2"/>
      <c r="AJ138" s="2"/>
      <c r="AO138">
        <v>18</v>
      </c>
      <c r="AP138" s="21">
        <v>189.22149105491849</v>
      </c>
      <c r="AQ138" s="25">
        <v>9.5126615373598261E-2</v>
      </c>
      <c r="AR138" s="28">
        <v>2</v>
      </c>
      <c r="AS138" s="28">
        <v>3</v>
      </c>
      <c r="AT138" s="28">
        <v>1.857142857142857</v>
      </c>
      <c r="AU138" s="28">
        <v>4</v>
      </c>
      <c r="AV138" s="28">
        <v>0.18421052631578949</v>
      </c>
      <c r="AW138" s="28">
        <v>0.27631578947368418</v>
      </c>
      <c r="AX138" s="28">
        <v>0.1710526315789474</v>
      </c>
      <c r="AY138" s="28">
        <v>0.36842105263157893</v>
      </c>
      <c r="AZ138" s="25">
        <v>1</v>
      </c>
      <c r="BA138" s="25">
        <v>3.44</v>
      </c>
      <c r="BB138" s="25">
        <v>2.44</v>
      </c>
      <c r="BC138" s="25">
        <v>2.785714285714286</v>
      </c>
      <c r="BD138">
        <v>2.785714285714286</v>
      </c>
      <c r="BE138">
        <v>6.216117408214286</v>
      </c>
    </row>
    <row r="139" spans="1:57" x14ac:dyDescent="0.3">
      <c r="A139" s="2" t="s">
        <v>51</v>
      </c>
      <c r="B139" s="13" t="s">
        <v>703</v>
      </c>
      <c r="C139" s="13"/>
      <c r="D139" s="2"/>
      <c r="E139" s="2"/>
      <c r="F139" s="2">
        <v>3.64</v>
      </c>
      <c r="G139" s="2" t="s">
        <v>117</v>
      </c>
      <c r="H139" s="9" t="s">
        <v>536</v>
      </c>
      <c r="I139" t="s">
        <v>617</v>
      </c>
      <c r="K139" s="2"/>
      <c r="L139" s="2"/>
      <c r="M139" s="2"/>
      <c r="N139" s="23">
        <v>1</v>
      </c>
      <c r="O139" s="2">
        <v>5.4729999999999999</v>
      </c>
      <c r="P139" s="2">
        <v>5.5270000000000001</v>
      </c>
      <c r="Q139" s="2">
        <v>25.030999999999999</v>
      </c>
      <c r="R139" s="2" t="s">
        <v>450</v>
      </c>
      <c r="S139" s="2"/>
      <c r="T139" s="23">
        <v>12.88926011</v>
      </c>
      <c r="U139" s="23">
        <v>12.88926011</v>
      </c>
      <c r="V139" s="23">
        <v>12.88926011</v>
      </c>
      <c r="W139" s="2">
        <v>1</v>
      </c>
      <c r="X139" t="s">
        <v>462</v>
      </c>
      <c r="Z139" s="2">
        <v>2.36</v>
      </c>
      <c r="AA139" s="2">
        <v>1</v>
      </c>
      <c r="AB139" s="2"/>
      <c r="AC139" s="2"/>
      <c r="AD139" s="2">
        <v>1</v>
      </c>
      <c r="AE139" s="2"/>
      <c r="AF139" s="2"/>
      <c r="AG139" s="2">
        <v>1</v>
      </c>
      <c r="AH139" s="2"/>
      <c r="AI139" s="2"/>
      <c r="AJ139" s="2"/>
      <c r="AO139">
        <v>18</v>
      </c>
      <c r="AP139" s="21">
        <v>195.03203980213701</v>
      </c>
      <c r="AQ139" s="21">
        <v>9.2292528029042184E-2</v>
      </c>
      <c r="AR139" s="28">
        <v>2</v>
      </c>
      <c r="AS139" s="28">
        <v>3</v>
      </c>
      <c r="AT139" s="28">
        <v>1.857142857142857</v>
      </c>
      <c r="AU139" s="28">
        <v>4</v>
      </c>
      <c r="AV139" s="28">
        <v>0.18421052631578949</v>
      </c>
      <c r="AW139" s="28">
        <v>0.27631578947368418</v>
      </c>
      <c r="AX139" s="28">
        <v>0.1710526315789474</v>
      </c>
      <c r="AY139" s="28">
        <v>0.36842105263157893</v>
      </c>
      <c r="AZ139" s="25">
        <v>0.95</v>
      </c>
      <c r="BA139" s="25">
        <v>3.44</v>
      </c>
      <c r="BB139" s="25">
        <v>2.4900000000000002</v>
      </c>
      <c r="BC139" s="25">
        <v>2.782142857142857</v>
      </c>
      <c r="BD139">
        <v>2.7821428571428579</v>
      </c>
      <c r="BE139">
        <v>6.2021612289285706</v>
      </c>
    </row>
    <row r="140" spans="1:57" x14ac:dyDescent="0.3">
      <c r="A140" s="2" t="s">
        <v>18</v>
      </c>
      <c r="B140" s="13" t="s">
        <v>704</v>
      </c>
      <c r="C140" s="13"/>
      <c r="D140" s="2"/>
      <c r="E140" s="2"/>
      <c r="F140" s="2">
        <v>3.52</v>
      </c>
      <c r="G140" s="2" t="s">
        <v>117</v>
      </c>
      <c r="H140" s="9" t="s">
        <v>537</v>
      </c>
      <c r="I140" t="s">
        <v>618</v>
      </c>
      <c r="K140" s="2"/>
      <c r="L140" s="2"/>
      <c r="M140" s="2"/>
      <c r="N140" s="23">
        <v>1</v>
      </c>
      <c r="O140" s="2">
        <v>3.9540000000000002</v>
      </c>
      <c r="P140" s="2">
        <v>3.9540000000000002</v>
      </c>
      <c r="Q140" s="2">
        <v>25.486999999999998</v>
      </c>
      <c r="R140" s="2" t="s">
        <v>440</v>
      </c>
      <c r="S140" s="2"/>
      <c r="T140" s="23">
        <v>12.939761450000001</v>
      </c>
      <c r="U140" s="23">
        <v>12.939761450000001</v>
      </c>
      <c r="V140" s="23">
        <v>12.939761450000001</v>
      </c>
      <c r="W140" s="2">
        <v>1</v>
      </c>
      <c r="X140" s="2"/>
      <c r="Z140" s="2">
        <v>2.1800000000000002</v>
      </c>
      <c r="AA140" s="2">
        <v>1</v>
      </c>
      <c r="AB140" s="2"/>
      <c r="AC140" s="2"/>
      <c r="AD140" s="2">
        <v>1</v>
      </c>
      <c r="AE140" s="2"/>
      <c r="AF140" s="2"/>
      <c r="AG140" s="2">
        <v>1</v>
      </c>
      <c r="AH140" s="2"/>
      <c r="AI140" s="2"/>
      <c r="AJ140" s="2"/>
      <c r="AO140">
        <v>18</v>
      </c>
      <c r="AP140" s="21">
        <v>198.96095988642259</v>
      </c>
      <c r="AQ140" s="21">
        <v>9.047000984653146E-2</v>
      </c>
      <c r="AR140" s="28">
        <v>2</v>
      </c>
      <c r="AS140" s="28">
        <v>3</v>
      </c>
      <c r="AT140" s="28">
        <v>1.857142857142857</v>
      </c>
      <c r="AU140" s="28">
        <v>4</v>
      </c>
      <c r="AV140" s="28">
        <v>0.18421052631578949</v>
      </c>
      <c r="AW140" s="28">
        <v>0.27631578947368418</v>
      </c>
      <c r="AX140" s="28">
        <v>0.1710526315789474</v>
      </c>
      <c r="AY140" s="28">
        <v>0.36842105263157893</v>
      </c>
      <c r="AZ140" s="25">
        <v>0.89</v>
      </c>
      <c r="BA140" s="25">
        <v>3.44</v>
      </c>
      <c r="BB140" s="25">
        <v>2.5499999999999998</v>
      </c>
      <c r="BC140" s="25">
        <v>2.777857142857143</v>
      </c>
      <c r="BD140">
        <v>2.777857142857143</v>
      </c>
      <c r="BE140">
        <v>6.1882096985714297</v>
      </c>
    </row>
    <row r="141" spans="1:57" x14ac:dyDescent="0.3">
      <c r="A141" s="2" t="s">
        <v>118</v>
      </c>
      <c r="B141" s="17" t="s">
        <v>920</v>
      </c>
      <c r="C141" s="13"/>
      <c r="D141" s="2"/>
      <c r="E141" s="2"/>
      <c r="F141" s="2">
        <v>3.44</v>
      </c>
      <c r="G141" s="2" t="s">
        <v>122</v>
      </c>
      <c r="H141" s="9">
        <v>-1</v>
      </c>
      <c r="I141">
        <v>-1</v>
      </c>
      <c r="K141" s="2"/>
      <c r="L141" s="2"/>
      <c r="M141" s="2"/>
      <c r="N141" s="23">
        <v>0</v>
      </c>
      <c r="O141" s="2">
        <v>5.492</v>
      </c>
      <c r="P141" s="2">
        <v>5.5650000000000004</v>
      </c>
      <c r="Q141" s="2">
        <v>24.88</v>
      </c>
      <c r="R141" s="1" t="s">
        <v>440</v>
      </c>
      <c r="S141" s="1"/>
      <c r="T141" s="23">
        <v>0</v>
      </c>
      <c r="U141" s="23"/>
      <c r="V141" s="23"/>
      <c r="W141"/>
      <c r="X141" t="s">
        <v>487</v>
      </c>
      <c r="Y141" s="2"/>
      <c r="Z141" s="2">
        <v>1.3</v>
      </c>
      <c r="AA141" s="2">
        <v>1</v>
      </c>
      <c r="AB141" s="2"/>
      <c r="AC141" s="2"/>
      <c r="AD141" s="2"/>
      <c r="AE141" s="2"/>
      <c r="AF141" s="2">
        <v>1</v>
      </c>
      <c r="AG141" s="2">
        <v>1</v>
      </c>
      <c r="AH141" s="2"/>
      <c r="AI141" s="2"/>
      <c r="AJ141" s="2"/>
      <c r="AO141">
        <v>18</v>
      </c>
      <c r="AP141" s="21">
        <v>0</v>
      </c>
      <c r="AQ141" s="21"/>
      <c r="AR141" s="28">
        <v>1.964285714285714</v>
      </c>
      <c r="AS141" s="28">
        <v>3</v>
      </c>
      <c r="AT141" s="28">
        <v>1.892857142857143</v>
      </c>
      <c r="AU141" s="28">
        <v>4</v>
      </c>
      <c r="AV141" s="28">
        <v>0.1809210526315789</v>
      </c>
      <c r="AW141" s="28">
        <v>0.27631578947368418</v>
      </c>
      <c r="AX141" s="28">
        <v>0.17434210526315791</v>
      </c>
      <c r="AY141" s="28">
        <v>0.36842105263157893</v>
      </c>
      <c r="AZ141" s="25">
        <v>0.82</v>
      </c>
      <c r="BA141" s="25">
        <v>3.44</v>
      </c>
      <c r="BB141" s="25">
        <v>2.62</v>
      </c>
      <c r="BC141" s="25">
        <v>2.7828571428571429</v>
      </c>
      <c r="BD141">
        <v>2.7828571428571429</v>
      </c>
      <c r="BE141">
        <v>6.1929237675000008</v>
      </c>
    </row>
    <row r="142" spans="1:57" x14ac:dyDescent="0.3">
      <c r="A142" s="2" t="s">
        <v>119</v>
      </c>
      <c r="B142" s="17" t="s">
        <v>921</v>
      </c>
      <c r="C142" s="13"/>
      <c r="D142" s="2"/>
      <c r="E142" s="2"/>
      <c r="F142" s="2">
        <v>3.22</v>
      </c>
      <c r="G142" s="2" t="s">
        <v>122</v>
      </c>
      <c r="H142" s="9">
        <v>-1</v>
      </c>
      <c r="I142">
        <v>-1</v>
      </c>
      <c r="K142" s="2"/>
      <c r="L142" s="2"/>
      <c r="M142" s="2"/>
      <c r="N142" s="23">
        <v>0</v>
      </c>
      <c r="O142" s="2">
        <v>5.5019999999999998</v>
      </c>
      <c r="P142" s="2">
        <v>5.5069999999999997</v>
      </c>
      <c r="Q142" s="2">
        <v>25.09</v>
      </c>
      <c r="R142" s="1" t="s">
        <v>440</v>
      </c>
      <c r="S142" s="1"/>
      <c r="T142" s="23">
        <v>0</v>
      </c>
      <c r="U142" s="23"/>
      <c r="V142" s="23"/>
      <c r="W142"/>
      <c r="X142" t="s">
        <v>488</v>
      </c>
      <c r="Y142" s="2"/>
      <c r="Z142" s="2">
        <v>3.2</v>
      </c>
      <c r="AA142" s="2">
        <v>1</v>
      </c>
      <c r="AB142" s="2"/>
      <c r="AC142" s="2"/>
      <c r="AD142" s="2"/>
      <c r="AE142" s="2"/>
      <c r="AF142" s="2">
        <v>1</v>
      </c>
      <c r="AG142" s="2">
        <v>1</v>
      </c>
      <c r="AH142" s="2"/>
      <c r="AI142" s="2"/>
      <c r="AJ142" s="2"/>
      <c r="AO142">
        <v>18</v>
      </c>
      <c r="AP142" s="21">
        <v>0</v>
      </c>
      <c r="AQ142" s="21"/>
      <c r="AR142" s="28">
        <v>1.821428571428571</v>
      </c>
      <c r="AS142" s="28">
        <v>3</v>
      </c>
      <c r="AT142" s="28">
        <v>2.035714285714286</v>
      </c>
      <c r="AU142" s="28">
        <v>2</v>
      </c>
      <c r="AV142" s="28">
        <v>0.20564516129032259</v>
      </c>
      <c r="AW142" s="28">
        <v>0.33870967741935482</v>
      </c>
      <c r="AX142" s="28">
        <v>0.22983870967741929</v>
      </c>
      <c r="AY142" s="28">
        <v>0.22580645161290319</v>
      </c>
      <c r="AZ142" s="25">
        <v>0.82</v>
      </c>
      <c r="BA142" s="25">
        <v>3.44</v>
      </c>
      <c r="BB142" s="25">
        <v>2.62</v>
      </c>
      <c r="BC142" s="25">
        <v>2.7971428571428572</v>
      </c>
      <c r="BD142">
        <v>2.7971428571428572</v>
      </c>
      <c r="BE142">
        <v>6.1788927675000007</v>
      </c>
    </row>
    <row r="143" spans="1:57" x14ac:dyDescent="0.3">
      <c r="A143" s="2" t="s">
        <v>120</v>
      </c>
      <c r="B143" s="17" t="s">
        <v>922</v>
      </c>
      <c r="C143" s="13"/>
      <c r="D143" s="2"/>
      <c r="E143" s="2"/>
      <c r="F143" s="2">
        <v>4</v>
      </c>
      <c r="G143" s="2" t="s">
        <v>122</v>
      </c>
      <c r="H143" s="9">
        <v>-1</v>
      </c>
      <c r="I143">
        <v>-1</v>
      </c>
      <c r="K143" s="2"/>
      <c r="L143" s="2"/>
      <c r="M143" s="2"/>
      <c r="N143" s="23">
        <v>0</v>
      </c>
      <c r="O143" s="2">
        <v>3.9060000000000001</v>
      </c>
      <c r="P143" s="2">
        <v>3.9060000000000001</v>
      </c>
      <c r="Q143" s="2">
        <v>9.8840000000000003</v>
      </c>
      <c r="R143" s="2"/>
      <c r="S143" s="2"/>
      <c r="T143" s="23">
        <v>0</v>
      </c>
      <c r="U143" s="25"/>
      <c r="V143" s="25"/>
      <c r="W143"/>
      <c r="X143" s="2"/>
      <c r="Y143" s="2"/>
      <c r="Z143" s="2">
        <v>3.5</v>
      </c>
      <c r="AA143" s="2">
        <v>1</v>
      </c>
      <c r="AB143" s="2"/>
      <c r="AC143" s="2"/>
      <c r="AD143" s="2"/>
      <c r="AE143" s="2"/>
      <c r="AF143" s="2">
        <v>1</v>
      </c>
      <c r="AG143" s="2">
        <v>1</v>
      </c>
      <c r="AH143" s="2"/>
      <c r="AI143" s="2"/>
      <c r="AJ143" s="2"/>
      <c r="AO143">
        <v>14</v>
      </c>
      <c r="AP143" s="21">
        <v>0</v>
      </c>
      <c r="AQ143" s="25"/>
      <c r="AR143" s="28">
        <v>1.8135593220338979</v>
      </c>
      <c r="AS143" s="28">
        <v>2.398305084745763</v>
      </c>
      <c r="AT143" s="28">
        <v>0.63559322033898302</v>
      </c>
      <c r="AU143" s="28">
        <v>2.4915254237288131</v>
      </c>
      <c r="AV143" s="28">
        <v>0.24711316397228639</v>
      </c>
      <c r="AW143" s="28">
        <v>0.32678983833718239</v>
      </c>
      <c r="AX143" s="28">
        <v>8.6605080831408776E-2</v>
      </c>
      <c r="AY143" s="28">
        <v>0.33949191685912239</v>
      </c>
      <c r="AZ143" s="25">
        <v>0.82</v>
      </c>
      <c r="BA143" s="25">
        <v>3.44</v>
      </c>
      <c r="BB143" s="25">
        <v>2.62</v>
      </c>
      <c r="BC143" s="25">
        <v>2.733728813559321</v>
      </c>
      <c r="BD143">
        <v>2.7337288135593218</v>
      </c>
      <c r="BE143">
        <v>6.5217336360353304</v>
      </c>
    </row>
    <row r="144" spans="1:57" x14ac:dyDescent="0.3">
      <c r="A144" s="2" t="s">
        <v>121</v>
      </c>
      <c r="B144" s="33" t="s">
        <v>923</v>
      </c>
      <c r="C144" s="34"/>
      <c r="D144" s="2"/>
      <c r="E144" s="2"/>
      <c r="F144" s="2">
        <v>3.49</v>
      </c>
      <c r="G144" s="2" t="s">
        <v>122</v>
      </c>
      <c r="H144" s="35">
        <v>-1</v>
      </c>
      <c r="I144" s="2">
        <v>-1</v>
      </c>
      <c r="K144" s="2"/>
      <c r="L144" s="2"/>
      <c r="M144" s="2"/>
      <c r="N144" s="23">
        <v>0</v>
      </c>
      <c r="O144" s="2">
        <v>3.903</v>
      </c>
      <c r="P144" s="2">
        <v>3.903</v>
      </c>
      <c r="Q144" s="2">
        <v>10.050000000000001</v>
      </c>
      <c r="R144" s="2"/>
      <c r="S144" s="2"/>
      <c r="T144" s="23">
        <v>0</v>
      </c>
      <c r="U144" s="25"/>
      <c r="V144" s="25"/>
      <c r="W144"/>
      <c r="X144" s="2"/>
      <c r="Y144" s="2"/>
      <c r="Z144" s="2">
        <v>7.3</v>
      </c>
      <c r="AA144" s="2">
        <v>1</v>
      </c>
      <c r="AB144" s="2"/>
      <c r="AC144" s="2"/>
      <c r="AD144" s="2"/>
      <c r="AE144" s="2"/>
      <c r="AF144" s="2">
        <v>1</v>
      </c>
      <c r="AG144" s="2">
        <v>1</v>
      </c>
      <c r="AH144" s="2"/>
      <c r="AI144" s="2"/>
      <c r="AJ144" s="2"/>
      <c r="AO144">
        <v>13</v>
      </c>
      <c r="AP144" s="21">
        <v>0</v>
      </c>
      <c r="AQ144" s="25"/>
      <c r="AR144" s="28">
        <v>1.6448598130841121</v>
      </c>
      <c r="AS144" s="28">
        <v>2.457943925233645</v>
      </c>
      <c r="AT144" s="28">
        <v>0.86915887850467299</v>
      </c>
      <c r="AU144" s="28">
        <v>0.13084112149532709</v>
      </c>
      <c r="AV144" s="28">
        <v>0.32234432234432231</v>
      </c>
      <c r="AW144" s="28">
        <v>0.48168498168498158</v>
      </c>
      <c r="AX144" s="28">
        <v>0.17032967032967031</v>
      </c>
      <c r="AY144" s="28">
        <v>2.564102564102564E-2</v>
      </c>
      <c r="AZ144" s="25">
        <v>0.82</v>
      </c>
      <c r="BA144" s="25">
        <v>3.44</v>
      </c>
      <c r="BB144" s="25">
        <v>2.62</v>
      </c>
      <c r="BC144" s="25">
        <v>2.7828037383177571</v>
      </c>
      <c r="BD144">
        <v>2.782803738317758</v>
      </c>
      <c r="BE144">
        <v>6.5403483343235136</v>
      </c>
    </row>
    <row r="145" spans="1:57" x14ac:dyDescent="0.3">
      <c r="A145" s="2" t="s">
        <v>1185</v>
      </c>
      <c r="B145" s="47" t="s">
        <v>1186</v>
      </c>
      <c r="C145" s="34"/>
      <c r="D145" s="2"/>
      <c r="E145" s="2"/>
      <c r="F145" s="2">
        <v>4</v>
      </c>
      <c r="G145" s="2" t="s">
        <v>122</v>
      </c>
      <c r="H145" s="35" t="s">
        <v>1188</v>
      </c>
      <c r="I145" s="2">
        <v>-1</v>
      </c>
      <c r="J145" t="s">
        <v>1187</v>
      </c>
      <c r="K145" s="2"/>
      <c r="L145" s="2"/>
      <c r="M145" s="2"/>
      <c r="N145" s="23">
        <v>0</v>
      </c>
      <c r="O145" s="2"/>
      <c r="P145" s="2"/>
      <c r="Q145" s="2"/>
      <c r="R145" s="2"/>
      <c r="S145" s="2"/>
      <c r="T145" s="23">
        <v>0</v>
      </c>
      <c r="U145" s="23"/>
      <c r="V145" s="23"/>
      <c r="W145" s="2"/>
      <c r="X145" s="2"/>
      <c r="Y145" s="2"/>
      <c r="Z145" s="2">
        <v>2.1</v>
      </c>
      <c r="AA145" s="2">
        <v>1</v>
      </c>
      <c r="AB145" s="2"/>
      <c r="AC145" s="2"/>
      <c r="AD145" s="2"/>
      <c r="AE145" s="2"/>
      <c r="AF145" s="2">
        <v>1</v>
      </c>
      <c r="AG145" s="2">
        <v>1</v>
      </c>
      <c r="AH145" s="2"/>
      <c r="AI145" s="2"/>
      <c r="AJ145" s="2"/>
      <c r="AO145">
        <v>34</v>
      </c>
      <c r="AP145" s="21">
        <v>0</v>
      </c>
      <c r="AQ145" s="21"/>
      <c r="AR145" s="28">
        <v>1.92</v>
      </c>
      <c r="AS145" s="28">
        <v>2.72</v>
      </c>
      <c r="AT145" s="28">
        <v>0.64</v>
      </c>
      <c r="AU145" s="28">
        <v>2.8</v>
      </c>
      <c r="AV145" s="28">
        <v>0.23762376237623761</v>
      </c>
      <c r="AW145" s="28">
        <v>0.33663366336633671</v>
      </c>
      <c r="AX145" s="28">
        <v>7.9207920792079209E-2</v>
      </c>
      <c r="AY145" s="28">
        <v>0.34653465346534651</v>
      </c>
      <c r="AZ145" s="25">
        <v>0.82</v>
      </c>
      <c r="BA145" s="25">
        <v>3.44</v>
      </c>
      <c r="BB145" s="25">
        <v>2.62</v>
      </c>
      <c r="BC145" s="25">
        <v>2.7488000000000001</v>
      </c>
      <c r="BD145">
        <v>2.7488000000000001</v>
      </c>
      <c r="BE145">
        <v>6.2305574404000001</v>
      </c>
    </row>
    <row r="146" spans="1:57" x14ac:dyDescent="0.3">
      <c r="A146" s="5" t="s">
        <v>123</v>
      </c>
      <c r="B146" s="17" t="s">
        <v>924</v>
      </c>
      <c r="C146" s="13"/>
      <c r="D146" s="5"/>
      <c r="E146" s="5"/>
      <c r="F146" s="5">
        <v>3.7</v>
      </c>
      <c r="G146" s="5" t="s">
        <v>122</v>
      </c>
      <c r="H146" s="40">
        <v>-2</v>
      </c>
      <c r="I146">
        <v>-1</v>
      </c>
      <c r="K146" s="5"/>
      <c r="L146" s="5"/>
      <c r="M146" s="5"/>
      <c r="N146" s="23">
        <v>0</v>
      </c>
      <c r="O146" s="2"/>
      <c r="P146" s="2"/>
      <c r="Q146" s="2"/>
      <c r="R146" s="2"/>
      <c r="S146" s="2"/>
      <c r="T146" s="23">
        <v>0</v>
      </c>
      <c r="U146" s="23"/>
      <c r="V146" s="23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O146">
        <v>14</v>
      </c>
      <c r="AP146" s="21">
        <v>0</v>
      </c>
      <c r="AQ146" s="21"/>
      <c r="AR146" s="28">
        <v>1.847457627118644</v>
      </c>
      <c r="AS146" s="28">
        <v>2.4237288135593218</v>
      </c>
      <c r="AT146" s="28">
        <v>0.67796610169491522</v>
      </c>
      <c r="AU146" s="28">
        <v>2.610169491525423</v>
      </c>
      <c r="AV146" s="28">
        <v>0.2443946188340807</v>
      </c>
      <c r="AW146" s="28">
        <v>0.32062780269058289</v>
      </c>
      <c r="AX146" s="28">
        <v>8.9686098654708529E-2</v>
      </c>
      <c r="AY146" s="28">
        <v>0.3452914798206278</v>
      </c>
      <c r="AZ146" s="25">
        <v>1</v>
      </c>
      <c r="BA146" s="25">
        <v>3.44</v>
      </c>
      <c r="BB146" s="25">
        <v>2.44</v>
      </c>
      <c r="BC146" s="25">
        <v>2.732542372881356</v>
      </c>
      <c r="BD146">
        <v>2.732542372881356</v>
      </c>
      <c r="BE146">
        <v>6.5123179483671016</v>
      </c>
    </row>
    <row r="147" spans="1:57" x14ac:dyDescent="0.3">
      <c r="A147" s="5" t="s">
        <v>124</v>
      </c>
      <c r="B147" s="17" t="s">
        <v>925</v>
      </c>
      <c r="C147" s="13"/>
      <c r="D147" s="5"/>
      <c r="E147" s="5"/>
      <c r="F147" s="5">
        <v>3.9</v>
      </c>
      <c r="G147" s="5" t="s">
        <v>122</v>
      </c>
      <c r="H147" s="40">
        <v>-2</v>
      </c>
      <c r="I147">
        <v>-1</v>
      </c>
      <c r="K147" s="5"/>
      <c r="L147" s="5"/>
      <c r="M147" s="5"/>
      <c r="N147" s="23">
        <v>0</v>
      </c>
      <c r="O147" s="2"/>
      <c r="P147" s="2"/>
      <c r="Q147" s="2"/>
      <c r="R147" s="2"/>
      <c r="S147" s="2"/>
      <c r="T147" s="23">
        <v>0</v>
      </c>
      <c r="U147" s="23"/>
      <c r="V147" s="23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O147">
        <v>14</v>
      </c>
      <c r="AP147" s="21">
        <v>0</v>
      </c>
      <c r="AQ147" s="21"/>
      <c r="AR147" s="28">
        <v>1.85</v>
      </c>
      <c r="AS147" s="28">
        <v>2.3833333333333329</v>
      </c>
      <c r="AT147" s="28">
        <v>0.66666666666666663</v>
      </c>
      <c r="AU147" s="28">
        <v>2.5666666666666669</v>
      </c>
      <c r="AV147" s="28">
        <v>0.24776785714285721</v>
      </c>
      <c r="AW147" s="28">
        <v>0.3191964285714286</v>
      </c>
      <c r="AX147" s="28">
        <v>8.9285714285714288E-2</v>
      </c>
      <c r="AY147" s="28">
        <v>0.34375000000000011</v>
      </c>
      <c r="AZ147" s="25">
        <v>0.95</v>
      </c>
      <c r="BA147" s="25">
        <v>3.44</v>
      </c>
      <c r="BB147" s="25">
        <v>2.4900000000000002</v>
      </c>
      <c r="BC147" s="25">
        <v>2.6995</v>
      </c>
      <c r="BD147">
        <v>2.6995</v>
      </c>
      <c r="BE147">
        <v>6.4386446606443171</v>
      </c>
    </row>
    <row r="148" spans="1:57" x14ac:dyDescent="0.3">
      <c r="A148" s="5" t="s">
        <v>125</v>
      </c>
      <c r="B148" s="17" t="s">
        <v>926</v>
      </c>
      <c r="C148" s="13"/>
      <c r="D148" s="5"/>
      <c r="E148" s="5"/>
      <c r="F148" s="5">
        <v>4</v>
      </c>
      <c r="G148" s="5" t="s">
        <v>122</v>
      </c>
      <c r="H148" s="40">
        <v>-2</v>
      </c>
      <c r="I148">
        <v>-1</v>
      </c>
      <c r="K148" s="5"/>
      <c r="L148" s="5"/>
      <c r="M148" s="5"/>
      <c r="N148" s="23">
        <v>0</v>
      </c>
      <c r="O148" s="2"/>
      <c r="P148" s="2"/>
      <c r="Q148" s="2"/>
      <c r="R148" s="2"/>
      <c r="S148" s="2"/>
      <c r="T148" s="23">
        <v>0</v>
      </c>
      <c r="U148" s="23"/>
      <c r="V148" s="23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O148">
        <v>14</v>
      </c>
      <c r="AP148" s="21">
        <v>0</v>
      </c>
      <c r="AQ148" s="21"/>
      <c r="AR148" s="28">
        <v>1.8389830508474569</v>
      </c>
      <c r="AS148" s="28">
        <v>2.398305084745763</v>
      </c>
      <c r="AT148" s="28">
        <v>0.59322033898305082</v>
      </c>
      <c r="AU148" s="28">
        <v>2.4915254237288131</v>
      </c>
      <c r="AV148" s="28">
        <v>0.25115740740740738</v>
      </c>
      <c r="AW148" s="28">
        <v>0.32754629629629628</v>
      </c>
      <c r="AX148" s="28">
        <v>8.1018518518518517E-2</v>
      </c>
      <c r="AY148" s="28">
        <v>0.34027777777777768</v>
      </c>
      <c r="AZ148" s="25">
        <v>0.89</v>
      </c>
      <c r="BA148" s="25">
        <v>3.44</v>
      </c>
      <c r="BB148" s="25">
        <v>2.5499999999999998</v>
      </c>
      <c r="BC148" s="25">
        <v>2.7266101694915248</v>
      </c>
      <c r="BD148">
        <v>2.7266101694915261</v>
      </c>
      <c r="BE148">
        <v>6.5117833191709238</v>
      </c>
    </row>
    <row r="149" spans="1:57" x14ac:dyDescent="0.3">
      <c r="A149" s="5" t="s">
        <v>120</v>
      </c>
      <c r="B149" s="17" t="s">
        <v>927</v>
      </c>
      <c r="C149" s="13"/>
      <c r="D149" s="5"/>
      <c r="E149" s="5"/>
      <c r="F149" s="5">
        <v>4.3</v>
      </c>
      <c r="G149" s="5" t="s">
        <v>122</v>
      </c>
      <c r="H149" s="40">
        <v>-2</v>
      </c>
      <c r="I149">
        <v>-1</v>
      </c>
      <c r="K149" s="5"/>
      <c r="L149" s="5"/>
      <c r="M149" s="5"/>
      <c r="N149" s="23">
        <v>0</v>
      </c>
      <c r="O149" s="2"/>
      <c r="P149" s="2"/>
      <c r="Q149" s="2"/>
      <c r="R149" s="2"/>
      <c r="S149" s="2"/>
      <c r="T149" s="23">
        <v>0</v>
      </c>
      <c r="U149" s="25"/>
      <c r="V149" s="25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O149">
        <v>14</v>
      </c>
      <c r="AP149" s="21">
        <v>0</v>
      </c>
      <c r="AQ149" s="25"/>
      <c r="AR149" s="28">
        <v>1.8135593220338979</v>
      </c>
      <c r="AS149" s="28">
        <v>2.398305084745763</v>
      </c>
      <c r="AT149" s="28">
        <v>0.63559322033898302</v>
      </c>
      <c r="AU149" s="28">
        <v>2.4915254237288131</v>
      </c>
      <c r="AV149" s="28">
        <v>0.24711316397228639</v>
      </c>
      <c r="AW149" s="28">
        <v>0.32678983833718239</v>
      </c>
      <c r="AX149" s="28">
        <v>8.6605080831408776E-2</v>
      </c>
      <c r="AY149" s="28">
        <v>0.33949191685912239</v>
      </c>
      <c r="AZ149" s="25">
        <v>0.82</v>
      </c>
      <c r="BA149" s="25">
        <v>3.44</v>
      </c>
      <c r="BB149" s="25">
        <v>2.62</v>
      </c>
      <c r="BC149" s="25">
        <v>2.733728813559321</v>
      </c>
      <c r="BD149">
        <v>2.7337288135593218</v>
      </c>
      <c r="BE149">
        <v>6.5217336360353304</v>
      </c>
    </row>
    <row r="150" spans="1:57" x14ac:dyDescent="0.3">
      <c r="A150" s="2" t="s">
        <v>127</v>
      </c>
      <c r="B150" s="13" t="s">
        <v>754</v>
      </c>
      <c r="C150" s="13"/>
      <c r="D150" s="2"/>
      <c r="E150" s="2"/>
      <c r="F150" s="2">
        <v>2.39</v>
      </c>
      <c r="G150" s="2" t="s">
        <v>126</v>
      </c>
      <c r="H150" s="9">
        <v>-1</v>
      </c>
      <c r="I150">
        <v>-1</v>
      </c>
      <c r="K150" s="2"/>
      <c r="L150" s="2"/>
      <c r="M150" s="2"/>
      <c r="N150" s="23">
        <v>0</v>
      </c>
      <c r="O150" s="2">
        <v>5.4930000000000003</v>
      </c>
      <c r="P150" s="2">
        <v>5.4930000000000003</v>
      </c>
      <c r="Q150" s="2">
        <v>28.75</v>
      </c>
      <c r="R150" s="2"/>
      <c r="S150" s="2">
        <f>Q150/2</f>
        <v>14.375</v>
      </c>
      <c r="T150" s="23">
        <v>0</v>
      </c>
      <c r="U150" s="25"/>
      <c r="V150" s="25"/>
      <c r="W150" s="2">
        <v>1</v>
      </c>
      <c r="X150" s="2"/>
      <c r="Y150" s="2"/>
      <c r="Z150" s="2"/>
      <c r="AA150" s="2">
        <v>1</v>
      </c>
      <c r="AB150" s="2"/>
      <c r="AC150" s="2"/>
      <c r="AD150" s="2"/>
      <c r="AE150" s="2">
        <v>1</v>
      </c>
      <c r="AF150" s="2">
        <v>1</v>
      </c>
      <c r="AG150" s="2">
        <v>1</v>
      </c>
      <c r="AH150" s="2"/>
      <c r="AI150" s="2"/>
      <c r="AJ150" s="2"/>
      <c r="AO150">
        <v>2</v>
      </c>
      <c r="AP150" s="21">
        <v>0</v>
      </c>
      <c r="AQ150" s="25"/>
      <c r="AR150" s="28">
        <v>1.428571428571429</v>
      </c>
      <c r="AS150" s="28">
        <v>1.5</v>
      </c>
      <c r="AT150" s="28">
        <v>5.1428571428571432</v>
      </c>
      <c r="AU150" s="28">
        <v>4</v>
      </c>
      <c r="AV150" s="28">
        <v>0.1183431952662722</v>
      </c>
      <c r="AW150" s="28">
        <v>0.1242603550295858</v>
      </c>
      <c r="AX150" s="28">
        <v>0.42603550295857989</v>
      </c>
      <c r="AY150" s="28">
        <v>0.33136094674556221</v>
      </c>
      <c r="AZ150" s="25">
        <v>1.6</v>
      </c>
      <c r="BA150" s="25">
        <v>3.44</v>
      </c>
      <c r="BB150" s="25">
        <v>1.84</v>
      </c>
      <c r="BC150" s="25">
        <v>1.9628571428571431</v>
      </c>
      <c r="BD150">
        <v>1.9628571428571431</v>
      </c>
      <c r="BE150">
        <v>4.4993245392857144</v>
      </c>
    </row>
    <row r="151" spans="1:57" x14ac:dyDescent="0.3">
      <c r="A151" s="2" t="s">
        <v>128</v>
      </c>
      <c r="B151" s="13" t="s">
        <v>755</v>
      </c>
      <c r="C151" s="13"/>
      <c r="D151" s="2"/>
      <c r="E151" s="2"/>
      <c r="F151" s="2">
        <v>3.42</v>
      </c>
      <c r="G151" s="2" t="s">
        <v>126</v>
      </c>
      <c r="H151" s="9" t="s">
        <v>571</v>
      </c>
      <c r="I151" t="s">
        <v>649</v>
      </c>
      <c r="K151" s="2"/>
      <c r="L151" s="2"/>
      <c r="M151" s="2"/>
      <c r="N151" s="23">
        <v>2</v>
      </c>
      <c r="O151" s="2"/>
      <c r="P151" s="2"/>
      <c r="Q151" s="2"/>
      <c r="R151" s="2"/>
      <c r="S151" s="2"/>
      <c r="T151" s="23">
        <v>3.8933966999999998</v>
      </c>
      <c r="U151" s="23">
        <v>3.8933966999999998</v>
      </c>
      <c r="V151" s="23">
        <v>7.4931887499999998</v>
      </c>
      <c r="W151" s="2"/>
      <c r="X151" s="2"/>
      <c r="Y151" s="2"/>
      <c r="Z151" s="2"/>
      <c r="AA151" s="2">
        <v>1</v>
      </c>
      <c r="AB151" s="2"/>
      <c r="AC151" s="2"/>
      <c r="AD151" s="2"/>
      <c r="AE151" s="2"/>
      <c r="AF151" s="2"/>
      <c r="AG151" s="2">
        <v>1</v>
      </c>
      <c r="AH151" s="2"/>
      <c r="AI151" s="2"/>
      <c r="AJ151" s="2"/>
      <c r="AO151">
        <v>2</v>
      </c>
      <c r="AP151" s="21">
        <v>113.5857853857584</v>
      </c>
      <c r="AQ151" s="21">
        <v>3.5215674095268677E-2</v>
      </c>
      <c r="AR151" s="28">
        <v>2</v>
      </c>
      <c r="AS151" s="28">
        <v>4</v>
      </c>
      <c r="AT151" s="28">
        <v>3.333333333333333</v>
      </c>
      <c r="AU151" s="28">
        <v>4.666666666666667</v>
      </c>
      <c r="AV151" s="28">
        <v>0.14285714285714279</v>
      </c>
      <c r="AW151" s="28">
        <v>0.2857142857142857</v>
      </c>
      <c r="AX151" s="28">
        <v>0.23809523809523811</v>
      </c>
      <c r="AY151" s="28">
        <v>0.33333333333333343</v>
      </c>
      <c r="AZ151" s="25">
        <v>2.02</v>
      </c>
      <c r="BA151" s="25">
        <v>3.44</v>
      </c>
      <c r="BB151" s="25">
        <v>1.42</v>
      </c>
      <c r="BC151" s="25">
        <v>2.8733333333333331</v>
      </c>
      <c r="BD151">
        <v>2.8733333333333331</v>
      </c>
      <c r="BE151">
        <v>6.6478994516666674</v>
      </c>
    </row>
    <row r="152" spans="1:57" x14ac:dyDescent="0.3">
      <c r="A152" s="2" t="s">
        <v>129</v>
      </c>
      <c r="B152" s="13" t="s">
        <v>756</v>
      </c>
      <c r="C152" s="13"/>
      <c r="D152" s="2"/>
      <c r="E152" s="2"/>
      <c r="F152" s="2">
        <v>2.39</v>
      </c>
      <c r="G152" s="2" t="s">
        <v>133</v>
      </c>
      <c r="H152" s="9" t="s">
        <v>572</v>
      </c>
      <c r="I152" t="s">
        <v>650</v>
      </c>
      <c r="K152" s="2"/>
      <c r="L152" s="2"/>
      <c r="M152" s="2"/>
      <c r="N152" s="23">
        <v>4</v>
      </c>
      <c r="O152" s="2"/>
      <c r="P152" s="2"/>
      <c r="Q152" s="2"/>
      <c r="R152" s="2"/>
      <c r="S152" s="2"/>
      <c r="T152" s="23">
        <v>5.5026178200000002</v>
      </c>
      <c r="U152" s="25">
        <v>5.5582516699999998</v>
      </c>
      <c r="V152" s="25">
        <v>28.882220520000001</v>
      </c>
      <c r="W152" s="2">
        <v>1</v>
      </c>
      <c r="X152" t="s">
        <v>489</v>
      </c>
      <c r="Y152" s="2"/>
      <c r="Z152" s="2"/>
      <c r="AA152" s="2"/>
      <c r="AB152" s="2"/>
      <c r="AC152" s="2"/>
      <c r="AD152" s="2"/>
      <c r="AE152" s="2">
        <v>1</v>
      </c>
      <c r="AF152" s="2">
        <v>1</v>
      </c>
      <c r="AG152" s="2">
        <v>1</v>
      </c>
      <c r="AH152" s="2"/>
      <c r="AI152" s="2"/>
      <c r="AJ152" s="2">
        <v>1</v>
      </c>
      <c r="AO152">
        <v>16</v>
      </c>
      <c r="AP152" s="21">
        <v>883.36082823090169</v>
      </c>
      <c r="AQ152" s="25">
        <v>7.2450575070407169E-2</v>
      </c>
      <c r="AR152" s="28">
        <v>1.928571428571429</v>
      </c>
      <c r="AS152" s="28">
        <v>3.5</v>
      </c>
      <c r="AT152" s="28">
        <v>3.1428571428571428</v>
      </c>
      <c r="AU152" s="28">
        <v>4</v>
      </c>
      <c r="AV152" s="28">
        <v>0.15340909090909091</v>
      </c>
      <c r="AW152" s="28">
        <v>0.27840909090909088</v>
      </c>
      <c r="AX152" s="28">
        <v>0.25</v>
      </c>
      <c r="AY152" s="28">
        <v>0.31818181818181818</v>
      </c>
      <c r="AZ152" s="25">
        <v>1.6</v>
      </c>
      <c r="BA152" s="25">
        <v>3.44</v>
      </c>
      <c r="BB152" s="25">
        <v>1.84</v>
      </c>
      <c r="BC152" s="25">
        <v>2.882857142857143</v>
      </c>
      <c r="BD152">
        <v>2.882857142857143</v>
      </c>
      <c r="BE152">
        <v>6.350050364285714</v>
      </c>
    </row>
    <row r="153" spans="1:57" x14ac:dyDescent="0.3">
      <c r="A153" s="2" t="s">
        <v>130</v>
      </c>
      <c r="B153" s="13" t="s">
        <v>757</v>
      </c>
      <c r="C153" s="13"/>
      <c r="D153" s="2"/>
      <c r="E153" s="2"/>
      <c r="F153" s="2">
        <v>2.2200000000000002</v>
      </c>
      <c r="G153" s="2" t="s">
        <v>133</v>
      </c>
      <c r="H153" s="9" t="s">
        <v>573</v>
      </c>
      <c r="I153">
        <v>-1</v>
      </c>
      <c r="K153" s="2"/>
      <c r="L153" s="2"/>
      <c r="M153" s="2"/>
      <c r="N153" s="23">
        <v>4</v>
      </c>
      <c r="O153" s="2"/>
      <c r="P153" s="2"/>
      <c r="Q153" s="2"/>
      <c r="R153" s="2"/>
      <c r="S153" s="2"/>
      <c r="T153" s="23">
        <v>5.5809040000000003</v>
      </c>
      <c r="U153" s="23">
        <v>5.6539380000000001</v>
      </c>
      <c r="V153" s="23">
        <v>29.812771999999999</v>
      </c>
      <c r="W153" s="2">
        <v>1</v>
      </c>
      <c r="X153" t="s">
        <v>490</v>
      </c>
      <c r="Y153" s="2"/>
      <c r="Z153" s="2"/>
      <c r="AA153" s="2"/>
      <c r="AB153" s="2"/>
      <c r="AC153" s="2"/>
      <c r="AD153" s="2"/>
      <c r="AE153" s="2">
        <v>1</v>
      </c>
      <c r="AF153" s="2">
        <v>1</v>
      </c>
      <c r="AG153" s="2">
        <v>1</v>
      </c>
      <c r="AH153" s="2"/>
      <c r="AI153" s="2"/>
      <c r="AJ153" s="2">
        <v>1</v>
      </c>
      <c r="AO153">
        <v>16</v>
      </c>
      <c r="AP153" s="21">
        <v>940.71474773474347</v>
      </c>
      <c r="AQ153" s="21">
        <v>6.8033375849706881E-2</v>
      </c>
      <c r="AR153" s="28">
        <v>1.928571428571429</v>
      </c>
      <c r="AS153" s="28">
        <v>3.5</v>
      </c>
      <c r="AT153" s="28">
        <v>3.8571428571428572</v>
      </c>
      <c r="AU153" s="28">
        <v>4</v>
      </c>
      <c r="AV153" s="28">
        <v>0.1451612903225806</v>
      </c>
      <c r="AW153" s="28">
        <v>0.26344086021505381</v>
      </c>
      <c r="AX153" s="28">
        <v>0.29032258064516131</v>
      </c>
      <c r="AY153" s="28">
        <v>0.30107526881720431</v>
      </c>
      <c r="AZ153" s="25">
        <v>1.6</v>
      </c>
      <c r="BA153" s="25">
        <v>3.44</v>
      </c>
      <c r="BB153" s="25">
        <v>1.84</v>
      </c>
      <c r="BC153" s="25">
        <v>2.8685714285714279</v>
      </c>
      <c r="BD153">
        <v>2.8685714285714279</v>
      </c>
      <c r="BE153">
        <v>6.299944650714286</v>
      </c>
    </row>
    <row r="154" spans="1:57" x14ac:dyDescent="0.3">
      <c r="A154" s="2" t="s">
        <v>131</v>
      </c>
      <c r="B154" s="13" t="s">
        <v>758</v>
      </c>
      <c r="C154" s="13"/>
      <c r="D154" s="2"/>
      <c r="E154" s="2"/>
      <c r="F154" s="2">
        <v>2.29</v>
      </c>
      <c r="G154" s="2" t="s">
        <v>133</v>
      </c>
      <c r="H154" s="9" t="s">
        <v>574</v>
      </c>
      <c r="I154" t="s">
        <v>651</v>
      </c>
      <c r="K154" s="2"/>
      <c r="L154" s="2"/>
      <c r="M154" s="2"/>
      <c r="N154" s="23">
        <v>1</v>
      </c>
      <c r="O154" s="2"/>
      <c r="P154" s="2"/>
      <c r="Q154" s="2"/>
      <c r="R154" s="2"/>
      <c r="S154" s="2"/>
      <c r="T154" s="23">
        <v>3.9070640000000001</v>
      </c>
      <c r="U154" s="23">
        <v>3.9070640000000001</v>
      </c>
      <c r="V154" s="23">
        <v>14.317354999999999</v>
      </c>
      <c r="W154" s="2">
        <v>1</v>
      </c>
      <c r="X154" t="s">
        <v>492</v>
      </c>
      <c r="Y154" s="2"/>
      <c r="Z154" s="2"/>
      <c r="AA154" s="2"/>
      <c r="AB154" s="2"/>
      <c r="AC154" s="2"/>
      <c r="AD154" s="2"/>
      <c r="AE154" s="2">
        <v>1</v>
      </c>
      <c r="AF154" s="2">
        <v>1</v>
      </c>
      <c r="AG154" s="2">
        <v>1</v>
      </c>
      <c r="AH154" s="2"/>
      <c r="AI154" s="2"/>
      <c r="AJ154" s="2">
        <v>1</v>
      </c>
      <c r="AO154">
        <v>16</v>
      </c>
      <c r="AP154" s="21">
        <v>218.55655879400501</v>
      </c>
      <c r="AQ154" s="21">
        <v>7.320759481338833E-2</v>
      </c>
      <c r="AR154" s="28">
        <v>2</v>
      </c>
      <c r="AS154" s="28">
        <v>3.5</v>
      </c>
      <c r="AT154" s="28">
        <v>3.0714285714285721</v>
      </c>
      <c r="AU154" s="28">
        <v>5</v>
      </c>
      <c r="AV154" s="28">
        <v>0.14736842105263159</v>
      </c>
      <c r="AW154" s="28">
        <v>0.25789473684210529</v>
      </c>
      <c r="AX154" s="28">
        <v>0.22631578947368419</v>
      </c>
      <c r="AY154" s="28">
        <v>0.36842105263157893</v>
      </c>
      <c r="AZ154" s="25">
        <v>1.5</v>
      </c>
      <c r="BA154" s="25">
        <v>3.44</v>
      </c>
      <c r="BB154" s="25">
        <v>1.94</v>
      </c>
      <c r="BC154" s="25">
        <v>2.875714285714285</v>
      </c>
      <c r="BD154">
        <v>2.875714285714285</v>
      </c>
      <c r="BE154">
        <v>6.3570658642857136</v>
      </c>
    </row>
    <row r="155" spans="1:57" x14ac:dyDescent="0.3">
      <c r="A155" s="2" t="s">
        <v>132</v>
      </c>
      <c r="B155" s="13" t="s">
        <v>759</v>
      </c>
      <c r="C155" s="13"/>
      <c r="D155" s="2"/>
      <c r="E155" s="2"/>
      <c r="F155" s="2">
        <v>2.27</v>
      </c>
      <c r="G155" s="2" t="s">
        <v>133</v>
      </c>
      <c r="H155" s="9" t="s">
        <v>575</v>
      </c>
      <c r="I155">
        <v>-1</v>
      </c>
      <c r="K155" s="2"/>
      <c r="L155" s="2"/>
      <c r="M155" s="2"/>
      <c r="N155" s="23">
        <v>4</v>
      </c>
      <c r="O155" s="2"/>
      <c r="P155" s="2"/>
      <c r="Q155" s="2"/>
      <c r="R155" s="2"/>
      <c r="S155" s="2"/>
      <c r="T155" s="23">
        <v>5.4952131800000004</v>
      </c>
      <c r="U155" s="25">
        <v>5.5421627200000003</v>
      </c>
      <c r="V155" s="25">
        <v>29.451395720000001</v>
      </c>
      <c r="W155" s="2">
        <v>1</v>
      </c>
      <c r="X155" t="s">
        <v>491</v>
      </c>
      <c r="Y155" s="2"/>
      <c r="Z155" s="2"/>
      <c r="AA155" s="2"/>
      <c r="AB155" s="2"/>
      <c r="AC155" s="2"/>
      <c r="AD155" s="2"/>
      <c r="AE155" s="2">
        <v>1</v>
      </c>
      <c r="AF155" s="2">
        <v>1</v>
      </c>
      <c r="AG155" s="2">
        <v>1</v>
      </c>
      <c r="AH155" s="2"/>
      <c r="AI155" s="2"/>
      <c r="AJ155" s="2">
        <v>1</v>
      </c>
      <c r="AO155">
        <v>16</v>
      </c>
      <c r="AP155" s="21">
        <v>896.95302480881253</v>
      </c>
      <c r="AQ155" s="25">
        <v>7.1352677598296457E-2</v>
      </c>
      <c r="AR155" s="28">
        <v>2</v>
      </c>
      <c r="AS155" s="28">
        <v>3.5</v>
      </c>
      <c r="AT155" s="28">
        <v>3.785714285714286</v>
      </c>
      <c r="AU155" s="28">
        <v>5</v>
      </c>
      <c r="AV155" s="28">
        <v>0.14000000000000001</v>
      </c>
      <c r="AW155" s="28">
        <v>0.245</v>
      </c>
      <c r="AX155" s="28">
        <v>0.26500000000000001</v>
      </c>
      <c r="AY155" s="28">
        <v>0.35</v>
      </c>
      <c r="AZ155" s="25">
        <v>1.5</v>
      </c>
      <c r="BA155" s="25">
        <v>3.44</v>
      </c>
      <c r="BB155" s="25">
        <v>1.94</v>
      </c>
      <c r="BC155" s="25">
        <v>2.8614285714285721</v>
      </c>
      <c r="BD155">
        <v>2.8614285714285712</v>
      </c>
      <c r="BE155">
        <v>6.3069601507142856</v>
      </c>
    </row>
    <row r="156" spans="1:57" x14ac:dyDescent="0.3">
      <c r="A156" s="2" t="s">
        <v>136</v>
      </c>
      <c r="B156" s="13" t="s">
        <v>760</v>
      </c>
      <c r="C156" s="13"/>
      <c r="D156" s="2"/>
      <c r="E156" s="2"/>
      <c r="F156" s="2">
        <v>3.8</v>
      </c>
      <c r="G156" s="2" t="s">
        <v>135</v>
      </c>
      <c r="H156" s="9">
        <v>-1</v>
      </c>
      <c r="I156">
        <v>-1</v>
      </c>
      <c r="J156" t="s">
        <v>1164</v>
      </c>
      <c r="K156" s="2"/>
      <c r="L156" s="2"/>
      <c r="M156" s="2"/>
      <c r="N156" s="23">
        <v>0</v>
      </c>
      <c r="O156" s="2">
        <v>3.89</v>
      </c>
      <c r="P156" s="2">
        <v>3.89</v>
      </c>
      <c r="Q156" s="2">
        <v>10.34</v>
      </c>
      <c r="R156" s="2" t="s">
        <v>440</v>
      </c>
      <c r="S156" s="2"/>
      <c r="T156" s="23">
        <v>0</v>
      </c>
      <c r="U156" s="23"/>
      <c r="V156" s="23"/>
      <c r="W156" s="2">
        <v>1</v>
      </c>
      <c r="X156" s="2"/>
      <c r="Y156" s="2">
        <v>2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O156">
        <v>14</v>
      </c>
      <c r="AP156" s="21">
        <v>0</v>
      </c>
      <c r="AQ156" s="21"/>
      <c r="AR156" s="28">
        <v>1.9090909090909089</v>
      </c>
      <c r="AS156" s="28">
        <v>2.545454545454545</v>
      </c>
      <c r="AT156" s="28">
        <v>0.63636363636363635</v>
      </c>
      <c r="AU156" s="28">
        <v>2.545454545454545</v>
      </c>
      <c r="AV156" s="28">
        <v>0.25</v>
      </c>
      <c r="AW156" s="28">
        <v>0.33333333333333331</v>
      </c>
      <c r="AX156" s="28">
        <v>8.3333333333333329E-2</v>
      </c>
      <c r="AY156" s="28">
        <v>0.33333333333333331</v>
      </c>
      <c r="AZ156" s="25">
        <v>1.1000000000000001</v>
      </c>
      <c r="BA156" s="25">
        <v>3.44</v>
      </c>
      <c r="BB156" s="25">
        <v>2.34</v>
      </c>
      <c r="BC156" s="25">
        <v>2.7618181818181822</v>
      </c>
      <c r="BD156">
        <v>2.7618181818181822</v>
      </c>
      <c r="BE156">
        <v>6.4448628590773636</v>
      </c>
    </row>
    <row r="157" spans="1:57" x14ac:dyDescent="0.3">
      <c r="A157" s="2" t="s">
        <v>137</v>
      </c>
      <c r="B157" s="13" t="s">
        <v>761</v>
      </c>
      <c r="C157" s="13"/>
      <c r="D157" s="2"/>
      <c r="E157" s="2"/>
      <c r="F157" s="2">
        <v>3.85</v>
      </c>
      <c r="G157" s="2" t="s">
        <v>135</v>
      </c>
      <c r="H157" s="9" t="s">
        <v>576</v>
      </c>
      <c r="I157" t="s">
        <v>652</v>
      </c>
      <c r="K157" s="2"/>
      <c r="L157" s="2"/>
      <c r="M157" s="2"/>
      <c r="N157" s="23">
        <v>1</v>
      </c>
      <c r="O157" s="2">
        <v>3.85</v>
      </c>
      <c r="P157" s="2">
        <v>3.85</v>
      </c>
      <c r="Q157" s="2">
        <v>12.77</v>
      </c>
      <c r="R157" s="2" t="s">
        <v>440</v>
      </c>
      <c r="S157" s="2"/>
      <c r="T157" s="23">
        <v>11.210029909999999</v>
      </c>
      <c r="U157" s="23">
        <v>11.210029909999999</v>
      </c>
      <c r="V157" s="23">
        <v>11.210029909999999</v>
      </c>
      <c r="W157" s="2">
        <v>1</v>
      </c>
      <c r="X157" s="2"/>
      <c r="Y157" s="2">
        <v>2</v>
      </c>
      <c r="Z157" s="2"/>
      <c r="AA157" s="2">
        <v>1</v>
      </c>
      <c r="AB157" s="2"/>
      <c r="AC157" s="2"/>
      <c r="AD157" s="2"/>
      <c r="AE157" s="2"/>
      <c r="AF157" s="2"/>
      <c r="AG157" s="2"/>
      <c r="AH157" s="2"/>
      <c r="AI157" s="2"/>
      <c r="AJ157" s="2"/>
      <c r="AO157">
        <v>14</v>
      </c>
      <c r="AP157" s="21">
        <v>167.3639996655379</v>
      </c>
      <c r="AQ157" s="21">
        <v>8.365000853216796E-2</v>
      </c>
      <c r="AR157" s="28">
        <v>1.9090909090909089</v>
      </c>
      <c r="AS157" s="28">
        <v>2.545454545454545</v>
      </c>
      <c r="AT157" s="28">
        <v>0.63636363636363635</v>
      </c>
      <c r="AU157" s="28">
        <v>2.545454545454545</v>
      </c>
      <c r="AV157" s="28">
        <v>0.25</v>
      </c>
      <c r="AW157" s="28">
        <v>0.33333333333333331</v>
      </c>
      <c r="AX157" s="28">
        <v>8.3333333333333329E-2</v>
      </c>
      <c r="AY157" s="28">
        <v>0.33333333333333331</v>
      </c>
      <c r="AZ157" s="25">
        <v>0.93</v>
      </c>
      <c r="BA157" s="25">
        <v>3.44</v>
      </c>
      <c r="BB157" s="25">
        <v>2.5099999999999998</v>
      </c>
      <c r="BC157" s="25">
        <v>2.646363636363636</v>
      </c>
      <c r="BD157">
        <v>2.646363636363636</v>
      </c>
      <c r="BE157">
        <v>6.0509524322727266</v>
      </c>
    </row>
    <row r="158" spans="1:57" x14ac:dyDescent="0.3">
      <c r="A158" s="2" t="s">
        <v>10</v>
      </c>
      <c r="B158" s="13" t="s">
        <v>695</v>
      </c>
      <c r="C158" s="13"/>
      <c r="D158" s="2"/>
      <c r="E158" s="2"/>
      <c r="F158" s="2">
        <v>3.9</v>
      </c>
      <c r="G158" s="2" t="s">
        <v>135</v>
      </c>
      <c r="H158" s="9" t="s">
        <v>531</v>
      </c>
      <c r="I158">
        <v>-1</v>
      </c>
      <c r="K158" s="2"/>
      <c r="L158" s="2"/>
      <c r="M158" s="2"/>
      <c r="N158" s="23">
        <v>1</v>
      </c>
      <c r="O158" s="2">
        <v>3.88</v>
      </c>
      <c r="P158" s="2">
        <v>3.88</v>
      </c>
      <c r="Q158" s="2">
        <v>11.07</v>
      </c>
      <c r="R158" s="2" t="s">
        <v>439</v>
      </c>
      <c r="S158" s="2"/>
      <c r="T158" s="23">
        <v>3.9103940000000001</v>
      </c>
      <c r="U158" s="23">
        <v>3.9103940000000001</v>
      </c>
      <c r="V158" s="23">
        <v>11.314458</v>
      </c>
      <c r="W158" s="2">
        <v>1</v>
      </c>
      <c r="X158" s="2"/>
      <c r="Y158" s="2">
        <v>2</v>
      </c>
      <c r="Z158" s="2"/>
      <c r="AA158" s="2">
        <v>1</v>
      </c>
      <c r="AB158" s="2"/>
      <c r="AC158" s="2"/>
      <c r="AD158" s="2"/>
      <c r="AE158" s="2"/>
      <c r="AF158" s="2"/>
      <c r="AG158" s="2"/>
      <c r="AH158" s="2"/>
      <c r="AI158" s="2"/>
      <c r="AJ158" s="2"/>
      <c r="AO158">
        <v>14</v>
      </c>
      <c r="AP158" s="21">
        <v>173.0114278564659</v>
      </c>
      <c r="AQ158" s="21">
        <v>8.0919510193365449E-2</v>
      </c>
      <c r="AR158" s="28">
        <v>1.9090909090909089</v>
      </c>
      <c r="AS158" s="28">
        <v>2.545454545454545</v>
      </c>
      <c r="AT158" s="28">
        <v>0.63636363636363635</v>
      </c>
      <c r="AU158" s="28">
        <v>2.545454545454545</v>
      </c>
      <c r="AV158" s="28">
        <v>0.25</v>
      </c>
      <c r="AW158" s="28">
        <v>0.33333333333333331</v>
      </c>
      <c r="AX158" s="28">
        <v>8.3333333333333329E-2</v>
      </c>
      <c r="AY158" s="28">
        <v>0.33333333333333331</v>
      </c>
      <c r="AZ158" s="25">
        <v>0.82</v>
      </c>
      <c r="BA158" s="25">
        <v>3.44</v>
      </c>
      <c r="BB158" s="25">
        <v>2.62</v>
      </c>
      <c r="BC158" s="25">
        <v>2.6363636363636358</v>
      </c>
      <c r="BD158">
        <v>2.6363636363636371</v>
      </c>
      <c r="BE158">
        <v>6.0044088459090901</v>
      </c>
    </row>
    <row r="159" spans="1:57" x14ac:dyDescent="0.3">
      <c r="A159" s="2" t="s">
        <v>138</v>
      </c>
      <c r="B159" s="13" t="s">
        <v>762</v>
      </c>
      <c r="C159" s="13"/>
      <c r="D159" s="2"/>
      <c r="E159" s="2"/>
      <c r="F159" s="2">
        <v>3.95</v>
      </c>
      <c r="G159" s="2" t="s">
        <v>135</v>
      </c>
      <c r="H159" s="9">
        <v>-1</v>
      </c>
      <c r="I159">
        <v>-1</v>
      </c>
      <c r="J159" t="s">
        <v>1165</v>
      </c>
      <c r="K159" s="2"/>
      <c r="L159" s="2"/>
      <c r="M159" s="2"/>
      <c r="N159" s="23">
        <v>0</v>
      </c>
      <c r="O159" s="2">
        <v>3.88</v>
      </c>
      <c r="P159" s="2">
        <v>3.88</v>
      </c>
      <c r="Q159" s="2">
        <v>11.07</v>
      </c>
      <c r="R159" s="2" t="s">
        <v>439</v>
      </c>
      <c r="S159" s="2"/>
      <c r="T159" s="23">
        <v>0</v>
      </c>
      <c r="U159" s="25"/>
      <c r="V159" s="25"/>
      <c r="W159" s="2">
        <v>1</v>
      </c>
      <c r="X159" s="2"/>
      <c r="Y159" s="2">
        <v>2</v>
      </c>
      <c r="Z159" s="2"/>
      <c r="AA159" s="2">
        <v>1</v>
      </c>
      <c r="AB159" s="2"/>
      <c r="AC159" s="2"/>
      <c r="AD159" s="2"/>
      <c r="AE159" s="2"/>
      <c r="AF159" s="2"/>
      <c r="AG159" s="2"/>
      <c r="AH159" s="2"/>
      <c r="AI159" s="2"/>
      <c r="AJ159" s="2"/>
      <c r="AO159">
        <v>14</v>
      </c>
      <c r="AP159" s="21">
        <v>0</v>
      </c>
      <c r="AQ159" s="25"/>
      <c r="AR159" s="28">
        <v>1.9090909090909089</v>
      </c>
      <c r="AS159" s="28">
        <v>2.545454545454545</v>
      </c>
      <c r="AT159" s="28">
        <v>0.63636363636363635</v>
      </c>
      <c r="AU159" s="28">
        <v>2.545454545454545</v>
      </c>
      <c r="AV159" s="28">
        <v>0.25</v>
      </c>
      <c r="AW159" s="28">
        <v>0.33333333333333331</v>
      </c>
      <c r="AX159" s="28">
        <v>8.3333333333333329E-2</v>
      </c>
      <c r="AY159" s="28">
        <v>0.33333333333333331</v>
      </c>
      <c r="AZ159" s="25">
        <v>0.79</v>
      </c>
      <c r="BA159" s="25">
        <v>3.44</v>
      </c>
      <c r="BB159" s="25">
        <v>2.65</v>
      </c>
      <c r="BC159" s="25">
        <v>2.6336363636363629</v>
      </c>
      <c r="BD159">
        <v>2.6336363636363642</v>
      </c>
      <c r="BE159">
        <v>5.9908857398831818</v>
      </c>
    </row>
    <row r="160" spans="1:57" x14ac:dyDescent="0.3">
      <c r="A160" s="2" t="s">
        <v>139</v>
      </c>
      <c r="B160" s="13" t="s">
        <v>763</v>
      </c>
      <c r="C160" s="13"/>
      <c r="D160" s="2"/>
      <c r="E160" s="2"/>
      <c r="F160" s="2">
        <v>3.55</v>
      </c>
      <c r="G160" s="2" t="s">
        <v>135</v>
      </c>
      <c r="H160" s="9">
        <v>-1</v>
      </c>
      <c r="I160">
        <v>-1</v>
      </c>
      <c r="K160" s="2"/>
      <c r="L160" s="2"/>
      <c r="M160" s="2"/>
      <c r="N160" s="23">
        <v>0</v>
      </c>
      <c r="O160" s="2">
        <v>3.9</v>
      </c>
      <c r="P160" s="2">
        <v>3.9</v>
      </c>
      <c r="Q160" s="2">
        <v>11.07</v>
      </c>
      <c r="R160" s="2" t="s">
        <v>519</v>
      </c>
      <c r="S160" s="2"/>
      <c r="T160" s="23">
        <v>0</v>
      </c>
      <c r="U160" s="25"/>
      <c r="V160" s="25"/>
      <c r="W160" s="2">
        <v>1</v>
      </c>
      <c r="X160" s="2"/>
      <c r="Y160" s="2">
        <v>2</v>
      </c>
      <c r="Z160" s="2"/>
      <c r="AA160" s="2">
        <v>1</v>
      </c>
      <c r="AB160" s="2"/>
      <c r="AC160" s="2"/>
      <c r="AD160" s="2"/>
      <c r="AE160" s="2"/>
      <c r="AF160" s="2"/>
      <c r="AG160" s="2"/>
      <c r="AH160" s="2"/>
      <c r="AI160" s="2"/>
      <c r="AJ160" s="2"/>
      <c r="AO160">
        <v>14</v>
      </c>
      <c r="AP160" s="21">
        <v>0</v>
      </c>
      <c r="AQ160" s="25"/>
      <c r="AR160" s="28">
        <v>1.9090909090909089</v>
      </c>
      <c r="AS160" s="28">
        <v>2.545454545454545</v>
      </c>
      <c r="AT160" s="28">
        <v>0.54545454545454541</v>
      </c>
      <c r="AU160" s="28">
        <v>2.8181818181818179</v>
      </c>
      <c r="AV160" s="28">
        <v>0.2441860465116279</v>
      </c>
      <c r="AW160" s="28">
        <v>0.32558139534883718</v>
      </c>
      <c r="AX160" s="28">
        <v>6.9767441860465115E-2</v>
      </c>
      <c r="AY160" s="28">
        <v>0.3604651162790698</v>
      </c>
      <c r="AZ160" s="25">
        <v>1.1299999999999999</v>
      </c>
      <c r="BA160" s="25">
        <v>3.44</v>
      </c>
      <c r="BB160" s="25">
        <v>2.31</v>
      </c>
      <c r="BC160" s="25">
        <v>2.7645454545454542</v>
      </c>
      <c r="BD160">
        <v>2.7645454545454551</v>
      </c>
      <c r="BE160">
        <v>6.4196350590773639</v>
      </c>
    </row>
    <row r="161" spans="1:57" x14ac:dyDescent="0.3">
      <c r="A161" s="2" t="s">
        <v>140</v>
      </c>
      <c r="B161" s="13" t="s">
        <v>764</v>
      </c>
      <c r="C161" s="13"/>
      <c r="D161" s="2"/>
      <c r="E161" s="2"/>
      <c r="F161" s="2">
        <v>3.55</v>
      </c>
      <c r="G161" s="2" t="s">
        <v>135</v>
      </c>
      <c r="H161" s="9">
        <v>-1</v>
      </c>
      <c r="I161">
        <v>-1</v>
      </c>
      <c r="K161" s="2"/>
      <c r="L161" s="2"/>
      <c r="M161" s="2"/>
      <c r="N161" s="23">
        <v>0</v>
      </c>
      <c r="O161" s="2">
        <v>3.88</v>
      </c>
      <c r="P161" s="2">
        <v>3.88</v>
      </c>
      <c r="Q161" s="2">
        <v>11.297000000000001</v>
      </c>
      <c r="R161" s="2" t="s">
        <v>439</v>
      </c>
      <c r="S161" s="2"/>
      <c r="T161" s="23">
        <v>0</v>
      </c>
      <c r="U161" s="23"/>
      <c r="V161" s="23"/>
      <c r="W161" s="2">
        <v>1</v>
      </c>
      <c r="X161" s="2"/>
      <c r="Y161" s="2">
        <v>2</v>
      </c>
      <c r="Z161" s="2"/>
      <c r="AA161" s="2">
        <v>1</v>
      </c>
      <c r="AB161" s="2"/>
      <c r="AC161" s="2"/>
      <c r="AD161" s="2"/>
      <c r="AE161" s="2"/>
      <c r="AF161" s="2"/>
      <c r="AG161" s="2"/>
      <c r="AH161" s="2"/>
      <c r="AI161" s="2"/>
      <c r="AJ161" s="2"/>
      <c r="AO161">
        <v>14</v>
      </c>
      <c r="AP161" s="21">
        <v>0</v>
      </c>
      <c r="AQ161" s="21"/>
      <c r="AR161" s="28">
        <v>1.9090909090909089</v>
      </c>
      <c r="AS161" s="28">
        <v>2.545454545454545</v>
      </c>
      <c r="AT161" s="28">
        <v>0.54545454545454541</v>
      </c>
      <c r="AU161" s="28">
        <v>2.8181818181818179</v>
      </c>
      <c r="AV161" s="28">
        <v>0.2441860465116279</v>
      </c>
      <c r="AW161" s="28">
        <v>0.32558139534883718</v>
      </c>
      <c r="AX161" s="28">
        <v>6.9767441860465115E-2</v>
      </c>
      <c r="AY161" s="28">
        <v>0.3604651162790698</v>
      </c>
      <c r="AZ161" s="25">
        <v>0.93</v>
      </c>
      <c r="BA161" s="25">
        <v>3.44</v>
      </c>
      <c r="BB161" s="25">
        <v>2.5099999999999998</v>
      </c>
      <c r="BC161" s="25">
        <v>2.6490909090909089</v>
      </c>
      <c r="BD161">
        <v>2.6490909090909081</v>
      </c>
      <c r="BE161">
        <v>6.0257246322727269</v>
      </c>
    </row>
    <row r="162" spans="1:57" x14ac:dyDescent="0.3">
      <c r="A162" s="2" t="s">
        <v>11</v>
      </c>
      <c r="B162" s="13" t="s">
        <v>696</v>
      </c>
      <c r="C162" s="13"/>
      <c r="D162" s="2"/>
      <c r="E162" s="2"/>
      <c r="F162" s="2">
        <v>3.55</v>
      </c>
      <c r="G162" s="2" t="s">
        <v>135</v>
      </c>
      <c r="H162" s="9">
        <v>-1</v>
      </c>
      <c r="I162">
        <v>-1</v>
      </c>
      <c r="J162" t="s">
        <v>1144</v>
      </c>
      <c r="K162" s="2"/>
      <c r="L162" s="2"/>
      <c r="M162" s="2"/>
      <c r="N162" s="23">
        <v>0</v>
      </c>
      <c r="O162" s="2">
        <v>3.88</v>
      </c>
      <c r="P162" s="2">
        <v>3.88</v>
      </c>
      <c r="Q162" s="2">
        <v>10.647</v>
      </c>
      <c r="R162" s="2" t="s">
        <v>439</v>
      </c>
      <c r="S162" s="2"/>
      <c r="T162" s="23">
        <v>0</v>
      </c>
      <c r="U162" s="23"/>
      <c r="V162" s="23"/>
      <c r="W162" s="2">
        <v>1</v>
      </c>
      <c r="X162" s="2"/>
      <c r="Y162" s="2">
        <v>2</v>
      </c>
      <c r="Z162" s="2"/>
      <c r="AA162" s="2">
        <v>1</v>
      </c>
      <c r="AB162" s="2"/>
      <c r="AC162" s="2"/>
      <c r="AD162" s="2"/>
      <c r="AE162" s="2"/>
      <c r="AF162" s="2"/>
      <c r="AG162" s="2"/>
      <c r="AH162" s="2"/>
      <c r="AI162" s="2"/>
      <c r="AJ162" s="2"/>
      <c r="AO162">
        <v>14</v>
      </c>
      <c r="AP162" s="21">
        <v>0</v>
      </c>
      <c r="AQ162" s="21"/>
      <c r="AR162" s="28">
        <v>1.9090909090909089</v>
      </c>
      <c r="AS162" s="28">
        <v>2.545454545454545</v>
      </c>
      <c r="AT162" s="28">
        <v>0.54545454545454541</v>
      </c>
      <c r="AU162" s="28">
        <v>2.8181818181818179</v>
      </c>
      <c r="AV162" s="28">
        <v>0.2441860465116279</v>
      </c>
      <c r="AW162" s="28">
        <v>0.32558139534883718</v>
      </c>
      <c r="AX162" s="28">
        <v>6.9767441860465115E-2</v>
      </c>
      <c r="AY162" s="28">
        <v>0.3604651162790698</v>
      </c>
      <c r="AZ162" s="25">
        <v>0.82</v>
      </c>
      <c r="BA162" s="25">
        <v>3.44</v>
      </c>
      <c r="BB162" s="25">
        <v>2.62</v>
      </c>
      <c r="BC162" s="25">
        <v>2.6390909090909092</v>
      </c>
      <c r="BD162">
        <v>2.6390909090909092</v>
      </c>
      <c r="BE162">
        <v>5.9791810459090904</v>
      </c>
    </row>
    <row r="163" spans="1:57" x14ac:dyDescent="0.3">
      <c r="A163" s="2" t="s">
        <v>141</v>
      </c>
      <c r="B163" s="13" t="s">
        <v>765</v>
      </c>
      <c r="C163" s="13"/>
      <c r="D163" s="2"/>
      <c r="E163" s="2"/>
      <c r="F163" s="2">
        <v>3.55</v>
      </c>
      <c r="G163" s="2" t="s">
        <v>135</v>
      </c>
      <c r="H163" s="9">
        <v>-1</v>
      </c>
      <c r="I163">
        <v>-1</v>
      </c>
      <c r="K163" s="2"/>
      <c r="L163" s="2"/>
      <c r="M163" s="2"/>
      <c r="N163" s="23">
        <v>0</v>
      </c>
      <c r="O163" s="2">
        <v>3.88</v>
      </c>
      <c r="P163" s="2">
        <v>3.88</v>
      </c>
      <c r="Q163" s="2">
        <v>11.066000000000001</v>
      </c>
      <c r="R163" s="2" t="s">
        <v>439</v>
      </c>
      <c r="S163" s="2"/>
      <c r="T163" s="23">
        <v>0</v>
      </c>
      <c r="U163" s="23"/>
      <c r="V163" s="23"/>
      <c r="W163" s="2">
        <v>1</v>
      </c>
      <c r="X163" s="2"/>
      <c r="Y163" s="2">
        <v>2</v>
      </c>
      <c r="Z163" s="2"/>
      <c r="AA163" s="2">
        <v>1</v>
      </c>
      <c r="AB163" s="2"/>
      <c r="AC163" s="2"/>
      <c r="AD163" s="2"/>
      <c r="AE163" s="2"/>
      <c r="AF163" s="2"/>
      <c r="AG163" s="2"/>
      <c r="AH163" s="2"/>
      <c r="AI163" s="2"/>
      <c r="AJ163" s="2"/>
      <c r="AO163">
        <v>14</v>
      </c>
      <c r="AP163" s="21">
        <v>0</v>
      </c>
      <c r="AQ163" s="21"/>
      <c r="AR163" s="28">
        <v>1.9090909090909089</v>
      </c>
      <c r="AS163" s="28">
        <v>2.545454545454545</v>
      </c>
      <c r="AT163" s="28">
        <v>0.54545454545454541</v>
      </c>
      <c r="AU163" s="28">
        <v>2.8181818181818179</v>
      </c>
      <c r="AV163" s="28">
        <v>0.2441860465116279</v>
      </c>
      <c r="AW163" s="28">
        <v>0.32558139534883718</v>
      </c>
      <c r="AX163" s="28">
        <v>6.9767441860465115E-2</v>
      </c>
      <c r="AY163" s="28">
        <v>0.3604651162790698</v>
      </c>
      <c r="AZ163" s="25">
        <v>0.79</v>
      </c>
      <c r="BA163" s="25">
        <v>3.44</v>
      </c>
      <c r="BB163" s="25">
        <v>2.65</v>
      </c>
      <c r="BC163" s="25">
        <v>2.6363636363636358</v>
      </c>
      <c r="BD163">
        <v>2.6363636363636358</v>
      </c>
      <c r="BE163">
        <v>5.9656579398831813</v>
      </c>
    </row>
    <row r="164" spans="1:57" x14ac:dyDescent="0.3">
      <c r="A164" s="2" t="s">
        <v>142</v>
      </c>
      <c r="B164" s="13" t="s">
        <v>766</v>
      </c>
      <c r="C164" s="13"/>
      <c r="D164" s="2"/>
      <c r="E164" s="2"/>
      <c r="F164" s="2">
        <v>4.2</v>
      </c>
      <c r="G164" s="2" t="s">
        <v>135</v>
      </c>
      <c r="H164" s="9">
        <v>-1</v>
      </c>
      <c r="I164">
        <v>-1</v>
      </c>
      <c r="K164" s="2"/>
      <c r="L164" s="2"/>
      <c r="M164" s="2"/>
      <c r="N164" s="23">
        <v>0</v>
      </c>
      <c r="O164" s="2">
        <v>3.92</v>
      </c>
      <c r="P164" s="2">
        <v>3.92</v>
      </c>
      <c r="Q164" s="2">
        <v>11.065</v>
      </c>
      <c r="R164" s="2" t="s">
        <v>439</v>
      </c>
      <c r="S164" s="2"/>
      <c r="T164" s="23">
        <v>0</v>
      </c>
      <c r="U164" s="23"/>
      <c r="V164" s="23"/>
      <c r="W164" s="2">
        <v>1</v>
      </c>
      <c r="X164" s="2"/>
      <c r="Y164" s="2">
        <v>2</v>
      </c>
      <c r="Z164" s="2"/>
      <c r="AA164" s="2">
        <v>1</v>
      </c>
      <c r="AB164" s="2"/>
      <c r="AC164" s="2"/>
      <c r="AD164" s="2"/>
      <c r="AE164" s="2"/>
      <c r="AF164" s="2"/>
      <c r="AG164" s="2"/>
      <c r="AH164" s="2"/>
      <c r="AI164" s="2"/>
      <c r="AJ164" s="2"/>
      <c r="AO164">
        <v>14</v>
      </c>
      <c r="AP164" s="21">
        <v>0</v>
      </c>
      <c r="AQ164" s="21"/>
      <c r="AR164" s="28">
        <v>1.9090909090909089</v>
      </c>
      <c r="AS164" s="28">
        <v>2.545454545454545</v>
      </c>
      <c r="AT164" s="28">
        <v>0.54545454545454541</v>
      </c>
      <c r="AU164" s="28">
        <v>2.9090909090909092</v>
      </c>
      <c r="AV164" s="28">
        <v>0.2413793103448276</v>
      </c>
      <c r="AW164" s="28">
        <v>0.32183908045977011</v>
      </c>
      <c r="AX164" s="28">
        <v>6.8965517241379309E-2</v>
      </c>
      <c r="AY164" s="28">
        <v>0.36781609195402298</v>
      </c>
      <c r="AZ164" s="25">
        <v>1.1399999999999999</v>
      </c>
      <c r="BA164" s="25">
        <v>3.44</v>
      </c>
      <c r="BB164" s="25">
        <v>2.2999999999999998</v>
      </c>
      <c r="BC164" s="25">
        <v>2.7654545454545452</v>
      </c>
      <c r="BD164">
        <v>2.7654545454545461</v>
      </c>
      <c r="BE164">
        <v>6.4215922727137267</v>
      </c>
    </row>
    <row r="165" spans="1:57" x14ac:dyDescent="0.3">
      <c r="A165" s="2" t="s">
        <v>143</v>
      </c>
      <c r="B165" s="13" t="s">
        <v>767</v>
      </c>
      <c r="C165" s="13"/>
      <c r="D165" s="2"/>
      <c r="E165" s="2"/>
      <c r="F165" s="2">
        <v>4.1500000000000004</v>
      </c>
      <c r="G165" s="2" t="s">
        <v>135</v>
      </c>
      <c r="H165" s="9">
        <v>-1</v>
      </c>
      <c r="I165">
        <v>-1</v>
      </c>
      <c r="K165" s="2"/>
      <c r="L165" s="2"/>
      <c r="M165" s="2"/>
      <c r="N165" s="23">
        <v>0</v>
      </c>
      <c r="O165" s="2">
        <v>3.92</v>
      </c>
      <c r="P165" s="2">
        <v>3.92</v>
      </c>
      <c r="Q165" s="2">
        <v>11.7911</v>
      </c>
      <c r="R165" s="2" t="s">
        <v>439</v>
      </c>
      <c r="S165" s="2"/>
      <c r="T165" s="23">
        <v>0</v>
      </c>
      <c r="U165" s="25"/>
      <c r="V165" s="25"/>
      <c r="W165" s="2">
        <v>1</v>
      </c>
      <c r="X165" s="2"/>
      <c r="Y165" s="2">
        <v>2</v>
      </c>
      <c r="Z165" s="2"/>
      <c r="AA165" s="2">
        <v>1</v>
      </c>
      <c r="AB165" s="2"/>
      <c r="AC165" s="2"/>
      <c r="AD165" s="2"/>
      <c r="AE165" s="2"/>
      <c r="AF165" s="2"/>
      <c r="AG165" s="2"/>
      <c r="AH165" s="2"/>
      <c r="AI165" s="2"/>
      <c r="AJ165" s="2"/>
      <c r="AO165">
        <v>14</v>
      </c>
      <c r="AP165" s="21">
        <v>0</v>
      </c>
      <c r="AQ165" s="25"/>
      <c r="AR165" s="28">
        <v>1.9090909090909089</v>
      </c>
      <c r="AS165" s="28">
        <v>2.545454545454545</v>
      </c>
      <c r="AT165" s="28">
        <v>0.54545454545454541</v>
      </c>
      <c r="AU165" s="28">
        <v>2.9090909090909092</v>
      </c>
      <c r="AV165" s="28">
        <v>0.2413793103448276</v>
      </c>
      <c r="AW165" s="28">
        <v>0.32183908045977011</v>
      </c>
      <c r="AX165" s="28">
        <v>6.8965517241379309E-2</v>
      </c>
      <c r="AY165" s="28">
        <v>0.36781609195402298</v>
      </c>
      <c r="AZ165" s="25">
        <v>0.93</v>
      </c>
      <c r="BA165" s="25">
        <v>3.44</v>
      </c>
      <c r="BB165" s="25">
        <v>2.5099999999999998</v>
      </c>
      <c r="BC165" s="25">
        <v>2.65</v>
      </c>
      <c r="BD165">
        <v>2.649999999999999</v>
      </c>
      <c r="BE165">
        <v>6.0276818459090906</v>
      </c>
    </row>
    <row r="166" spans="1:57" x14ac:dyDescent="0.3">
      <c r="A166" s="2" t="s">
        <v>12</v>
      </c>
      <c r="B166" s="13" t="s">
        <v>697</v>
      </c>
      <c r="C166" s="13"/>
      <c r="D166" s="2"/>
      <c r="E166" s="2"/>
      <c r="F166" s="2">
        <v>4.1500000000000004</v>
      </c>
      <c r="G166" s="2" t="s">
        <v>135</v>
      </c>
      <c r="H166" s="9">
        <v>-1</v>
      </c>
      <c r="I166">
        <v>-1</v>
      </c>
      <c r="K166" s="2"/>
      <c r="L166" s="2"/>
      <c r="M166" s="2"/>
      <c r="N166" s="23">
        <v>0</v>
      </c>
      <c r="O166" s="2">
        <v>3.92</v>
      </c>
      <c r="P166" s="2">
        <v>3.92</v>
      </c>
      <c r="Q166" s="2">
        <v>11.5395</v>
      </c>
      <c r="R166" s="2" t="s">
        <v>439</v>
      </c>
      <c r="S166" s="2"/>
      <c r="T166" s="23">
        <v>0</v>
      </c>
      <c r="U166" s="23"/>
      <c r="V166" s="23"/>
      <c r="W166" s="2">
        <v>1</v>
      </c>
      <c r="X166" s="2"/>
      <c r="Y166" s="2">
        <v>2</v>
      </c>
      <c r="Z166" s="2"/>
      <c r="AA166" s="2">
        <v>1</v>
      </c>
      <c r="AB166" s="2"/>
      <c r="AC166" s="2"/>
      <c r="AD166" s="2"/>
      <c r="AE166" s="2"/>
      <c r="AF166" s="2"/>
      <c r="AG166" s="2"/>
      <c r="AH166" s="2"/>
      <c r="AI166" s="2"/>
      <c r="AJ166" s="2"/>
      <c r="AO166">
        <v>14</v>
      </c>
      <c r="AP166" s="21">
        <v>0</v>
      </c>
      <c r="AQ166" s="21"/>
      <c r="AR166" s="28">
        <v>1.9090909090909089</v>
      </c>
      <c r="AS166" s="28">
        <v>2.545454545454545</v>
      </c>
      <c r="AT166" s="28">
        <v>0.54545454545454541</v>
      </c>
      <c r="AU166" s="28">
        <v>2.9090909090909092</v>
      </c>
      <c r="AV166" s="28">
        <v>0.2413793103448276</v>
      </c>
      <c r="AW166" s="28">
        <v>0.32183908045977011</v>
      </c>
      <c r="AX166" s="28">
        <v>6.8965517241379309E-2</v>
      </c>
      <c r="AY166" s="28">
        <v>0.36781609195402298</v>
      </c>
      <c r="AZ166" s="25">
        <v>0.82</v>
      </c>
      <c r="BA166" s="25">
        <v>3.44</v>
      </c>
      <c r="BB166" s="25">
        <v>2.62</v>
      </c>
      <c r="BC166" s="25">
        <v>2.64</v>
      </c>
      <c r="BD166">
        <v>2.64</v>
      </c>
      <c r="BE166">
        <v>5.9811382595454541</v>
      </c>
    </row>
    <row r="167" spans="1:57" x14ac:dyDescent="0.3">
      <c r="A167" s="2" t="s">
        <v>144</v>
      </c>
      <c r="B167" s="13" t="s">
        <v>768</v>
      </c>
      <c r="C167" s="13"/>
      <c r="D167" s="2"/>
      <c r="E167" s="2"/>
      <c r="F167" s="2">
        <v>4.1500000000000004</v>
      </c>
      <c r="G167" s="2" t="s">
        <v>135</v>
      </c>
      <c r="H167" s="9">
        <v>-1</v>
      </c>
      <c r="I167">
        <v>-1</v>
      </c>
      <c r="K167" s="2"/>
      <c r="L167" s="2"/>
      <c r="M167" s="2"/>
      <c r="N167" s="23">
        <v>0</v>
      </c>
      <c r="O167" s="2">
        <v>3.84</v>
      </c>
      <c r="P167" s="2">
        <v>3.84</v>
      </c>
      <c r="Q167" s="2">
        <v>11.5395</v>
      </c>
      <c r="R167" s="2" t="s">
        <v>439</v>
      </c>
      <c r="S167" s="2"/>
      <c r="T167" s="23">
        <v>0</v>
      </c>
      <c r="U167" s="23"/>
      <c r="V167" s="23"/>
      <c r="W167" s="2">
        <v>1</v>
      </c>
      <c r="X167" s="2"/>
      <c r="Y167" s="2">
        <v>2</v>
      </c>
      <c r="Z167" s="2"/>
      <c r="AA167" s="2">
        <v>1</v>
      </c>
      <c r="AB167" s="2"/>
      <c r="AC167" s="2"/>
      <c r="AD167" s="2"/>
      <c r="AE167" s="2"/>
      <c r="AF167" s="2"/>
      <c r="AG167" s="2"/>
      <c r="AH167" s="2"/>
      <c r="AI167" s="2"/>
      <c r="AJ167" s="2"/>
      <c r="AO167">
        <v>14</v>
      </c>
      <c r="AP167" s="21">
        <v>0</v>
      </c>
      <c r="AQ167" s="21"/>
      <c r="AR167" s="28">
        <v>1.9090909090909089</v>
      </c>
      <c r="AS167" s="28">
        <v>2.545454545454545</v>
      </c>
      <c r="AT167" s="28">
        <v>0.54545454545454541</v>
      </c>
      <c r="AU167" s="28">
        <v>2.9090909090909092</v>
      </c>
      <c r="AV167" s="28">
        <v>0.2413793103448276</v>
      </c>
      <c r="AW167" s="28">
        <v>0.32183908045977011</v>
      </c>
      <c r="AX167" s="28">
        <v>6.8965517241379309E-2</v>
      </c>
      <c r="AY167" s="28">
        <v>0.36781609195402298</v>
      </c>
      <c r="AZ167" s="25">
        <v>0.79</v>
      </c>
      <c r="BA167" s="25">
        <v>3.44</v>
      </c>
      <c r="BB167" s="25">
        <v>2.65</v>
      </c>
      <c r="BC167" s="25">
        <v>2.6372727272727272</v>
      </c>
      <c r="BD167">
        <v>2.6372727272727272</v>
      </c>
      <c r="BE167">
        <v>5.967615153519545</v>
      </c>
    </row>
    <row r="168" spans="1:57" x14ac:dyDescent="0.3">
      <c r="A168" s="2" t="s">
        <v>145</v>
      </c>
      <c r="B168" s="13" t="s">
        <v>769</v>
      </c>
      <c r="C168" s="13"/>
      <c r="D168" s="2"/>
      <c r="E168" s="2"/>
      <c r="F168" s="2">
        <v>4.1500000000000004</v>
      </c>
      <c r="G168" s="2" t="s">
        <v>135</v>
      </c>
      <c r="H168" s="9">
        <v>-1</v>
      </c>
      <c r="I168">
        <v>-1</v>
      </c>
      <c r="K168" s="2"/>
      <c r="L168" s="2"/>
      <c r="M168" s="2"/>
      <c r="N168" s="23">
        <v>0</v>
      </c>
      <c r="O168" s="2">
        <v>3.85</v>
      </c>
      <c r="P168" s="2">
        <v>3.85</v>
      </c>
      <c r="Q168" s="2">
        <v>10.95</v>
      </c>
      <c r="R168" s="2" t="s">
        <v>439</v>
      </c>
      <c r="S168" s="2"/>
      <c r="T168" s="23">
        <v>0</v>
      </c>
      <c r="U168" s="23"/>
      <c r="V168" s="23"/>
      <c r="W168" s="2">
        <v>1</v>
      </c>
      <c r="X168" s="2"/>
      <c r="Y168" s="2">
        <v>2</v>
      </c>
      <c r="Z168" s="2"/>
      <c r="AA168" s="2">
        <v>1</v>
      </c>
      <c r="AB168" s="2"/>
      <c r="AC168" s="2"/>
      <c r="AD168" s="2"/>
      <c r="AE168" s="2"/>
      <c r="AF168" s="2"/>
      <c r="AG168" s="2"/>
      <c r="AH168" s="2"/>
      <c r="AI168" s="2"/>
      <c r="AJ168" s="2"/>
      <c r="AO168">
        <v>14</v>
      </c>
      <c r="AP168" s="21">
        <v>0</v>
      </c>
      <c r="AQ168" s="21"/>
      <c r="AR168" s="28">
        <v>1.9090909090909089</v>
      </c>
      <c r="AS168" s="28">
        <v>2.545454545454545</v>
      </c>
      <c r="AT168" s="28">
        <v>0.54545454545454541</v>
      </c>
      <c r="AU168" s="28">
        <v>3.0909090909090908</v>
      </c>
      <c r="AV168" s="28">
        <v>0.2359550561797753</v>
      </c>
      <c r="AW168" s="28">
        <v>0.3146067415730337</v>
      </c>
      <c r="AX168" s="28">
        <v>6.7415730337078636E-2</v>
      </c>
      <c r="AY168" s="28">
        <v>0.38202247191011229</v>
      </c>
      <c r="AZ168" s="25">
        <v>1.17</v>
      </c>
      <c r="BA168" s="25">
        <v>3.44</v>
      </c>
      <c r="BB168" s="25">
        <v>2.27</v>
      </c>
      <c r="BC168" s="25">
        <v>2.7681818181818181</v>
      </c>
      <c r="BD168">
        <v>2.768181818181819</v>
      </c>
      <c r="BE168">
        <v>6.4299203045319091</v>
      </c>
    </row>
    <row r="169" spans="1:57" x14ac:dyDescent="0.3">
      <c r="A169" s="2" t="s">
        <v>146</v>
      </c>
      <c r="B169" s="13" t="s">
        <v>770</v>
      </c>
      <c r="C169" s="13"/>
      <c r="D169" s="2"/>
      <c r="E169" s="2"/>
      <c r="F169" s="2">
        <v>4.25</v>
      </c>
      <c r="G169" s="2" t="s">
        <v>135</v>
      </c>
      <c r="H169" s="9">
        <v>-1</v>
      </c>
      <c r="I169">
        <v>-1</v>
      </c>
      <c r="K169" s="2"/>
      <c r="L169" s="2"/>
      <c r="M169" s="2"/>
      <c r="N169" s="23">
        <v>0</v>
      </c>
      <c r="O169" s="2">
        <v>3.88</v>
      </c>
      <c r="P169" s="2">
        <v>3.88</v>
      </c>
      <c r="Q169" s="2">
        <v>11.54</v>
      </c>
      <c r="R169" s="2" t="s">
        <v>439</v>
      </c>
      <c r="S169" s="2"/>
      <c r="T169" s="23">
        <v>0</v>
      </c>
      <c r="U169" s="25"/>
      <c r="V169" s="25"/>
      <c r="W169" s="2">
        <v>1</v>
      </c>
      <c r="X169" s="2"/>
      <c r="Y169" s="2">
        <v>2</v>
      </c>
      <c r="Z169" s="2"/>
      <c r="AA169" s="2">
        <v>1</v>
      </c>
      <c r="AB169" s="2"/>
      <c r="AC169" s="2"/>
      <c r="AD169" s="2"/>
      <c r="AE169" s="2"/>
      <c r="AF169" s="2"/>
      <c r="AG169" s="2"/>
      <c r="AH169" s="2"/>
      <c r="AI169" s="2"/>
      <c r="AJ169" s="2"/>
      <c r="AO169">
        <v>14</v>
      </c>
      <c r="AP169" s="21">
        <v>0</v>
      </c>
      <c r="AQ169" s="25"/>
      <c r="AR169" s="28">
        <v>1.9090909090909089</v>
      </c>
      <c r="AS169" s="28">
        <v>2.545454545454545</v>
      </c>
      <c r="AT169" s="28">
        <v>0.54545454545454541</v>
      </c>
      <c r="AU169" s="28">
        <v>3.0909090909090908</v>
      </c>
      <c r="AV169" s="28">
        <v>0.2359550561797753</v>
      </c>
      <c r="AW169" s="28">
        <v>0.3146067415730337</v>
      </c>
      <c r="AX169" s="28">
        <v>6.7415730337078636E-2</v>
      </c>
      <c r="AY169" s="28">
        <v>0.38202247191011229</v>
      </c>
      <c r="AZ169" s="25">
        <v>0.93</v>
      </c>
      <c r="BA169" s="25">
        <v>3.44</v>
      </c>
      <c r="BB169" s="25">
        <v>2.5099999999999998</v>
      </c>
      <c r="BC169" s="25">
        <v>2.6527272727272728</v>
      </c>
      <c r="BD169">
        <v>2.6527272727272719</v>
      </c>
      <c r="BE169">
        <v>6.0360098777272722</v>
      </c>
    </row>
    <row r="170" spans="1:57" x14ac:dyDescent="0.3">
      <c r="A170" s="2" t="s">
        <v>13</v>
      </c>
      <c r="B170" s="13" t="s">
        <v>698</v>
      </c>
      <c r="C170" s="13"/>
      <c r="D170" s="2"/>
      <c r="E170" s="2"/>
      <c r="F170" s="2">
        <v>4.25</v>
      </c>
      <c r="G170" s="2" t="s">
        <v>135</v>
      </c>
      <c r="H170" s="9">
        <v>-1</v>
      </c>
      <c r="I170">
        <v>-1</v>
      </c>
      <c r="K170" s="2"/>
      <c r="L170" s="2"/>
      <c r="M170" s="2"/>
      <c r="N170" s="23">
        <v>0</v>
      </c>
      <c r="O170" s="2">
        <v>3.85</v>
      </c>
      <c r="P170" s="2">
        <v>3.85</v>
      </c>
      <c r="Q170" s="2">
        <v>11.3</v>
      </c>
      <c r="R170" s="2" t="s">
        <v>439</v>
      </c>
      <c r="S170" s="2"/>
      <c r="T170" s="23">
        <v>0</v>
      </c>
      <c r="U170" s="25"/>
      <c r="V170" s="25"/>
      <c r="W170" s="2">
        <v>1</v>
      </c>
      <c r="X170" s="2"/>
      <c r="Y170" s="2">
        <v>2</v>
      </c>
      <c r="Z170" s="2"/>
      <c r="AA170" s="2">
        <v>1</v>
      </c>
      <c r="AB170" s="2"/>
      <c r="AC170" s="2"/>
      <c r="AD170" s="2"/>
      <c r="AE170" s="2"/>
      <c r="AF170" s="2"/>
      <c r="AG170" s="2"/>
      <c r="AH170" s="2"/>
      <c r="AI170" s="2"/>
      <c r="AJ170" s="2"/>
      <c r="AO170">
        <v>14</v>
      </c>
      <c r="AP170" s="21">
        <v>0</v>
      </c>
      <c r="AQ170" s="25"/>
      <c r="AR170" s="28">
        <v>1.9090909090909089</v>
      </c>
      <c r="AS170" s="28">
        <v>2.545454545454545</v>
      </c>
      <c r="AT170" s="28">
        <v>0.54545454545454541</v>
      </c>
      <c r="AU170" s="28">
        <v>3.0909090909090908</v>
      </c>
      <c r="AV170" s="28">
        <v>0.2359550561797753</v>
      </c>
      <c r="AW170" s="28">
        <v>0.3146067415730337</v>
      </c>
      <c r="AX170" s="28">
        <v>6.7415730337078636E-2</v>
      </c>
      <c r="AY170" s="28">
        <v>0.38202247191011229</v>
      </c>
      <c r="AZ170" s="25">
        <v>0.82</v>
      </c>
      <c r="BA170" s="25">
        <v>3.44</v>
      </c>
      <c r="BB170" s="25">
        <v>2.62</v>
      </c>
      <c r="BC170" s="25">
        <v>2.642727272727273</v>
      </c>
      <c r="BD170">
        <v>2.642727272727273</v>
      </c>
      <c r="BE170">
        <v>5.9894662913636356</v>
      </c>
    </row>
    <row r="171" spans="1:57" x14ac:dyDescent="0.3">
      <c r="A171" s="2" t="s">
        <v>147</v>
      </c>
      <c r="B171" s="13" t="s">
        <v>771</v>
      </c>
      <c r="C171" s="13"/>
      <c r="D171" s="2"/>
      <c r="E171" s="2"/>
      <c r="F171" s="2">
        <v>4.25</v>
      </c>
      <c r="G171" s="2" t="s">
        <v>135</v>
      </c>
      <c r="H171" s="9">
        <v>-1</v>
      </c>
      <c r="I171">
        <v>-1</v>
      </c>
      <c r="K171" s="2"/>
      <c r="L171" s="2"/>
      <c r="M171" s="2"/>
      <c r="N171" s="23">
        <v>0</v>
      </c>
      <c r="O171" s="2">
        <v>3.76</v>
      </c>
      <c r="P171" s="2">
        <v>3.76</v>
      </c>
      <c r="Q171" s="2">
        <v>11.41</v>
      </c>
      <c r="R171" s="2" t="s">
        <v>439</v>
      </c>
      <c r="S171" s="2"/>
      <c r="T171" s="23">
        <v>0</v>
      </c>
      <c r="U171" s="25"/>
      <c r="V171" s="25"/>
      <c r="W171" s="2">
        <v>1</v>
      </c>
      <c r="X171" s="2"/>
      <c r="Y171" s="2">
        <v>2</v>
      </c>
      <c r="Z171" s="2"/>
      <c r="AA171" s="2">
        <v>1</v>
      </c>
      <c r="AB171" s="2"/>
      <c r="AC171" s="2"/>
      <c r="AD171" s="2"/>
      <c r="AE171" s="2"/>
      <c r="AF171" s="2"/>
      <c r="AG171" s="2"/>
      <c r="AH171" s="2"/>
      <c r="AI171" s="2"/>
      <c r="AJ171" s="2"/>
      <c r="AO171">
        <v>14</v>
      </c>
      <c r="AP171" s="21">
        <v>0</v>
      </c>
      <c r="AQ171" s="25"/>
      <c r="AR171" s="28">
        <v>1.9090909090909089</v>
      </c>
      <c r="AS171" s="28">
        <v>2.545454545454545</v>
      </c>
      <c r="AT171" s="28">
        <v>0.54545454545454541</v>
      </c>
      <c r="AU171" s="28">
        <v>3.0909090909090908</v>
      </c>
      <c r="AV171" s="28">
        <v>0.2359550561797753</v>
      </c>
      <c r="AW171" s="28">
        <v>0.3146067415730337</v>
      </c>
      <c r="AX171" s="28">
        <v>6.7415730337078636E-2</v>
      </c>
      <c r="AY171" s="28">
        <v>0.38202247191011229</v>
      </c>
      <c r="AZ171" s="25">
        <v>0.79</v>
      </c>
      <c r="BA171" s="25">
        <v>3.44</v>
      </c>
      <c r="BB171" s="25">
        <v>2.65</v>
      </c>
      <c r="BC171" s="25">
        <v>2.64</v>
      </c>
      <c r="BD171">
        <v>2.64</v>
      </c>
      <c r="BE171">
        <v>5.9759431853377274</v>
      </c>
    </row>
    <row r="172" spans="1:57" x14ac:dyDescent="0.3">
      <c r="A172" s="2" t="s">
        <v>148</v>
      </c>
      <c r="B172" s="13" t="s">
        <v>772</v>
      </c>
      <c r="C172" s="13"/>
      <c r="D172" s="2"/>
      <c r="E172" s="2"/>
      <c r="F172" s="2">
        <v>3.2</v>
      </c>
      <c r="G172" s="2" t="s">
        <v>149</v>
      </c>
      <c r="H172" s="9" t="s">
        <v>577</v>
      </c>
      <c r="I172" t="s">
        <v>653</v>
      </c>
      <c r="K172" s="2"/>
      <c r="L172" s="2"/>
      <c r="M172" s="2"/>
      <c r="N172" s="23">
        <v>1</v>
      </c>
      <c r="O172" s="2">
        <v>3.85</v>
      </c>
      <c r="P172" s="2">
        <v>3.85</v>
      </c>
      <c r="Q172" s="2">
        <v>28.361999999999998</v>
      </c>
      <c r="R172" s="2" t="s">
        <v>440</v>
      </c>
      <c r="S172" s="2"/>
      <c r="T172" s="23">
        <v>14.183127929999999</v>
      </c>
      <c r="U172" s="25">
        <v>14.183127929999999</v>
      </c>
      <c r="V172" s="25">
        <v>14.183127929999999</v>
      </c>
      <c r="W172" s="2">
        <v>1</v>
      </c>
      <c r="X172" s="2"/>
      <c r="Y172" s="2"/>
      <c r="Z172" s="2"/>
      <c r="AA172" s="2">
        <v>1</v>
      </c>
      <c r="AB172" s="2"/>
      <c r="AC172" s="2"/>
      <c r="AD172" s="2"/>
      <c r="AE172" s="2"/>
      <c r="AF172" s="2">
        <v>1</v>
      </c>
      <c r="AG172" s="2"/>
      <c r="AH172" s="2"/>
      <c r="AI172" s="2"/>
      <c r="AJ172" s="2"/>
      <c r="AO172">
        <v>20</v>
      </c>
      <c r="AP172" s="21">
        <v>215.8165104701838</v>
      </c>
      <c r="AQ172" s="25">
        <v>9.2671315815585423E-2</v>
      </c>
      <c r="AR172" s="28">
        <v>1.9375</v>
      </c>
      <c r="AS172" s="28">
        <v>2.5</v>
      </c>
      <c r="AT172" s="28">
        <v>0.5625</v>
      </c>
      <c r="AU172" s="28">
        <v>2.625</v>
      </c>
      <c r="AV172" s="28">
        <v>0.25409836065573771</v>
      </c>
      <c r="AW172" s="28">
        <v>0.32786885245901642</v>
      </c>
      <c r="AX172" s="28">
        <v>7.3770491803278687E-2</v>
      </c>
      <c r="AY172" s="28">
        <v>0.34426229508196721</v>
      </c>
      <c r="AZ172" s="25">
        <v>0.98</v>
      </c>
      <c r="BA172" s="25">
        <v>3.44</v>
      </c>
      <c r="BB172" s="25">
        <v>2.46</v>
      </c>
      <c r="BC172" s="25">
        <v>2.6175000000000002</v>
      </c>
      <c r="BD172">
        <v>2.6175000000000002</v>
      </c>
      <c r="BE172">
        <v>6.0217141611250007</v>
      </c>
    </row>
    <row r="173" spans="1:57" x14ac:dyDescent="0.3">
      <c r="A173" s="2" t="s">
        <v>63</v>
      </c>
      <c r="B173" s="13" t="s">
        <v>773</v>
      </c>
      <c r="C173" s="13"/>
      <c r="D173" s="2"/>
      <c r="E173" s="2"/>
      <c r="F173" s="2">
        <v>3.5</v>
      </c>
      <c r="G173" s="2" t="s">
        <v>150</v>
      </c>
      <c r="H173" s="9">
        <v>-1</v>
      </c>
      <c r="I173">
        <v>-1</v>
      </c>
      <c r="J173" t="s">
        <v>1144</v>
      </c>
      <c r="K173" s="2"/>
      <c r="L173" s="2"/>
      <c r="M173" s="2"/>
      <c r="N173" s="23">
        <v>0</v>
      </c>
      <c r="O173" s="2"/>
      <c r="P173" s="2"/>
      <c r="Q173" s="2"/>
      <c r="R173" s="2"/>
      <c r="S173" s="2"/>
      <c r="T173" s="23">
        <v>0</v>
      </c>
      <c r="U173" s="23"/>
      <c r="V173" s="23"/>
      <c r="W173" s="2">
        <v>1</v>
      </c>
      <c r="X173" s="2"/>
      <c r="Y173" s="2"/>
      <c r="Z173" s="2">
        <v>50</v>
      </c>
      <c r="AA173" s="2">
        <v>1</v>
      </c>
      <c r="AB173" s="2"/>
      <c r="AC173" s="2"/>
      <c r="AD173" s="2"/>
      <c r="AE173" s="2"/>
      <c r="AF173" s="2"/>
      <c r="AG173" s="2"/>
      <c r="AH173" s="2"/>
      <c r="AI173" s="2"/>
      <c r="AJ173" s="2"/>
      <c r="AO173">
        <v>20</v>
      </c>
      <c r="AP173" s="21">
        <v>0</v>
      </c>
      <c r="AQ173" s="21"/>
      <c r="AR173" s="28">
        <v>1.75</v>
      </c>
      <c r="AS173" s="28">
        <v>2.5</v>
      </c>
      <c r="AT173" s="28">
        <v>0.75</v>
      </c>
      <c r="AU173" s="28">
        <v>0</v>
      </c>
      <c r="AV173" s="28">
        <v>0.35</v>
      </c>
      <c r="AW173" s="28">
        <v>0.5</v>
      </c>
      <c r="AX173" s="28">
        <v>0.15</v>
      </c>
      <c r="AY173" s="28">
        <v>0</v>
      </c>
      <c r="AZ173" s="25">
        <v>1</v>
      </c>
      <c r="BA173" s="25">
        <v>3.44</v>
      </c>
      <c r="BB173" s="25">
        <v>2.44</v>
      </c>
      <c r="BC173" s="25">
        <v>2.7124999999999999</v>
      </c>
      <c r="BD173">
        <v>2.7124999999999999</v>
      </c>
      <c r="BE173">
        <v>6.264025610615688</v>
      </c>
    </row>
    <row r="174" spans="1:57" x14ac:dyDescent="0.3">
      <c r="A174" s="2" t="s">
        <v>63</v>
      </c>
      <c r="B174" s="13" t="s">
        <v>773</v>
      </c>
      <c r="C174" s="13"/>
      <c r="D174" s="2"/>
      <c r="E174" s="2"/>
      <c r="F174" s="2">
        <v>3.5</v>
      </c>
      <c r="G174" s="2" t="s">
        <v>152</v>
      </c>
      <c r="H174" s="9">
        <v>-1</v>
      </c>
      <c r="I174">
        <v>-1</v>
      </c>
      <c r="J174" t="s">
        <v>1144</v>
      </c>
      <c r="K174" s="2"/>
      <c r="L174" s="2"/>
      <c r="M174" s="2"/>
      <c r="N174" s="23">
        <v>0</v>
      </c>
      <c r="O174" s="2">
        <v>3.85</v>
      </c>
      <c r="P174" s="2">
        <v>3.85</v>
      </c>
      <c r="Q174" s="2">
        <v>29.296700000000001</v>
      </c>
      <c r="R174" s="2" t="s">
        <v>519</v>
      </c>
      <c r="T174" s="23">
        <v>0</v>
      </c>
      <c r="U174" s="23"/>
      <c r="V174" s="23"/>
      <c r="W174" s="2">
        <v>1</v>
      </c>
      <c r="X174" s="2"/>
      <c r="Y174" s="2"/>
      <c r="Z174" s="2">
        <v>50</v>
      </c>
      <c r="AA174" s="2">
        <v>1</v>
      </c>
      <c r="AB174" s="2"/>
      <c r="AC174" s="2"/>
      <c r="AD174" s="2"/>
      <c r="AE174" s="2">
        <v>1</v>
      </c>
      <c r="AF174" s="2">
        <v>1</v>
      </c>
      <c r="AG174" s="2">
        <v>1</v>
      </c>
      <c r="AH174" s="2"/>
      <c r="AI174" s="2"/>
      <c r="AJ174" s="2"/>
      <c r="AO174">
        <v>20</v>
      </c>
      <c r="AP174" s="21">
        <v>0</v>
      </c>
      <c r="AQ174" s="21"/>
      <c r="AR174" s="28">
        <v>1.75</v>
      </c>
      <c r="AS174" s="28">
        <v>2.5</v>
      </c>
      <c r="AT174" s="28">
        <v>0.75</v>
      </c>
      <c r="AU174" s="28">
        <v>0</v>
      </c>
      <c r="AV174" s="28">
        <v>0.35</v>
      </c>
      <c r="AW174" s="28">
        <v>0.5</v>
      </c>
      <c r="AX174" s="28">
        <v>0.15</v>
      </c>
      <c r="AY174" s="28">
        <v>0</v>
      </c>
      <c r="AZ174" s="25">
        <v>1</v>
      </c>
      <c r="BA174" s="25">
        <v>3.44</v>
      </c>
      <c r="BB174" s="25">
        <v>2.44</v>
      </c>
      <c r="BC174" s="25">
        <v>2.7124999999999999</v>
      </c>
      <c r="BD174">
        <v>2.7124999999999999</v>
      </c>
      <c r="BE174">
        <v>6.264025610615688</v>
      </c>
    </row>
    <row r="175" spans="1:57" x14ac:dyDescent="0.3">
      <c r="A175" s="2" t="s">
        <v>151</v>
      </c>
      <c r="B175" s="13" t="s">
        <v>774</v>
      </c>
      <c r="C175" s="13"/>
      <c r="D175" s="2"/>
      <c r="E175" s="2"/>
      <c r="F175" s="2">
        <v>3.3</v>
      </c>
      <c r="G175" s="2" t="s">
        <v>152</v>
      </c>
      <c r="H175" s="9">
        <v>-1</v>
      </c>
      <c r="I175">
        <v>-1</v>
      </c>
      <c r="K175" s="2"/>
      <c r="L175" s="2"/>
      <c r="M175" s="2"/>
      <c r="N175" s="23">
        <v>0</v>
      </c>
      <c r="O175" s="2">
        <v>3.89</v>
      </c>
      <c r="P175" s="2">
        <v>3.89</v>
      </c>
      <c r="Q175" s="2">
        <v>33.299999999999997</v>
      </c>
      <c r="R175" s="2" t="s">
        <v>519</v>
      </c>
      <c r="S175" s="2"/>
      <c r="T175" s="23">
        <v>0</v>
      </c>
      <c r="U175" s="23"/>
      <c r="V175" s="23"/>
      <c r="W175" s="2">
        <v>1</v>
      </c>
      <c r="X175" s="2"/>
      <c r="Y175" s="2"/>
      <c r="Z175" s="2">
        <v>56</v>
      </c>
      <c r="AA175" s="2">
        <v>1</v>
      </c>
      <c r="AB175" s="2"/>
      <c r="AC175" s="2"/>
      <c r="AD175" s="2"/>
      <c r="AE175" s="2">
        <v>1</v>
      </c>
      <c r="AF175" s="2">
        <v>1</v>
      </c>
      <c r="AG175" s="2">
        <v>1</v>
      </c>
      <c r="AH175" s="2"/>
      <c r="AI175" s="2"/>
      <c r="AJ175" s="2"/>
      <c r="AO175">
        <v>20</v>
      </c>
      <c r="AP175" s="21">
        <v>0</v>
      </c>
      <c r="AQ175" s="21"/>
      <c r="AR175" s="28">
        <v>1.75</v>
      </c>
      <c r="AS175" s="28">
        <v>2.5</v>
      </c>
      <c r="AT175" s="28">
        <v>0.75</v>
      </c>
      <c r="AU175" s="28">
        <v>0</v>
      </c>
      <c r="AV175" s="28">
        <v>0.35</v>
      </c>
      <c r="AW175" s="28">
        <v>0.5</v>
      </c>
      <c r="AX175" s="28">
        <v>0.15</v>
      </c>
      <c r="AY175" s="28">
        <v>0</v>
      </c>
      <c r="AZ175" s="25">
        <v>0.95</v>
      </c>
      <c r="BA175" s="25">
        <v>3.44</v>
      </c>
      <c r="BB175" s="25">
        <v>2.4900000000000002</v>
      </c>
      <c r="BC175" s="25">
        <v>2.7062499999999998</v>
      </c>
      <c r="BD175">
        <v>2.7062499999999998</v>
      </c>
      <c r="BE175">
        <v>6.2396022968656872</v>
      </c>
    </row>
    <row r="176" spans="1:57" x14ac:dyDescent="0.3">
      <c r="A176" s="2" t="s">
        <v>153</v>
      </c>
      <c r="B176" s="13" t="s">
        <v>775</v>
      </c>
      <c r="C176" s="13"/>
      <c r="D176" s="2"/>
      <c r="E176" s="2"/>
      <c r="F176" s="2">
        <v>3.23</v>
      </c>
      <c r="G176" s="2" t="s">
        <v>152</v>
      </c>
      <c r="H176" s="9" t="s">
        <v>578</v>
      </c>
      <c r="I176">
        <v>-1</v>
      </c>
      <c r="J176" t="s">
        <v>1166</v>
      </c>
      <c r="K176" s="2"/>
      <c r="L176" s="2"/>
      <c r="M176" s="2"/>
      <c r="N176" s="23">
        <v>1</v>
      </c>
      <c r="O176" s="2">
        <v>3.89</v>
      </c>
      <c r="P176" s="2">
        <v>3.89</v>
      </c>
      <c r="Q176" s="2">
        <v>21.29</v>
      </c>
      <c r="R176" s="2" t="s">
        <v>519</v>
      </c>
      <c r="S176" s="2"/>
      <c r="T176" s="23">
        <v>3.9263319999999999</v>
      </c>
      <c r="U176" s="23">
        <v>3.9263319999999999</v>
      </c>
      <c r="V176" s="23">
        <v>10.74639</v>
      </c>
      <c r="W176" s="2">
        <v>1</v>
      </c>
      <c r="X176" s="2"/>
      <c r="Y176" s="2"/>
      <c r="Z176" s="2">
        <v>68</v>
      </c>
      <c r="AA176" s="2">
        <v>1</v>
      </c>
      <c r="AB176" s="2"/>
      <c r="AC176" s="2"/>
      <c r="AD176" s="2"/>
      <c r="AE176" s="2">
        <v>1</v>
      </c>
      <c r="AF176" s="2">
        <v>1</v>
      </c>
      <c r="AG176" s="2">
        <v>1</v>
      </c>
      <c r="AH176" s="2"/>
      <c r="AI176" s="2"/>
      <c r="AJ176" s="2"/>
      <c r="AO176">
        <v>14</v>
      </c>
      <c r="AP176" s="21">
        <v>165.66723991337099</v>
      </c>
      <c r="AQ176" s="21">
        <v>8.4506749839743392E-2</v>
      </c>
      <c r="AR176" s="28">
        <v>1.7272727272727271</v>
      </c>
      <c r="AS176" s="28">
        <v>2.545454545454545</v>
      </c>
      <c r="AT176" s="28">
        <v>0.81818181818181823</v>
      </c>
      <c r="AU176" s="28">
        <v>0</v>
      </c>
      <c r="AV176" s="28">
        <v>0.3392857142857143</v>
      </c>
      <c r="AW176" s="28">
        <v>0.5</v>
      </c>
      <c r="AX176" s="28">
        <v>0.1607142857142857</v>
      </c>
      <c r="AY176" s="28">
        <v>0</v>
      </c>
      <c r="AZ176" s="25">
        <v>1.1000000000000001</v>
      </c>
      <c r="BA176" s="25">
        <v>3.44</v>
      </c>
      <c r="BB176" s="25">
        <v>2.34</v>
      </c>
      <c r="BC176" s="25">
        <v>2.78</v>
      </c>
      <c r="BD176">
        <v>2.78</v>
      </c>
      <c r="BE176">
        <v>6.4270052227137269</v>
      </c>
    </row>
    <row r="177" spans="1:57" x14ac:dyDescent="0.3">
      <c r="A177" s="2" t="s">
        <v>7</v>
      </c>
      <c r="B177" s="13" t="s">
        <v>692</v>
      </c>
      <c r="C177" s="13"/>
      <c r="D177" s="2"/>
      <c r="E177" s="2"/>
      <c r="F177" s="2">
        <v>3.47</v>
      </c>
      <c r="G177" s="2" t="s">
        <v>154</v>
      </c>
      <c r="H177" s="9">
        <v>-1</v>
      </c>
      <c r="I177">
        <v>-1</v>
      </c>
      <c r="K177" s="2"/>
      <c r="L177" s="2"/>
      <c r="M177" s="2"/>
      <c r="N177" s="23">
        <v>0</v>
      </c>
      <c r="O177" s="2">
        <v>7.8209999999999997</v>
      </c>
      <c r="P177" s="2">
        <v>7.7649999999999997</v>
      </c>
      <c r="Q177" s="2">
        <v>30.08</v>
      </c>
      <c r="R177" t="s">
        <v>495</v>
      </c>
      <c r="T177" s="23">
        <v>0</v>
      </c>
      <c r="U177" s="25"/>
      <c r="V177" s="25"/>
      <c r="W177" s="2">
        <v>1</v>
      </c>
      <c r="X177" t="s">
        <v>493</v>
      </c>
      <c r="Y177" s="2"/>
      <c r="Z177" s="2"/>
      <c r="AA177" s="2">
        <v>1</v>
      </c>
      <c r="AB177" s="2"/>
      <c r="AC177" s="2"/>
      <c r="AD177" s="2"/>
      <c r="AE177" s="2"/>
      <c r="AF177" s="2"/>
      <c r="AG177" s="2">
        <v>1</v>
      </c>
      <c r="AH177" s="2"/>
      <c r="AI177" s="2"/>
      <c r="AJ177" s="2"/>
      <c r="AO177">
        <v>20</v>
      </c>
      <c r="AP177" s="21">
        <v>0</v>
      </c>
      <c r="AQ177" s="25"/>
      <c r="AR177" s="28">
        <v>1.75</v>
      </c>
      <c r="AS177" s="28">
        <v>2.5</v>
      </c>
      <c r="AT177" s="28">
        <v>0.75</v>
      </c>
      <c r="AU177" s="28">
        <v>0</v>
      </c>
      <c r="AV177" s="28">
        <v>0.35</v>
      </c>
      <c r="AW177" s="28">
        <v>0.5</v>
      </c>
      <c r="AX177" s="28">
        <v>0.15</v>
      </c>
      <c r="AY177" s="28">
        <v>0</v>
      </c>
      <c r="AZ177" s="25">
        <v>0.82</v>
      </c>
      <c r="BA177" s="25">
        <v>3.44</v>
      </c>
      <c r="BB177" s="25">
        <v>2.62</v>
      </c>
      <c r="BC177" s="25">
        <v>2.62</v>
      </c>
      <c r="BD177">
        <v>2.62</v>
      </c>
      <c r="BE177">
        <v>5.9423863675000002</v>
      </c>
    </row>
    <row r="178" spans="1:57" x14ac:dyDescent="0.3">
      <c r="A178" s="2" t="s">
        <v>155</v>
      </c>
      <c r="B178" s="13" t="s">
        <v>776</v>
      </c>
      <c r="C178" s="13"/>
      <c r="D178" s="2"/>
      <c r="E178" s="2"/>
      <c r="F178" s="2">
        <v>3.76</v>
      </c>
      <c r="G178" s="2" t="s">
        <v>154</v>
      </c>
      <c r="H178" s="9">
        <v>-1</v>
      </c>
      <c r="I178">
        <v>-1</v>
      </c>
      <c r="K178" s="2"/>
      <c r="L178" s="2"/>
      <c r="M178" s="2"/>
      <c r="N178" s="23">
        <v>0</v>
      </c>
      <c r="O178" s="2">
        <v>7.8209999999999997</v>
      </c>
      <c r="P178" s="2">
        <v>7.7649999999999997</v>
      </c>
      <c r="Q178" s="2">
        <v>30.96</v>
      </c>
      <c r="R178" t="s">
        <v>495</v>
      </c>
      <c r="T178" s="23">
        <v>0</v>
      </c>
      <c r="U178" s="25"/>
      <c r="V178" s="25"/>
      <c r="W178" s="2">
        <v>1</v>
      </c>
      <c r="X178" s="2"/>
      <c r="Y178" s="2"/>
      <c r="Z178" s="2"/>
      <c r="AA178" s="2">
        <v>1</v>
      </c>
      <c r="AB178" s="2"/>
      <c r="AC178" s="2"/>
      <c r="AD178" s="2"/>
      <c r="AE178" s="2"/>
      <c r="AF178" s="2"/>
      <c r="AG178" s="2">
        <v>1</v>
      </c>
      <c r="AH178" s="2"/>
      <c r="AI178" s="2"/>
      <c r="AJ178" s="2"/>
      <c r="AO178">
        <v>20</v>
      </c>
      <c r="AP178" s="21">
        <v>0</v>
      </c>
      <c r="AQ178" s="25"/>
      <c r="AR178" s="28">
        <v>1.8125</v>
      </c>
      <c r="AS178" s="28">
        <v>2.5</v>
      </c>
      <c r="AT178" s="28">
        <v>0.6875</v>
      </c>
      <c r="AU178" s="28">
        <v>0.875</v>
      </c>
      <c r="AV178" s="28">
        <v>0.30851063829787229</v>
      </c>
      <c r="AW178" s="28">
        <v>0.42553191489361702</v>
      </c>
      <c r="AX178" s="28">
        <v>0.1170212765957447</v>
      </c>
      <c r="AY178" s="28">
        <v>0.14893617021276601</v>
      </c>
      <c r="AZ178" s="25">
        <v>0.82</v>
      </c>
      <c r="BA178" s="25">
        <v>3.44</v>
      </c>
      <c r="BB178" s="25">
        <v>2.62</v>
      </c>
      <c r="BC178" s="25">
        <v>2.61375</v>
      </c>
      <c r="BD178">
        <v>2.61375</v>
      </c>
      <c r="BE178">
        <v>5.9485249299999996</v>
      </c>
    </row>
    <row r="179" spans="1:57" x14ac:dyDescent="0.3">
      <c r="A179" s="2" t="s">
        <v>156</v>
      </c>
      <c r="B179" s="13" t="s">
        <v>777</v>
      </c>
      <c r="C179" s="13"/>
      <c r="D179" s="2"/>
      <c r="E179" s="2"/>
      <c r="F179" s="2">
        <v>3.76</v>
      </c>
      <c r="G179" s="2" t="s">
        <v>154</v>
      </c>
      <c r="H179" s="9">
        <v>-1</v>
      </c>
      <c r="I179">
        <v>-1</v>
      </c>
      <c r="K179" s="2"/>
      <c r="L179" s="2"/>
      <c r="M179" s="2"/>
      <c r="N179" s="23">
        <v>0</v>
      </c>
      <c r="O179" s="2">
        <v>7.8209999999999997</v>
      </c>
      <c r="P179" s="2">
        <v>7.7649999999999997</v>
      </c>
      <c r="Q179" s="2">
        <v>29.84</v>
      </c>
      <c r="R179" t="s">
        <v>495</v>
      </c>
      <c r="T179" s="23">
        <v>0</v>
      </c>
      <c r="U179" s="25"/>
      <c r="V179" s="25"/>
      <c r="W179" s="2">
        <v>1</v>
      </c>
      <c r="X179" s="2"/>
      <c r="Y179" s="2"/>
      <c r="Z179" s="2"/>
      <c r="AA179" s="2">
        <v>1</v>
      </c>
      <c r="AB179" s="2"/>
      <c r="AC179" s="2"/>
      <c r="AD179" s="2"/>
      <c r="AE179" s="2"/>
      <c r="AF179" s="2"/>
      <c r="AG179" s="2">
        <v>1</v>
      </c>
      <c r="AH179" s="2"/>
      <c r="AI179" s="2"/>
      <c r="AJ179" s="2"/>
      <c r="AO179">
        <v>20</v>
      </c>
      <c r="AP179" s="21">
        <v>0</v>
      </c>
      <c r="AQ179" s="25"/>
      <c r="AR179" s="28">
        <v>1.8666666666666669</v>
      </c>
      <c r="AS179" s="28">
        <v>2.666666666666667</v>
      </c>
      <c r="AT179" s="28">
        <v>0.46666666666666667</v>
      </c>
      <c r="AU179" s="28">
        <v>0.93333333333333335</v>
      </c>
      <c r="AV179" s="28">
        <v>0.3146067415730337</v>
      </c>
      <c r="AW179" s="28">
        <v>0.44943820224719089</v>
      </c>
      <c r="AX179" s="28">
        <v>7.8651685393258425E-2</v>
      </c>
      <c r="AY179" s="28">
        <v>0.15730337078651679</v>
      </c>
      <c r="AZ179" s="25">
        <v>0.82</v>
      </c>
      <c r="BA179" s="25">
        <v>3.44</v>
      </c>
      <c r="BB179" s="25">
        <v>2.62</v>
      </c>
      <c r="BC179" s="25">
        <v>2.6813333333333329</v>
      </c>
      <c r="BD179">
        <v>2.6813333333333329</v>
      </c>
      <c r="BE179">
        <v>6.0892180253333326</v>
      </c>
    </row>
    <row r="180" spans="1:57" x14ac:dyDescent="0.3">
      <c r="A180" s="2" t="s">
        <v>157</v>
      </c>
      <c r="B180" s="13" t="s">
        <v>778</v>
      </c>
      <c r="C180" s="13"/>
      <c r="D180" s="2"/>
      <c r="E180" s="2"/>
      <c r="F180" s="2">
        <v>3.91</v>
      </c>
      <c r="G180" s="2" t="s">
        <v>154</v>
      </c>
      <c r="H180" s="9">
        <v>-1</v>
      </c>
      <c r="I180">
        <v>-1</v>
      </c>
      <c r="K180" s="2"/>
      <c r="L180" s="2"/>
      <c r="M180" s="2"/>
      <c r="N180" s="23">
        <v>0</v>
      </c>
      <c r="O180" s="2">
        <v>7.8209999999999997</v>
      </c>
      <c r="P180" s="2">
        <v>7.7649999999999997</v>
      </c>
      <c r="Q180" s="2">
        <v>30.08</v>
      </c>
      <c r="R180" t="s">
        <v>495</v>
      </c>
      <c r="T180" s="23">
        <v>0</v>
      </c>
      <c r="U180" s="25"/>
      <c r="V180" s="25"/>
      <c r="W180" s="2">
        <v>1</v>
      </c>
      <c r="X180" s="2"/>
      <c r="Y180" s="2"/>
      <c r="Z180" s="2"/>
      <c r="AA180" s="2">
        <v>1</v>
      </c>
      <c r="AB180" s="2"/>
      <c r="AC180" s="2"/>
      <c r="AD180" s="2"/>
      <c r="AE180" s="2"/>
      <c r="AF180" s="2"/>
      <c r="AG180" s="2">
        <v>1</v>
      </c>
      <c r="AH180" s="2"/>
      <c r="AI180" s="2"/>
      <c r="AJ180" s="2"/>
      <c r="AO180">
        <v>20</v>
      </c>
      <c r="AP180" s="21">
        <v>0</v>
      </c>
      <c r="AQ180" s="25"/>
      <c r="AR180" s="28">
        <v>1.875</v>
      </c>
      <c r="AS180" s="28">
        <v>2.5</v>
      </c>
      <c r="AT180" s="28">
        <v>0.625</v>
      </c>
      <c r="AU180" s="28">
        <v>1.75</v>
      </c>
      <c r="AV180" s="28">
        <v>0.27777777777777779</v>
      </c>
      <c r="AW180" s="28">
        <v>0.37037037037037029</v>
      </c>
      <c r="AX180" s="28">
        <v>9.2592592592592587E-2</v>
      </c>
      <c r="AY180" s="28">
        <v>0.25925925925925919</v>
      </c>
      <c r="AZ180" s="25">
        <v>0.82</v>
      </c>
      <c r="BA180" s="25">
        <v>3.44</v>
      </c>
      <c r="BB180" s="25">
        <v>2.62</v>
      </c>
      <c r="BC180" s="25">
        <v>2.6074999999999999</v>
      </c>
      <c r="BD180">
        <v>2.6074999999999999</v>
      </c>
      <c r="BE180">
        <v>5.9546634925000008</v>
      </c>
    </row>
    <row r="181" spans="1:57" x14ac:dyDescent="0.3">
      <c r="A181" s="2" t="s">
        <v>158</v>
      </c>
      <c r="B181" s="13" t="s">
        <v>779</v>
      </c>
      <c r="C181" s="13"/>
      <c r="D181" s="2"/>
      <c r="E181" s="2"/>
      <c r="F181" s="2">
        <v>4.29</v>
      </c>
      <c r="G181" s="2" t="s">
        <v>154</v>
      </c>
      <c r="H181" s="9">
        <v>-1</v>
      </c>
      <c r="I181">
        <v>-1</v>
      </c>
      <c r="K181" s="2"/>
      <c r="L181" s="2"/>
      <c r="M181" s="2"/>
      <c r="N181" s="23">
        <v>0</v>
      </c>
      <c r="O181" s="2">
        <v>7.8440000000000003</v>
      </c>
      <c r="P181" s="2">
        <v>7.7690000000000001</v>
      </c>
      <c r="Q181" s="2">
        <v>29.72</v>
      </c>
      <c r="R181" t="s">
        <v>495</v>
      </c>
      <c r="T181" s="23">
        <v>0</v>
      </c>
      <c r="U181" s="25"/>
      <c r="V181" s="25"/>
      <c r="W181" s="2">
        <v>1</v>
      </c>
      <c r="X181" t="s">
        <v>494</v>
      </c>
      <c r="Y181" s="2"/>
      <c r="Z181" s="2"/>
      <c r="AA181" s="2">
        <v>1</v>
      </c>
      <c r="AB181" s="2"/>
      <c r="AC181" s="2"/>
      <c r="AD181" s="2"/>
      <c r="AE181" s="2"/>
      <c r="AF181" s="2"/>
      <c r="AG181" s="2">
        <v>1</v>
      </c>
      <c r="AH181" s="2"/>
      <c r="AI181" s="2"/>
      <c r="AJ181" s="2"/>
      <c r="AO181">
        <v>20</v>
      </c>
      <c r="AP181" s="21">
        <v>0</v>
      </c>
      <c r="AQ181" s="25"/>
      <c r="AR181" s="28">
        <v>1.9375</v>
      </c>
      <c r="AS181" s="28">
        <v>2.5</v>
      </c>
      <c r="AT181" s="28">
        <v>0.5625</v>
      </c>
      <c r="AU181" s="28">
        <v>2.625</v>
      </c>
      <c r="AV181" s="28">
        <v>0.25409836065573771</v>
      </c>
      <c r="AW181" s="28">
        <v>0.32786885245901642</v>
      </c>
      <c r="AX181" s="28">
        <v>7.3770491803278687E-2</v>
      </c>
      <c r="AY181" s="28">
        <v>0.34426229508196721</v>
      </c>
      <c r="AZ181" s="25">
        <v>0.82</v>
      </c>
      <c r="BA181" s="25">
        <v>3.44</v>
      </c>
      <c r="BB181" s="25">
        <v>2.62</v>
      </c>
      <c r="BC181" s="25">
        <v>2.6012499999999998</v>
      </c>
      <c r="BD181">
        <v>2.6012499999999998</v>
      </c>
      <c r="BE181">
        <v>5.9608020550000003</v>
      </c>
    </row>
    <row r="182" spans="1:57" x14ac:dyDescent="0.3">
      <c r="A182" s="2" t="s">
        <v>151</v>
      </c>
      <c r="B182" s="13" t="s">
        <v>774</v>
      </c>
      <c r="C182" s="13"/>
      <c r="D182" s="2"/>
      <c r="E182" s="2"/>
      <c r="F182" s="2">
        <v>3.5</v>
      </c>
      <c r="G182" s="2" t="s">
        <v>154</v>
      </c>
      <c r="H182" s="9">
        <v>-1</v>
      </c>
      <c r="I182">
        <v>-1</v>
      </c>
      <c r="K182" s="2"/>
      <c r="L182" s="2"/>
      <c r="M182" s="2"/>
      <c r="N182" s="23">
        <v>0</v>
      </c>
      <c r="O182" s="2">
        <f>3.907*2</f>
        <v>7.8140000000000001</v>
      </c>
      <c r="P182" s="2">
        <f>3.907*2</f>
        <v>7.8140000000000001</v>
      </c>
      <c r="Q182" s="2">
        <v>33.06</v>
      </c>
      <c r="R182" s="2"/>
      <c r="S182" s="2"/>
      <c r="T182" s="23">
        <v>0</v>
      </c>
      <c r="U182" s="25"/>
      <c r="V182" s="25"/>
      <c r="W182" s="2">
        <v>1</v>
      </c>
      <c r="X182" s="2"/>
      <c r="Y182" s="2"/>
      <c r="Z182" s="2"/>
      <c r="AA182" s="2">
        <v>1</v>
      </c>
      <c r="AB182" s="2"/>
      <c r="AC182" s="2"/>
      <c r="AD182" s="2"/>
      <c r="AE182" s="2"/>
      <c r="AF182" s="2"/>
      <c r="AG182" s="2">
        <v>1</v>
      </c>
      <c r="AH182" s="2"/>
      <c r="AI182" s="2"/>
      <c r="AJ182" s="2"/>
      <c r="AO182">
        <v>20</v>
      </c>
      <c r="AP182" s="21">
        <v>0</v>
      </c>
      <c r="AQ182" s="25"/>
      <c r="AR182" s="28">
        <v>1.75</v>
      </c>
      <c r="AS182" s="28">
        <v>2.5</v>
      </c>
      <c r="AT182" s="28">
        <v>0.75</v>
      </c>
      <c r="AU182" s="28">
        <v>0</v>
      </c>
      <c r="AV182" s="28">
        <v>0.35</v>
      </c>
      <c r="AW182" s="28">
        <v>0.5</v>
      </c>
      <c r="AX182" s="28">
        <v>0.15</v>
      </c>
      <c r="AY182" s="28">
        <v>0</v>
      </c>
      <c r="AZ182" s="25">
        <v>0.95</v>
      </c>
      <c r="BA182" s="25">
        <v>3.44</v>
      </c>
      <c r="BB182" s="25">
        <v>2.4900000000000002</v>
      </c>
      <c r="BC182" s="25">
        <v>2.7062499999999998</v>
      </c>
      <c r="BD182">
        <v>2.7062499999999998</v>
      </c>
      <c r="BE182">
        <v>6.2396022968656872</v>
      </c>
    </row>
    <row r="183" spans="1:57" x14ac:dyDescent="0.3">
      <c r="A183" s="2" t="s">
        <v>159</v>
      </c>
      <c r="B183" s="13" t="s">
        <v>780</v>
      </c>
      <c r="C183" s="13"/>
      <c r="D183" s="2"/>
      <c r="E183" s="2"/>
      <c r="F183" s="2">
        <v>3.77</v>
      </c>
      <c r="G183" s="2" t="s">
        <v>154</v>
      </c>
      <c r="H183" s="9">
        <v>-1</v>
      </c>
      <c r="I183">
        <v>-1</v>
      </c>
      <c r="K183" s="2"/>
      <c r="L183" s="2"/>
      <c r="M183" s="2"/>
      <c r="N183" s="23">
        <v>0</v>
      </c>
      <c r="O183" s="2">
        <f t="shared" ref="O183:P186" si="0">3.907*2</f>
        <v>7.8140000000000001</v>
      </c>
      <c r="P183" s="2">
        <f t="shared" si="0"/>
        <v>7.8140000000000001</v>
      </c>
      <c r="Q183" s="2">
        <v>32.86</v>
      </c>
      <c r="R183" s="2"/>
      <c r="S183" s="2"/>
      <c r="T183" s="23">
        <v>0</v>
      </c>
      <c r="U183" s="25"/>
      <c r="V183" s="25"/>
      <c r="W183" s="2">
        <v>1</v>
      </c>
      <c r="X183" s="2"/>
      <c r="Y183" s="2"/>
      <c r="Z183" s="2"/>
      <c r="AA183" s="2">
        <v>1</v>
      </c>
      <c r="AB183" s="2"/>
      <c r="AC183" s="2"/>
      <c r="AD183" s="2"/>
      <c r="AE183" s="2"/>
      <c r="AF183" s="2"/>
      <c r="AG183" s="2">
        <v>1</v>
      </c>
      <c r="AH183" s="2"/>
      <c r="AI183" s="2"/>
      <c r="AJ183" s="2"/>
      <c r="AO183">
        <v>20</v>
      </c>
      <c r="AP183" s="21">
        <v>0</v>
      </c>
      <c r="AQ183" s="25"/>
      <c r="AR183" s="28">
        <v>1.8125</v>
      </c>
      <c r="AS183" s="28">
        <v>2.5</v>
      </c>
      <c r="AT183" s="28">
        <v>0.6875</v>
      </c>
      <c r="AU183" s="28">
        <v>0.875</v>
      </c>
      <c r="AV183" s="28">
        <v>0.30851063829787229</v>
      </c>
      <c r="AW183" s="28">
        <v>0.42553191489361702</v>
      </c>
      <c r="AX183" s="28">
        <v>0.1170212765957447</v>
      </c>
      <c r="AY183" s="28">
        <v>0.14893617021276601</v>
      </c>
      <c r="AZ183" s="25">
        <v>0.95</v>
      </c>
      <c r="BA183" s="25">
        <v>3.44</v>
      </c>
      <c r="BB183" s="25">
        <v>2.4900000000000002</v>
      </c>
      <c r="BC183" s="25">
        <v>2.7</v>
      </c>
      <c r="BD183">
        <v>2.7</v>
      </c>
      <c r="BE183">
        <v>6.2457408593656876</v>
      </c>
    </row>
    <row r="184" spans="1:57" x14ac:dyDescent="0.3">
      <c r="A184" s="2" t="s">
        <v>160</v>
      </c>
      <c r="B184" s="13" t="s">
        <v>781</v>
      </c>
      <c r="C184" s="13"/>
      <c r="D184" s="2"/>
      <c r="E184" s="2"/>
      <c r="F184" s="2">
        <v>3.8</v>
      </c>
      <c r="G184" s="2" t="s">
        <v>154</v>
      </c>
      <c r="H184" s="9">
        <v>-1</v>
      </c>
      <c r="I184">
        <v>-1</v>
      </c>
      <c r="K184" s="2"/>
      <c r="L184" s="2"/>
      <c r="M184" s="2"/>
      <c r="N184" s="23">
        <v>0</v>
      </c>
      <c r="O184" s="2">
        <f t="shared" si="0"/>
        <v>7.8140000000000001</v>
      </c>
      <c r="P184" s="2">
        <f t="shared" si="0"/>
        <v>7.8140000000000001</v>
      </c>
      <c r="Q184" s="2">
        <v>32.42</v>
      </c>
      <c r="R184" s="2"/>
      <c r="S184" s="2"/>
      <c r="T184" s="23">
        <v>0</v>
      </c>
      <c r="U184" s="25"/>
      <c r="V184" s="25"/>
      <c r="W184" s="2">
        <v>1</v>
      </c>
      <c r="X184" s="2"/>
      <c r="Y184" s="2"/>
      <c r="Z184" s="2"/>
      <c r="AA184" s="2">
        <v>1</v>
      </c>
      <c r="AB184" s="2"/>
      <c r="AC184" s="2"/>
      <c r="AD184" s="2"/>
      <c r="AE184" s="2"/>
      <c r="AF184" s="2"/>
      <c r="AG184" s="2">
        <v>1</v>
      </c>
      <c r="AH184" s="2"/>
      <c r="AI184" s="2"/>
      <c r="AJ184" s="2"/>
      <c r="AO184">
        <v>20</v>
      </c>
      <c r="AP184" s="21">
        <v>0</v>
      </c>
      <c r="AQ184" s="25"/>
      <c r="AR184" s="28">
        <v>1.8666666666666669</v>
      </c>
      <c r="AS184" s="28">
        <v>2.666666666666667</v>
      </c>
      <c r="AT184" s="28">
        <v>0.46666666666666667</v>
      </c>
      <c r="AU184" s="28">
        <v>0.93333333333333335</v>
      </c>
      <c r="AV184" s="28">
        <v>0.3146067415730337</v>
      </c>
      <c r="AW184" s="28">
        <v>0.44943820224719089</v>
      </c>
      <c r="AX184" s="28">
        <v>7.8651685393258425E-2</v>
      </c>
      <c r="AY184" s="28">
        <v>0.15730337078651679</v>
      </c>
      <c r="AZ184" s="25">
        <v>0.95</v>
      </c>
      <c r="BA184" s="25">
        <v>3.44</v>
      </c>
      <c r="BB184" s="25">
        <v>2.4900000000000002</v>
      </c>
      <c r="BC184" s="25">
        <v>2.773333333333333</v>
      </c>
      <c r="BD184">
        <v>2.773333333333333</v>
      </c>
      <c r="BE184">
        <v>6.4062483499900669</v>
      </c>
    </row>
    <row r="185" spans="1:57" x14ac:dyDescent="0.3">
      <c r="A185" s="2" t="s">
        <v>161</v>
      </c>
      <c r="B185" s="13" t="s">
        <v>782</v>
      </c>
      <c r="C185" s="13"/>
      <c r="D185" s="2"/>
      <c r="E185" s="2"/>
      <c r="F185" s="2">
        <v>3.92</v>
      </c>
      <c r="G185" s="2" t="s">
        <v>154</v>
      </c>
      <c r="H185" s="9">
        <v>-1</v>
      </c>
      <c r="I185">
        <v>-1</v>
      </c>
      <c r="K185" s="2"/>
      <c r="L185" s="2"/>
      <c r="M185" s="2"/>
      <c r="N185" s="23">
        <v>0</v>
      </c>
      <c r="O185" s="2">
        <f t="shared" si="0"/>
        <v>7.8140000000000001</v>
      </c>
      <c r="P185" s="2">
        <f t="shared" si="0"/>
        <v>7.8140000000000001</v>
      </c>
      <c r="Q185" s="2">
        <v>32.58</v>
      </c>
      <c r="R185" s="2"/>
      <c r="S185" s="2"/>
      <c r="T185" s="23">
        <v>0</v>
      </c>
      <c r="U185" s="25"/>
      <c r="V185" s="25"/>
      <c r="W185" s="2">
        <v>1</v>
      </c>
      <c r="X185" s="2"/>
      <c r="Y185" s="2"/>
      <c r="Z185" s="2"/>
      <c r="AA185" s="2">
        <v>1</v>
      </c>
      <c r="AB185" s="2"/>
      <c r="AC185" s="2"/>
      <c r="AD185" s="2"/>
      <c r="AE185" s="2"/>
      <c r="AF185" s="2"/>
      <c r="AG185" s="2">
        <v>1</v>
      </c>
      <c r="AH185" s="2"/>
      <c r="AI185" s="2"/>
      <c r="AJ185" s="2"/>
      <c r="AO185">
        <v>20</v>
      </c>
      <c r="AP185" s="21">
        <v>0</v>
      </c>
      <c r="AQ185" s="25"/>
      <c r="AR185" s="28">
        <v>1.875</v>
      </c>
      <c r="AS185" s="28">
        <v>2.5</v>
      </c>
      <c r="AT185" s="28">
        <v>0.625</v>
      </c>
      <c r="AU185" s="28">
        <v>1.75</v>
      </c>
      <c r="AV185" s="28">
        <v>0.27777777777777779</v>
      </c>
      <c r="AW185" s="28">
        <v>0.37037037037037029</v>
      </c>
      <c r="AX185" s="28">
        <v>9.2592592592592587E-2</v>
      </c>
      <c r="AY185" s="28">
        <v>0.25925925925925919</v>
      </c>
      <c r="AZ185" s="25">
        <v>0.95</v>
      </c>
      <c r="BA185" s="25">
        <v>3.44</v>
      </c>
      <c r="BB185" s="25">
        <v>2.4900000000000002</v>
      </c>
      <c r="BC185" s="25">
        <v>2.6937500000000001</v>
      </c>
      <c r="BD185">
        <v>2.6937500000000001</v>
      </c>
      <c r="BE185">
        <v>6.2518794218656879</v>
      </c>
    </row>
    <row r="186" spans="1:57" x14ac:dyDescent="0.3">
      <c r="A186" s="2" t="s">
        <v>162</v>
      </c>
      <c r="B186" s="13" t="s">
        <v>783</v>
      </c>
      <c r="C186" s="13"/>
      <c r="D186" s="2"/>
      <c r="E186" s="2"/>
      <c r="F186" s="2">
        <v>4.25</v>
      </c>
      <c r="G186" s="2" t="s">
        <v>154</v>
      </c>
      <c r="H186" s="9">
        <v>-1</v>
      </c>
      <c r="I186">
        <v>-1</v>
      </c>
      <c r="K186" s="2"/>
      <c r="L186" s="2"/>
      <c r="M186" s="2"/>
      <c r="N186" s="23">
        <v>0</v>
      </c>
      <c r="O186" s="2">
        <f t="shared" si="0"/>
        <v>7.8140000000000001</v>
      </c>
      <c r="P186" s="2">
        <f t="shared" si="0"/>
        <v>7.8140000000000001</v>
      </c>
      <c r="Q186" s="2">
        <v>31.54</v>
      </c>
      <c r="R186" s="2"/>
      <c r="S186" s="2"/>
      <c r="T186" s="23">
        <v>0</v>
      </c>
      <c r="U186" s="25"/>
      <c r="V186" s="25"/>
      <c r="W186" s="2">
        <v>1</v>
      </c>
      <c r="X186" s="2"/>
      <c r="Y186" s="2"/>
      <c r="Z186" s="2"/>
      <c r="AA186" s="2">
        <v>1</v>
      </c>
      <c r="AB186" s="2"/>
      <c r="AC186" s="2"/>
      <c r="AD186" s="2"/>
      <c r="AE186" s="2"/>
      <c r="AF186" s="2"/>
      <c r="AG186" s="2">
        <v>1</v>
      </c>
      <c r="AH186" s="2"/>
      <c r="AI186" s="2"/>
      <c r="AJ186" s="2"/>
      <c r="AO186">
        <v>20</v>
      </c>
      <c r="AP186" s="21">
        <v>0</v>
      </c>
      <c r="AQ186" s="25"/>
      <c r="AR186" s="28">
        <v>1.9375</v>
      </c>
      <c r="AS186" s="28">
        <v>2.5</v>
      </c>
      <c r="AT186" s="28">
        <v>0.5625</v>
      </c>
      <c r="AU186" s="28">
        <v>2.625</v>
      </c>
      <c r="AV186" s="28">
        <v>0.25409836065573771</v>
      </c>
      <c r="AW186" s="28">
        <v>0.32786885245901642</v>
      </c>
      <c r="AX186" s="28">
        <v>7.3770491803278687E-2</v>
      </c>
      <c r="AY186" s="28">
        <v>0.34426229508196721</v>
      </c>
      <c r="AZ186" s="25">
        <v>0.95</v>
      </c>
      <c r="BA186" s="25">
        <v>3.44</v>
      </c>
      <c r="BB186" s="25">
        <v>2.4900000000000002</v>
      </c>
      <c r="BC186" s="25">
        <v>2.6875</v>
      </c>
      <c r="BD186">
        <v>2.6875</v>
      </c>
      <c r="BE186">
        <v>6.2580179843656882</v>
      </c>
    </row>
    <row r="187" spans="1:57" x14ac:dyDescent="0.3">
      <c r="A187" s="2" t="s">
        <v>151</v>
      </c>
      <c r="B187" s="17" t="s">
        <v>774</v>
      </c>
      <c r="C187" s="13"/>
      <c r="D187" s="2" t="s">
        <v>863</v>
      </c>
      <c r="E187" s="2">
        <v>4</v>
      </c>
      <c r="F187" s="2">
        <v>3.35</v>
      </c>
      <c r="G187" s="2" t="s">
        <v>154</v>
      </c>
      <c r="H187" s="9">
        <v>-1</v>
      </c>
      <c r="I187">
        <v>-1</v>
      </c>
      <c r="K187" s="2"/>
      <c r="L187" s="2"/>
      <c r="M187" s="2"/>
      <c r="N187" s="23">
        <v>0</v>
      </c>
      <c r="O187" s="2">
        <f>3.88*2</f>
        <v>7.76</v>
      </c>
      <c r="P187" s="2">
        <f>3.88*2</f>
        <v>7.76</v>
      </c>
      <c r="Q187" s="2">
        <v>33</v>
      </c>
      <c r="R187" s="2"/>
      <c r="S187" s="2"/>
      <c r="T187" s="23">
        <v>0</v>
      </c>
      <c r="U187" s="25"/>
      <c r="V187" s="25"/>
      <c r="W187" s="2">
        <v>1</v>
      </c>
      <c r="X187" s="2"/>
      <c r="Y187" s="2"/>
      <c r="Z187" s="2"/>
      <c r="AA187" s="2">
        <v>1</v>
      </c>
      <c r="AB187" s="2"/>
      <c r="AC187" s="2"/>
      <c r="AD187" s="2"/>
      <c r="AE187" s="2"/>
      <c r="AF187" s="2"/>
      <c r="AG187" s="2">
        <v>1</v>
      </c>
      <c r="AH187" s="2"/>
      <c r="AI187" s="2"/>
      <c r="AJ187" s="2"/>
      <c r="AO187">
        <v>20</v>
      </c>
      <c r="AP187" s="21">
        <v>0</v>
      </c>
      <c r="AQ187" s="25"/>
      <c r="AR187" s="28">
        <v>1.75</v>
      </c>
      <c r="AS187" s="28">
        <v>2.5</v>
      </c>
      <c r="AT187" s="28">
        <v>0.75</v>
      </c>
      <c r="AU187" s="28">
        <v>0</v>
      </c>
      <c r="AV187" s="28">
        <v>0.35</v>
      </c>
      <c r="AW187" s="28">
        <v>0.5</v>
      </c>
      <c r="AX187" s="28">
        <v>0.15</v>
      </c>
      <c r="AY187" s="28">
        <v>0</v>
      </c>
      <c r="AZ187" s="25">
        <v>0.95</v>
      </c>
      <c r="BA187" s="25">
        <v>3.44</v>
      </c>
      <c r="BB187" s="25">
        <v>2.4900000000000002</v>
      </c>
      <c r="BC187" s="25">
        <v>2.7062499999999998</v>
      </c>
      <c r="BD187">
        <v>2.7062499999999998</v>
      </c>
      <c r="BE187">
        <v>6.2396022968656872</v>
      </c>
    </row>
    <row r="188" spans="1:57" x14ac:dyDescent="0.3">
      <c r="A188" s="2" t="s">
        <v>159</v>
      </c>
      <c r="B188" s="17" t="s">
        <v>780</v>
      </c>
      <c r="C188" s="13"/>
      <c r="D188" s="2" t="s">
        <v>863</v>
      </c>
      <c r="E188" s="2">
        <v>4</v>
      </c>
      <c r="F188" s="2">
        <v>3.74</v>
      </c>
      <c r="G188" s="2" t="s">
        <v>154</v>
      </c>
      <c r="H188" s="9">
        <v>-1</v>
      </c>
      <c r="I188">
        <v>-1</v>
      </c>
      <c r="K188" s="2"/>
      <c r="L188" s="2"/>
      <c r="M188" s="2"/>
      <c r="N188" s="23">
        <v>0</v>
      </c>
      <c r="O188" s="2">
        <f t="shared" ref="O188:P191" si="1">3.88*2</f>
        <v>7.76</v>
      </c>
      <c r="P188" s="2">
        <f t="shared" si="1"/>
        <v>7.76</v>
      </c>
      <c r="Q188" s="2">
        <v>33.08</v>
      </c>
      <c r="R188" s="2"/>
      <c r="S188" s="2"/>
      <c r="T188" s="23">
        <v>0</v>
      </c>
      <c r="U188" s="25"/>
      <c r="V188" s="25"/>
      <c r="W188" s="2">
        <v>1</v>
      </c>
      <c r="X188" s="2"/>
      <c r="Y188" s="2"/>
      <c r="Z188" s="2"/>
      <c r="AA188" s="2">
        <v>1</v>
      </c>
      <c r="AB188" s="2"/>
      <c r="AC188" s="2"/>
      <c r="AD188" s="2"/>
      <c r="AE188" s="2"/>
      <c r="AF188" s="2"/>
      <c r="AG188" s="2">
        <v>1</v>
      </c>
      <c r="AH188" s="2"/>
      <c r="AI188" s="2"/>
      <c r="AJ188" s="2"/>
      <c r="AO188">
        <v>20</v>
      </c>
      <c r="AP188" s="21">
        <v>0</v>
      </c>
      <c r="AQ188" s="25"/>
      <c r="AR188" s="28">
        <v>1.8125</v>
      </c>
      <c r="AS188" s="28">
        <v>2.5</v>
      </c>
      <c r="AT188" s="28">
        <v>0.6875</v>
      </c>
      <c r="AU188" s="28">
        <v>0.875</v>
      </c>
      <c r="AV188" s="28">
        <v>0.30851063829787229</v>
      </c>
      <c r="AW188" s="28">
        <v>0.42553191489361702</v>
      </c>
      <c r="AX188" s="28">
        <v>0.1170212765957447</v>
      </c>
      <c r="AY188" s="28">
        <v>0.14893617021276601</v>
      </c>
      <c r="AZ188" s="25">
        <v>0.95</v>
      </c>
      <c r="BA188" s="25">
        <v>3.44</v>
      </c>
      <c r="BB188" s="25">
        <v>2.4900000000000002</v>
      </c>
      <c r="BC188" s="25">
        <v>2.7</v>
      </c>
      <c r="BD188">
        <v>2.7</v>
      </c>
      <c r="BE188">
        <v>6.2457408593656876</v>
      </c>
    </row>
    <row r="189" spans="1:57" x14ac:dyDescent="0.3">
      <c r="A189" s="2" t="s">
        <v>160</v>
      </c>
      <c r="B189" s="17" t="s">
        <v>781</v>
      </c>
      <c r="C189" s="13"/>
      <c r="D189" s="2" t="s">
        <v>863</v>
      </c>
      <c r="E189" s="2">
        <v>4</v>
      </c>
      <c r="F189" s="2">
        <v>3.74</v>
      </c>
      <c r="G189" s="2" t="s">
        <v>154</v>
      </c>
      <c r="H189" s="9">
        <v>-1</v>
      </c>
      <c r="I189">
        <v>-1</v>
      </c>
      <c r="K189" s="2"/>
      <c r="L189" s="2"/>
      <c r="M189" s="2"/>
      <c r="N189" s="23">
        <v>0</v>
      </c>
      <c r="O189" s="2">
        <f t="shared" si="1"/>
        <v>7.76</v>
      </c>
      <c r="P189" s="2">
        <f t="shared" si="1"/>
        <v>7.76</v>
      </c>
      <c r="Q189" s="2">
        <v>33.24</v>
      </c>
      <c r="R189" s="2"/>
      <c r="S189" s="2"/>
      <c r="T189" s="23">
        <v>0</v>
      </c>
      <c r="U189" s="23"/>
      <c r="V189" s="23"/>
      <c r="W189" s="2">
        <v>1</v>
      </c>
      <c r="X189" s="2"/>
      <c r="Y189" s="2"/>
      <c r="Z189" s="2"/>
      <c r="AA189" s="2">
        <v>1</v>
      </c>
      <c r="AB189" s="2"/>
      <c r="AC189" s="2"/>
      <c r="AD189" s="2"/>
      <c r="AE189" s="2"/>
      <c r="AF189" s="2"/>
      <c r="AG189" s="2">
        <v>1</v>
      </c>
      <c r="AH189" s="2"/>
      <c r="AI189" s="2"/>
      <c r="AJ189" s="2"/>
      <c r="AO189">
        <v>20</v>
      </c>
      <c r="AP189" s="21">
        <v>0</v>
      </c>
      <c r="AQ189" s="21"/>
      <c r="AR189" s="28">
        <v>1.8666666666666669</v>
      </c>
      <c r="AS189" s="28">
        <v>2.666666666666667</v>
      </c>
      <c r="AT189" s="28">
        <v>0.46666666666666667</v>
      </c>
      <c r="AU189" s="28">
        <v>0.93333333333333335</v>
      </c>
      <c r="AV189" s="28">
        <v>0.3146067415730337</v>
      </c>
      <c r="AW189" s="28">
        <v>0.44943820224719089</v>
      </c>
      <c r="AX189" s="28">
        <v>7.8651685393258425E-2</v>
      </c>
      <c r="AY189" s="28">
        <v>0.15730337078651679</v>
      </c>
      <c r="AZ189" s="25">
        <v>0.95</v>
      </c>
      <c r="BA189" s="25">
        <v>3.44</v>
      </c>
      <c r="BB189" s="25">
        <v>2.4900000000000002</v>
      </c>
      <c r="BC189" s="25">
        <v>2.773333333333333</v>
      </c>
      <c r="BD189">
        <v>2.773333333333333</v>
      </c>
      <c r="BE189">
        <v>6.4062483499900669</v>
      </c>
    </row>
    <row r="190" spans="1:57" x14ac:dyDescent="0.3">
      <c r="A190" s="2" t="s">
        <v>161</v>
      </c>
      <c r="B190" s="17" t="s">
        <v>782</v>
      </c>
      <c r="C190" s="13"/>
      <c r="D190" s="2" t="s">
        <v>863</v>
      </c>
      <c r="E190" s="2">
        <v>4</v>
      </c>
      <c r="F190" s="2">
        <v>3.78</v>
      </c>
      <c r="G190" s="2" t="s">
        <v>154</v>
      </c>
      <c r="H190" s="9">
        <v>-1</v>
      </c>
      <c r="I190">
        <v>-1</v>
      </c>
      <c r="K190" s="2"/>
      <c r="L190" s="2"/>
      <c r="M190" s="2"/>
      <c r="N190" s="23">
        <v>0</v>
      </c>
      <c r="O190" s="2">
        <f t="shared" si="1"/>
        <v>7.76</v>
      </c>
      <c r="P190" s="2">
        <f t="shared" si="1"/>
        <v>7.76</v>
      </c>
      <c r="Q190" s="2">
        <v>33</v>
      </c>
      <c r="R190" s="2"/>
      <c r="S190" s="2"/>
      <c r="T190" s="23">
        <v>0</v>
      </c>
      <c r="U190" s="23"/>
      <c r="V190" s="23"/>
      <c r="W190" s="2">
        <v>1</v>
      </c>
      <c r="X190" s="2"/>
      <c r="Y190" s="2"/>
      <c r="Z190" s="2"/>
      <c r="AA190" s="2">
        <v>1</v>
      </c>
      <c r="AB190" s="2"/>
      <c r="AC190" s="2"/>
      <c r="AD190" s="2"/>
      <c r="AE190" s="2"/>
      <c r="AF190" s="2"/>
      <c r="AG190" s="2">
        <v>1</v>
      </c>
      <c r="AH190" s="2"/>
      <c r="AI190" s="2"/>
      <c r="AJ190" s="2"/>
      <c r="AO190">
        <v>20</v>
      </c>
      <c r="AP190" s="21">
        <v>0</v>
      </c>
      <c r="AQ190" s="21"/>
      <c r="AR190" s="28">
        <v>1.875</v>
      </c>
      <c r="AS190" s="28">
        <v>2.5</v>
      </c>
      <c r="AT190" s="28">
        <v>0.625</v>
      </c>
      <c r="AU190" s="28">
        <v>1.75</v>
      </c>
      <c r="AV190" s="28">
        <v>0.27777777777777779</v>
      </c>
      <c r="AW190" s="28">
        <v>0.37037037037037029</v>
      </c>
      <c r="AX190" s="28">
        <v>9.2592592592592587E-2</v>
      </c>
      <c r="AY190" s="28">
        <v>0.25925925925925919</v>
      </c>
      <c r="AZ190" s="25">
        <v>0.95</v>
      </c>
      <c r="BA190" s="25">
        <v>3.44</v>
      </c>
      <c r="BB190" s="25">
        <v>2.4900000000000002</v>
      </c>
      <c r="BC190" s="25">
        <v>2.6937500000000001</v>
      </c>
      <c r="BD190">
        <v>2.6937500000000001</v>
      </c>
      <c r="BE190">
        <v>6.2518794218656879</v>
      </c>
    </row>
    <row r="191" spans="1:57" x14ac:dyDescent="0.3">
      <c r="A191" s="2" t="s">
        <v>162</v>
      </c>
      <c r="B191" s="17" t="s">
        <v>783</v>
      </c>
      <c r="C191" s="13"/>
      <c r="D191" s="2" t="s">
        <v>863</v>
      </c>
      <c r="E191" s="2">
        <v>4</v>
      </c>
      <c r="F191" s="2">
        <v>3.99</v>
      </c>
      <c r="G191" s="2" t="s">
        <v>154</v>
      </c>
      <c r="H191" s="9">
        <v>-1</v>
      </c>
      <c r="I191">
        <v>-1</v>
      </c>
      <c r="K191" s="2"/>
      <c r="L191" s="2"/>
      <c r="M191" s="2"/>
      <c r="N191" s="23">
        <v>0</v>
      </c>
      <c r="O191" s="2">
        <f t="shared" si="1"/>
        <v>7.76</v>
      </c>
      <c r="P191" s="2">
        <f t="shared" si="1"/>
        <v>7.76</v>
      </c>
      <c r="Q191" s="2">
        <v>29.18</v>
      </c>
      <c r="R191" s="2"/>
      <c r="S191" s="2"/>
      <c r="T191" s="23">
        <v>0</v>
      </c>
      <c r="U191" s="23"/>
      <c r="V191" s="23"/>
      <c r="W191" s="2">
        <v>1</v>
      </c>
      <c r="X191" s="2"/>
      <c r="Y191" s="2"/>
      <c r="Z191" s="2"/>
      <c r="AA191" s="2">
        <v>1</v>
      </c>
      <c r="AB191" s="2"/>
      <c r="AC191" s="2"/>
      <c r="AD191" s="2"/>
      <c r="AE191" s="2"/>
      <c r="AF191" s="2"/>
      <c r="AG191" s="2">
        <v>1</v>
      </c>
      <c r="AH191" s="2"/>
      <c r="AI191" s="2"/>
      <c r="AJ191" s="2"/>
      <c r="AO191">
        <v>20</v>
      </c>
      <c r="AP191" s="21">
        <v>0</v>
      </c>
      <c r="AQ191" s="21"/>
      <c r="AR191" s="28">
        <v>1.9375</v>
      </c>
      <c r="AS191" s="28">
        <v>2.5</v>
      </c>
      <c r="AT191" s="28">
        <v>0.5625</v>
      </c>
      <c r="AU191" s="28">
        <v>2.625</v>
      </c>
      <c r="AV191" s="28">
        <v>0.25409836065573771</v>
      </c>
      <c r="AW191" s="28">
        <v>0.32786885245901642</v>
      </c>
      <c r="AX191" s="28">
        <v>7.3770491803278687E-2</v>
      </c>
      <c r="AY191" s="28">
        <v>0.34426229508196721</v>
      </c>
      <c r="AZ191" s="25">
        <v>0.95</v>
      </c>
      <c r="BA191" s="25">
        <v>3.44</v>
      </c>
      <c r="BB191" s="25">
        <v>2.4900000000000002</v>
      </c>
      <c r="BC191" s="25">
        <v>2.6875</v>
      </c>
      <c r="BD191">
        <v>2.6875</v>
      </c>
      <c r="BE191">
        <v>6.2580179843656882</v>
      </c>
    </row>
    <row r="192" spans="1:57" x14ac:dyDescent="0.3">
      <c r="A192" s="2" t="s">
        <v>4</v>
      </c>
      <c r="B192" s="13" t="s">
        <v>689</v>
      </c>
      <c r="C192" s="13"/>
      <c r="D192" s="2"/>
      <c r="E192" s="2"/>
      <c r="F192" s="2">
        <v>3.5</v>
      </c>
      <c r="G192" s="2" t="s">
        <v>163</v>
      </c>
      <c r="H192" s="9" t="s">
        <v>527</v>
      </c>
      <c r="I192" t="s">
        <v>609</v>
      </c>
      <c r="K192" s="2"/>
      <c r="L192" s="2"/>
      <c r="M192" s="2"/>
      <c r="N192" s="23">
        <v>4</v>
      </c>
      <c r="O192" s="2"/>
      <c r="P192" s="2"/>
      <c r="Q192" s="2"/>
      <c r="R192" s="2"/>
      <c r="S192" s="2"/>
      <c r="T192" s="23">
        <v>7.8084429999999996</v>
      </c>
      <c r="U192" s="25">
        <v>7.8548809999999998</v>
      </c>
      <c r="V192" s="25">
        <v>15.19056011</v>
      </c>
      <c r="W192" s="2">
        <v>1</v>
      </c>
      <c r="X192" s="2"/>
      <c r="Y192" s="2"/>
      <c r="Z192" s="2"/>
      <c r="AA192" s="2">
        <v>1</v>
      </c>
      <c r="AB192" s="2"/>
      <c r="AC192" s="2"/>
      <c r="AD192" s="2"/>
      <c r="AE192" s="2"/>
      <c r="AF192" s="2">
        <v>1</v>
      </c>
      <c r="AG192" s="2"/>
      <c r="AH192" s="2"/>
      <c r="AI192" s="2"/>
      <c r="AJ192" s="2">
        <v>1</v>
      </c>
      <c r="AO192">
        <v>20</v>
      </c>
      <c r="AP192" s="21">
        <v>924.74694800021894</v>
      </c>
      <c r="AQ192" s="25">
        <v>8.6510153045653584E-2</v>
      </c>
      <c r="AR192" s="28">
        <v>1.75</v>
      </c>
      <c r="AS192" s="28">
        <v>2.5</v>
      </c>
      <c r="AT192" s="28">
        <v>0.75</v>
      </c>
      <c r="AU192" s="28">
        <v>0</v>
      </c>
      <c r="AV192" s="28">
        <v>0.35</v>
      </c>
      <c r="AW192" s="28">
        <v>0.5</v>
      </c>
      <c r="AX192" s="28">
        <v>0.15</v>
      </c>
      <c r="AY192" s="28">
        <v>0</v>
      </c>
      <c r="AZ192" s="25">
        <v>0.82</v>
      </c>
      <c r="BA192" s="25">
        <v>3.44</v>
      </c>
      <c r="BB192" s="25">
        <v>2.62</v>
      </c>
      <c r="BC192" s="25">
        <v>2.6262500000000002</v>
      </c>
      <c r="BD192">
        <v>2.6262500000000002</v>
      </c>
      <c r="BE192">
        <v>5.96680968125</v>
      </c>
    </row>
    <row r="193" spans="1:57" x14ac:dyDescent="0.3">
      <c r="A193" s="2" t="s">
        <v>165</v>
      </c>
      <c r="B193" s="13" t="s">
        <v>784</v>
      </c>
      <c r="C193" s="13"/>
      <c r="D193" s="2"/>
      <c r="E193" s="2"/>
      <c r="F193" s="2">
        <v>2.84</v>
      </c>
      <c r="G193" s="2" t="s">
        <v>164</v>
      </c>
      <c r="H193" s="9">
        <v>-1</v>
      </c>
      <c r="I193">
        <v>-1</v>
      </c>
      <c r="K193" s="2"/>
      <c r="L193" s="2" t="s">
        <v>1189</v>
      </c>
      <c r="M193" s="2"/>
      <c r="N193" s="23">
        <v>0</v>
      </c>
      <c r="O193" s="2">
        <v>3.97</v>
      </c>
      <c r="P193" s="2">
        <v>3.97</v>
      </c>
      <c r="Q193" s="2">
        <v>22.5</v>
      </c>
      <c r="R193" s="2"/>
      <c r="S193" s="2"/>
      <c r="T193" s="23">
        <v>0</v>
      </c>
      <c r="U193" s="25"/>
      <c r="V193" s="25"/>
      <c r="W193" s="2"/>
      <c r="X193" s="2"/>
      <c r="Y193" s="2"/>
      <c r="Z193" s="2">
        <v>1.3</v>
      </c>
      <c r="AA193" s="2"/>
      <c r="AB193" s="2"/>
      <c r="AC193" s="2"/>
      <c r="AD193" s="2"/>
      <c r="AE193" s="2">
        <v>1</v>
      </c>
      <c r="AF193" s="2">
        <v>1</v>
      </c>
      <c r="AG193" s="2">
        <v>1</v>
      </c>
      <c r="AH193" s="2"/>
      <c r="AI193" s="2"/>
      <c r="AJ193" s="2"/>
      <c r="AO193">
        <v>18</v>
      </c>
      <c r="AP193" s="21">
        <v>0</v>
      </c>
      <c r="AQ193" s="25"/>
      <c r="AR193" s="28">
        <v>1.8</v>
      </c>
      <c r="AS193" s="28">
        <v>2.4</v>
      </c>
      <c r="AT193" s="28">
        <v>1.1333333333333331</v>
      </c>
      <c r="AU193" s="28">
        <v>0</v>
      </c>
      <c r="AV193" s="28">
        <v>0.33750000000000002</v>
      </c>
      <c r="AW193" s="28">
        <v>0.45</v>
      </c>
      <c r="AX193" s="28">
        <v>0.21249999999999999</v>
      </c>
      <c r="AY193" s="28">
        <v>0</v>
      </c>
      <c r="AZ193" s="25">
        <v>0.93</v>
      </c>
      <c r="BA193" s="25">
        <v>3.44</v>
      </c>
      <c r="BB193" s="25">
        <v>2.5099999999999998</v>
      </c>
      <c r="BC193" s="25">
        <v>2.6033333333333331</v>
      </c>
      <c r="BD193">
        <v>2.6033333333333331</v>
      </c>
      <c r="BE193">
        <v>5.9143459586666669</v>
      </c>
    </row>
    <row r="194" spans="1:57" x14ac:dyDescent="0.3">
      <c r="A194" s="2" t="s">
        <v>166</v>
      </c>
      <c r="B194" s="13" t="s">
        <v>785</v>
      </c>
      <c r="C194" s="13"/>
      <c r="D194" s="2"/>
      <c r="E194" s="2"/>
      <c r="F194" s="2">
        <v>3.48</v>
      </c>
      <c r="G194" s="2" t="s">
        <v>164</v>
      </c>
      <c r="H194" s="9">
        <v>-1</v>
      </c>
      <c r="I194">
        <v>-1</v>
      </c>
      <c r="K194" s="2"/>
      <c r="L194" s="2" t="s">
        <v>1189</v>
      </c>
      <c r="M194" s="2"/>
      <c r="N194" s="23">
        <v>0</v>
      </c>
      <c r="O194" s="2">
        <v>3.97</v>
      </c>
      <c r="P194" s="2">
        <v>3.97</v>
      </c>
      <c r="Q194" s="2">
        <v>22.5</v>
      </c>
      <c r="R194" s="2"/>
      <c r="S194" s="2"/>
      <c r="T194" s="23">
        <v>0</v>
      </c>
      <c r="U194" s="25"/>
      <c r="V194" s="25"/>
      <c r="W194" s="2"/>
      <c r="X194" s="2"/>
      <c r="Y194" s="2">
        <v>3</v>
      </c>
      <c r="Z194" s="2">
        <v>6.1</v>
      </c>
      <c r="AA194" s="2"/>
      <c r="AB194" s="2"/>
      <c r="AC194" s="2"/>
      <c r="AD194" s="2"/>
      <c r="AE194" s="2">
        <v>1</v>
      </c>
      <c r="AF194" s="2">
        <v>1</v>
      </c>
      <c r="AG194" s="2">
        <v>1</v>
      </c>
      <c r="AH194" s="2"/>
      <c r="AI194" s="2"/>
      <c r="AJ194" s="2"/>
      <c r="AO194">
        <v>18</v>
      </c>
      <c r="AP194" s="21">
        <v>0</v>
      </c>
      <c r="AQ194" s="25"/>
      <c r="AR194" s="28">
        <v>1.8</v>
      </c>
      <c r="AS194" s="28">
        <v>2.4</v>
      </c>
      <c r="AT194" s="28">
        <v>1.1333333333333331</v>
      </c>
      <c r="AU194" s="28">
        <v>0</v>
      </c>
      <c r="AV194" s="28">
        <v>0.33750000000000002</v>
      </c>
      <c r="AW194" s="28">
        <v>0.45</v>
      </c>
      <c r="AX194" s="28">
        <v>0.21249999999999999</v>
      </c>
      <c r="AY194" s="28">
        <v>0</v>
      </c>
      <c r="AZ194" s="25">
        <v>0.79</v>
      </c>
      <c r="BA194" s="25">
        <v>3.44</v>
      </c>
      <c r="BB194" s="25">
        <v>2.65</v>
      </c>
      <c r="BC194" s="25">
        <v>2.5939999999999999</v>
      </c>
      <c r="BD194">
        <v>2.5939999999999999</v>
      </c>
      <c r="BE194">
        <v>5.870297050914334</v>
      </c>
    </row>
    <row r="195" spans="1:57" s="5" customFormat="1" x14ac:dyDescent="0.3">
      <c r="A195" s="5" t="s">
        <v>167</v>
      </c>
      <c r="B195" s="39" t="s">
        <v>786</v>
      </c>
      <c r="C195" s="39"/>
      <c r="F195" s="5">
        <v>3.49</v>
      </c>
      <c r="G195" s="5" t="s">
        <v>164</v>
      </c>
      <c r="H195" s="40">
        <v>-2</v>
      </c>
      <c r="I195" s="5">
        <v>-1</v>
      </c>
      <c r="L195" s="5" t="s">
        <v>1189</v>
      </c>
      <c r="N195" s="41">
        <v>0</v>
      </c>
      <c r="T195" s="41">
        <v>0</v>
      </c>
      <c r="U195" s="41"/>
      <c r="V195" s="41"/>
      <c r="Z195" s="5">
        <v>26.7</v>
      </c>
      <c r="AE195" s="5">
        <v>1</v>
      </c>
      <c r="AF195" s="5">
        <v>1</v>
      </c>
      <c r="AG195" s="5">
        <v>1</v>
      </c>
      <c r="AO195" s="5">
        <v>18</v>
      </c>
      <c r="AP195" s="41">
        <v>0</v>
      </c>
      <c r="AQ195" s="41"/>
      <c r="AR195" s="5">
        <v>1.8</v>
      </c>
      <c r="AS195" s="5">
        <v>2.4</v>
      </c>
      <c r="AT195" s="5">
        <v>1.1333333333333331</v>
      </c>
      <c r="AU195" s="5">
        <v>0</v>
      </c>
      <c r="AV195" s="5">
        <v>0.33750000000000002</v>
      </c>
      <c r="AW195" s="5">
        <v>0.45</v>
      </c>
      <c r="AX195" s="5">
        <v>0.21249999999999999</v>
      </c>
      <c r="AY195" s="5">
        <v>0</v>
      </c>
      <c r="AZ195" s="41">
        <v>0.95</v>
      </c>
      <c r="BA195" s="41">
        <v>3.44</v>
      </c>
      <c r="BB195" s="41">
        <v>2.4900000000000002</v>
      </c>
      <c r="BC195" s="41">
        <v>2.6880000000000011</v>
      </c>
      <c r="BD195" s="5">
        <v>2.6880000000000002</v>
      </c>
      <c r="BE195" s="5">
        <v>6.2032136049900668</v>
      </c>
    </row>
    <row r="196" spans="1:57" x14ac:dyDescent="0.3">
      <c r="A196" s="2" t="s">
        <v>169</v>
      </c>
      <c r="B196" s="13" t="s">
        <v>787</v>
      </c>
      <c r="C196" s="13"/>
      <c r="D196" s="2"/>
      <c r="E196" s="2"/>
      <c r="F196" s="2">
        <v>3.75</v>
      </c>
      <c r="G196" s="2" t="s">
        <v>168</v>
      </c>
      <c r="H196" s="9">
        <v>-1</v>
      </c>
      <c r="I196">
        <v>-1</v>
      </c>
      <c r="K196" s="2"/>
      <c r="L196" s="2"/>
      <c r="M196" s="2"/>
      <c r="N196" s="23">
        <v>0</v>
      </c>
      <c r="O196" s="2">
        <v>3.8530000000000002</v>
      </c>
      <c r="P196" s="2">
        <v>3.8530000000000002</v>
      </c>
      <c r="Q196" s="2">
        <v>29</v>
      </c>
      <c r="T196" s="23">
        <v>0</v>
      </c>
      <c r="U196" s="25"/>
      <c r="V196" s="25"/>
      <c r="W196" s="2">
        <v>1</v>
      </c>
      <c r="X196" s="2"/>
      <c r="Y196" s="2">
        <v>3</v>
      </c>
      <c r="Z196" s="2">
        <v>2.83</v>
      </c>
      <c r="AA196" s="2">
        <v>1</v>
      </c>
      <c r="AB196" s="2"/>
      <c r="AC196" s="2"/>
      <c r="AD196" s="2"/>
      <c r="AE196" s="2"/>
      <c r="AF196" s="2"/>
      <c r="AG196" s="2"/>
      <c r="AH196" s="2"/>
      <c r="AI196" s="2"/>
      <c r="AJ196" s="2"/>
      <c r="AO196">
        <v>40</v>
      </c>
      <c r="AP196" s="21">
        <v>0</v>
      </c>
      <c r="AQ196" s="25"/>
      <c r="AR196" s="28">
        <v>1.75</v>
      </c>
      <c r="AS196" s="28">
        <v>2.5</v>
      </c>
      <c r="AT196" s="28">
        <v>0.75</v>
      </c>
      <c r="AU196" s="28">
        <v>0</v>
      </c>
      <c r="AV196" s="28">
        <v>0.35</v>
      </c>
      <c r="AW196" s="28">
        <v>0.5</v>
      </c>
      <c r="AX196" s="28">
        <v>0.15</v>
      </c>
      <c r="AY196" s="28">
        <v>0</v>
      </c>
      <c r="AZ196" s="25">
        <v>1</v>
      </c>
      <c r="BA196" s="25">
        <v>3.44</v>
      </c>
      <c r="BB196" s="25">
        <v>2.44</v>
      </c>
      <c r="BC196" s="25">
        <v>2.7124999999999999</v>
      </c>
      <c r="BD196">
        <v>2.7124999999999999</v>
      </c>
      <c r="BE196">
        <v>6.264025610615688</v>
      </c>
    </row>
    <row r="197" spans="1:57" x14ac:dyDescent="0.3">
      <c r="A197" s="2" t="s">
        <v>170</v>
      </c>
      <c r="B197" s="13" t="s">
        <v>788</v>
      </c>
      <c r="C197" s="13"/>
      <c r="D197" s="2"/>
      <c r="E197" s="2"/>
      <c r="F197" s="2">
        <v>3.86</v>
      </c>
      <c r="G197" s="2" t="s">
        <v>168</v>
      </c>
      <c r="H197" s="9">
        <v>-1</v>
      </c>
      <c r="I197">
        <v>-1</v>
      </c>
      <c r="K197" s="2"/>
      <c r="L197" s="2"/>
      <c r="M197" s="2"/>
      <c r="N197" s="23">
        <v>0</v>
      </c>
      <c r="O197" s="2">
        <v>3.8530000000000002</v>
      </c>
      <c r="P197" s="2">
        <v>3.8530000000000002</v>
      </c>
      <c r="Q197" s="2">
        <v>31.24</v>
      </c>
      <c r="R197" s="2"/>
      <c r="S197" s="2"/>
      <c r="T197" s="23">
        <v>0</v>
      </c>
      <c r="U197" s="25"/>
      <c r="V197" s="25"/>
      <c r="W197" s="2">
        <v>1</v>
      </c>
      <c r="X197" s="2"/>
      <c r="Y197" s="2">
        <v>3</v>
      </c>
      <c r="Z197" s="2">
        <v>6.46</v>
      </c>
      <c r="AA197" s="2">
        <v>1</v>
      </c>
      <c r="AB197" s="2"/>
      <c r="AC197" s="2"/>
      <c r="AD197" s="2"/>
      <c r="AE197" s="2"/>
      <c r="AF197" s="2"/>
      <c r="AG197" s="2"/>
      <c r="AH197" s="2"/>
      <c r="AI197" s="2"/>
      <c r="AJ197" s="2"/>
      <c r="AO197">
        <v>40</v>
      </c>
      <c r="AP197" s="21">
        <v>0</v>
      </c>
      <c r="AQ197" s="25"/>
      <c r="AR197" s="28">
        <v>1.8125</v>
      </c>
      <c r="AS197" s="28">
        <v>2.5</v>
      </c>
      <c r="AT197" s="28">
        <v>0.6875</v>
      </c>
      <c r="AU197" s="28">
        <v>0.875</v>
      </c>
      <c r="AV197" s="28">
        <v>0.30851063829787229</v>
      </c>
      <c r="AW197" s="28">
        <v>0.42553191489361702</v>
      </c>
      <c r="AX197" s="28">
        <v>0.1170212765957447</v>
      </c>
      <c r="AY197" s="28">
        <v>0.14893617021276601</v>
      </c>
      <c r="AZ197" s="25">
        <v>1</v>
      </c>
      <c r="BA197" s="25">
        <v>3.44</v>
      </c>
      <c r="BB197" s="25">
        <v>2.44</v>
      </c>
      <c r="BC197" s="25">
        <v>2.7062499999999998</v>
      </c>
      <c r="BD197">
        <v>2.7062499999999998</v>
      </c>
      <c r="BE197">
        <v>6.2701641731156874</v>
      </c>
    </row>
    <row r="198" spans="1:57" x14ac:dyDescent="0.3">
      <c r="A198" s="2" t="s">
        <v>171</v>
      </c>
      <c r="B198" s="13" t="s">
        <v>789</v>
      </c>
      <c r="C198" s="13"/>
      <c r="D198" s="2"/>
      <c r="E198" s="2"/>
      <c r="F198" s="2">
        <v>4.01</v>
      </c>
      <c r="G198" s="2" t="s">
        <v>168</v>
      </c>
      <c r="H198" s="9">
        <v>-1</v>
      </c>
      <c r="I198">
        <v>-1</v>
      </c>
      <c r="K198" s="2"/>
      <c r="L198" s="2"/>
      <c r="M198" s="2"/>
      <c r="N198" s="23">
        <v>0</v>
      </c>
      <c r="O198" s="2">
        <v>3.8530000000000002</v>
      </c>
      <c r="P198" s="2">
        <v>3.8530000000000002</v>
      </c>
      <c r="Q198" s="2">
        <v>31.54</v>
      </c>
      <c r="R198" s="2"/>
      <c r="S198" s="2"/>
      <c r="T198" s="23">
        <v>0</v>
      </c>
      <c r="U198" s="23"/>
      <c r="V198" s="23"/>
      <c r="W198" s="2">
        <v>1</v>
      </c>
      <c r="X198" s="2"/>
      <c r="Y198" s="2">
        <v>3</v>
      </c>
      <c r="Z198" s="2">
        <v>6.64</v>
      </c>
      <c r="AA198" s="2">
        <v>1</v>
      </c>
      <c r="AB198" s="2"/>
      <c r="AC198" s="2"/>
      <c r="AD198" s="2"/>
      <c r="AE198" s="2"/>
      <c r="AF198" s="2"/>
      <c r="AG198" s="2"/>
      <c r="AH198" s="2"/>
      <c r="AI198" s="2"/>
      <c r="AJ198" s="2"/>
      <c r="AO198">
        <v>40</v>
      </c>
      <c r="AP198" s="21">
        <v>0</v>
      </c>
      <c r="AQ198" s="21"/>
      <c r="AR198" s="28">
        <v>1.84375</v>
      </c>
      <c r="AS198" s="28">
        <v>2.5</v>
      </c>
      <c r="AT198" s="28">
        <v>0.65625</v>
      </c>
      <c r="AU198" s="28">
        <v>1.3125</v>
      </c>
      <c r="AV198" s="28">
        <v>0.29207920792079212</v>
      </c>
      <c r="AW198" s="28">
        <v>0.39603960396039611</v>
      </c>
      <c r="AX198" s="28">
        <v>0.103960396039604</v>
      </c>
      <c r="AY198" s="28">
        <v>0.20792079207920791</v>
      </c>
      <c r="AZ198" s="25">
        <v>1</v>
      </c>
      <c r="BA198" s="25">
        <v>3.44</v>
      </c>
      <c r="BB198" s="25">
        <v>2.44</v>
      </c>
      <c r="BC198" s="25">
        <v>2.703125</v>
      </c>
      <c r="BD198">
        <v>2.703125</v>
      </c>
      <c r="BE198">
        <v>6.2732334543656876</v>
      </c>
    </row>
    <row r="199" spans="1:57" x14ac:dyDescent="0.3">
      <c r="A199" s="2" t="s">
        <v>172</v>
      </c>
      <c r="B199" s="13" t="s">
        <v>790</v>
      </c>
      <c r="C199" s="13"/>
      <c r="D199" s="2"/>
      <c r="E199" s="2"/>
      <c r="F199" s="2">
        <v>4.16</v>
      </c>
      <c r="G199" s="2" t="s">
        <v>168</v>
      </c>
      <c r="H199" s="9">
        <v>-1</v>
      </c>
      <c r="I199">
        <v>-1</v>
      </c>
      <c r="K199" s="2"/>
      <c r="L199" s="2"/>
      <c r="M199" s="2"/>
      <c r="N199" s="23">
        <v>0</v>
      </c>
      <c r="O199" s="2">
        <v>3.8530000000000002</v>
      </c>
      <c r="P199" s="2">
        <v>3.8530000000000002</v>
      </c>
      <c r="Q199" s="2">
        <v>32.4</v>
      </c>
      <c r="R199" s="2"/>
      <c r="S199" s="2"/>
      <c r="T199" s="23">
        <v>0</v>
      </c>
      <c r="U199" s="23"/>
      <c r="V199" s="23"/>
      <c r="W199" s="2">
        <v>1</v>
      </c>
      <c r="X199" s="2"/>
      <c r="Y199" s="2">
        <v>3</v>
      </c>
      <c r="Z199" s="2">
        <v>5.75</v>
      </c>
      <c r="AA199" s="2">
        <v>1</v>
      </c>
      <c r="AB199" s="2"/>
      <c r="AC199" s="2"/>
      <c r="AD199" s="2"/>
      <c r="AE199" s="2"/>
      <c r="AF199" s="2"/>
      <c r="AG199" s="2"/>
      <c r="AH199" s="2"/>
      <c r="AI199" s="2"/>
      <c r="AJ199" s="2"/>
      <c r="AO199">
        <v>40</v>
      </c>
      <c r="AP199" s="21">
        <v>0</v>
      </c>
      <c r="AQ199" s="21"/>
      <c r="AR199" s="28">
        <v>1.875</v>
      </c>
      <c r="AS199" s="28">
        <v>2.5</v>
      </c>
      <c r="AT199" s="28">
        <v>0.625</v>
      </c>
      <c r="AU199" s="28">
        <v>1.75</v>
      </c>
      <c r="AV199" s="28">
        <v>0.27777777777777779</v>
      </c>
      <c r="AW199" s="28">
        <v>0.37037037037037029</v>
      </c>
      <c r="AX199" s="28">
        <v>9.2592592592592587E-2</v>
      </c>
      <c r="AY199" s="28">
        <v>0.25925925925925919</v>
      </c>
      <c r="AZ199" s="25">
        <v>1</v>
      </c>
      <c r="BA199" s="25">
        <v>3.44</v>
      </c>
      <c r="BB199" s="25">
        <v>2.44</v>
      </c>
      <c r="BC199" s="25">
        <v>2.7</v>
      </c>
      <c r="BD199">
        <v>2.7</v>
      </c>
      <c r="BE199">
        <v>6.2763027356156877</v>
      </c>
    </row>
    <row r="200" spans="1:57" x14ac:dyDescent="0.3">
      <c r="A200" s="2" t="s">
        <v>173</v>
      </c>
      <c r="B200" s="13" t="s">
        <v>791</v>
      </c>
      <c r="C200" s="13"/>
      <c r="D200" s="2"/>
      <c r="E200" s="2"/>
      <c r="F200" s="2">
        <v>4.59</v>
      </c>
      <c r="G200" s="2" t="s">
        <v>168</v>
      </c>
      <c r="H200" s="9">
        <v>-1</v>
      </c>
      <c r="I200">
        <v>-1</v>
      </c>
      <c r="K200" s="2"/>
      <c r="L200" s="2"/>
      <c r="M200" s="2"/>
      <c r="N200" s="23">
        <v>0</v>
      </c>
      <c r="O200" s="2">
        <v>3.8530000000000002</v>
      </c>
      <c r="P200" s="2">
        <v>3.8530000000000002</v>
      </c>
      <c r="Q200" s="2">
        <v>32.64</v>
      </c>
      <c r="R200" t="s">
        <v>496</v>
      </c>
      <c r="T200" s="23">
        <v>0</v>
      </c>
      <c r="U200" s="25"/>
      <c r="V200" s="25"/>
      <c r="W200" s="2">
        <v>1</v>
      </c>
      <c r="X200" s="2"/>
      <c r="Y200" s="2">
        <v>3</v>
      </c>
      <c r="Z200" s="2">
        <v>7.41</v>
      </c>
      <c r="AA200" s="2">
        <v>1</v>
      </c>
      <c r="AB200" s="2"/>
      <c r="AC200" s="2"/>
      <c r="AD200" s="2"/>
      <c r="AE200" s="2"/>
      <c r="AF200" s="2"/>
      <c r="AG200" s="2"/>
      <c r="AH200" s="2"/>
      <c r="AI200" s="2"/>
      <c r="AJ200" s="2"/>
      <c r="AO200">
        <v>40</v>
      </c>
      <c r="AP200" s="21">
        <v>0</v>
      </c>
      <c r="AQ200" s="25"/>
      <c r="AR200" s="28">
        <v>1.9375</v>
      </c>
      <c r="AS200" s="28">
        <v>2.5</v>
      </c>
      <c r="AT200" s="28">
        <v>0.5625</v>
      </c>
      <c r="AU200" s="28">
        <v>2.625</v>
      </c>
      <c r="AV200" s="28">
        <v>0.25409836065573771</v>
      </c>
      <c r="AW200" s="28">
        <v>0.32786885245901642</v>
      </c>
      <c r="AX200" s="28">
        <v>7.3770491803278687E-2</v>
      </c>
      <c r="AY200" s="28">
        <v>0.34426229508196721</v>
      </c>
      <c r="AZ200" s="25">
        <v>1</v>
      </c>
      <c r="BA200" s="25">
        <v>3.44</v>
      </c>
      <c r="BB200" s="25">
        <v>2.44</v>
      </c>
      <c r="BC200" s="25">
        <v>2.6937500000000001</v>
      </c>
      <c r="BD200">
        <v>2.6937500000000001</v>
      </c>
      <c r="BE200">
        <v>6.2824412981156881</v>
      </c>
    </row>
    <row r="201" spans="1:57" x14ac:dyDescent="0.3">
      <c r="A201" s="2" t="s">
        <v>2</v>
      </c>
      <c r="B201" s="13" t="s">
        <v>687</v>
      </c>
      <c r="C201" s="13"/>
      <c r="D201" s="2"/>
      <c r="E201" s="2"/>
      <c r="F201" s="2">
        <v>3.3</v>
      </c>
      <c r="G201" s="2" t="s">
        <v>174</v>
      </c>
      <c r="H201" s="9" t="s">
        <v>525</v>
      </c>
      <c r="I201">
        <v>-1</v>
      </c>
      <c r="K201" s="2">
        <v>1</v>
      </c>
      <c r="L201" s="2"/>
      <c r="M201" s="2"/>
      <c r="N201" s="23">
        <v>2</v>
      </c>
      <c r="O201" s="2">
        <v>5.4763999999999999</v>
      </c>
      <c r="P201" s="2">
        <v>22.404199999999999</v>
      </c>
      <c r="Q201" s="2">
        <v>5.1576000000000004</v>
      </c>
      <c r="R201" s="2" t="s">
        <v>515</v>
      </c>
      <c r="S201" s="2"/>
      <c r="T201" s="23">
        <v>11.92921406</v>
      </c>
      <c r="U201" s="25">
        <v>11.92921406</v>
      </c>
      <c r="V201" s="25">
        <v>11.92921406</v>
      </c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O201">
        <v>14</v>
      </c>
      <c r="AP201" s="21">
        <v>349.00875366799971</v>
      </c>
      <c r="AQ201" s="25">
        <v>8.0227214090553903E-2</v>
      </c>
      <c r="AR201" s="28">
        <v>1.7272727272727271</v>
      </c>
      <c r="AS201" s="28">
        <v>2.545454545454545</v>
      </c>
      <c r="AT201" s="28">
        <v>0.81818181818181823</v>
      </c>
      <c r="AU201" s="28">
        <v>0</v>
      </c>
      <c r="AV201" s="28">
        <v>0.3392857142857143</v>
      </c>
      <c r="AW201" s="28">
        <v>0.5</v>
      </c>
      <c r="AX201" s="28">
        <v>0.1607142857142857</v>
      </c>
      <c r="AY201" s="28">
        <v>0</v>
      </c>
      <c r="AZ201" s="25">
        <v>0.82</v>
      </c>
      <c r="BA201" s="25">
        <v>3.44</v>
      </c>
      <c r="BB201" s="25">
        <v>2.62</v>
      </c>
      <c r="BC201" s="25">
        <v>2.6545454545454539</v>
      </c>
      <c r="BD201">
        <v>2.6545454545454552</v>
      </c>
      <c r="BE201">
        <v>5.9865512095454543</v>
      </c>
    </row>
    <row r="202" spans="1:57" x14ac:dyDescent="0.3">
      <c r="A202" s="2" t="s">
        <v>175</v>
      </c>
      <c r="B202" s="13" t="s">
        <v>792</v>
      </c>
      <c r="C202" s="13"/>
      <c r="D202" s="2"/>
      <c r="E202" s="2"/>
      <c r="F202" s="2">
        <v>2.98</v>
      </c>
      <c r="G202" s="2" t="s">
        <v>174</v>
      </c>
      <c r="H202" s="9" t="s">
        <v>579</v>
      </c>
      <c r="I202" t="s">
        <v>654</v>
      </c>
      <c r="K202" s="2">
        <v>1</v>
      </c>
      <c r="L202" s="2"/>
      <c r="M202" s="2"/>
      <c r="N202" s="23">
        <v>1</v>
      </c>
      <c r="O202" s="2">
        <v>7.7803000000000004</v>
      </c>
      <c r="P202" s="2">
        <v>7.7803000000000004</v>
      </c>
      <c r="Q202" s="2">
        <v>42.569200000000002</v>
      </c>
      <c r="R202" s="2" t="s">
        <v>516</v>
      </c>
      <c r="S202" s="2"/>
      <c r="T202" s="23">
        <v>11.30538971</v>
      </c>
      <c r="U202" s="25">
        <v>11.30538971</v>
      </c>
      <c r="V202" s="25">
        <v>11.30538971</v>
      </c>
      <c r="W202" s="2" t="s">
        <v>517</v>
      </c>
      <c r="X202" s="2">
        <v>1</v>
      </c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O202">
        <v>14</v>
      </c>
      <c r="AP202" s="21">
        <v>169.7295487154349</v>
      </c>
      <c r="AQ202" s="25">
        <v>8.248416440128592E-2</v>
      </c>
      <c r="AR202" s="28">
        <v>1.7272727272727271</v>
      </c>
      <c r="AS202" s="28">
        <v>2.545454545454545</v>
      </c>
      <c r="AT202" s="28">
        <v>1.7272727272727271</v>
      </c>
      <c r="AU202" s="28">
        <v>0</v>
      </c>
      <c r="AV202" s="28">
        <v>0.2878787878787879</v>
      </c>
      <c r="AW202" s="28">
        <v>0.42424242424242431</v>
      </c>
      <c r="AX202" s="28">
        <v>0.2878787878787879</v>
      </c>
      <c r="AY202" s="28">
        <v>0</v>
      </c>
      <c r="AZ202" s="25">
        <v>1.1000000000000001</v>
      </c>
      <c r="BA202" s="25">
        <v>3.44</v>
      </c>
      <c r="BB202" s="25">
        <v>2.34</v>
      </c>
      <c r="BC202" s="25">
        <v>2.7554545454545449</v>
      </c>
      <c r="BD202">
        <v>2.7554545454545449</v>
      </c>
      <c r="BE202">
        <v>6.1782631499999994</v>
      </c>
    </row>
    <row r="203" spans="1:57" x14ac:dyDescent="0.3">
      <c r="A203" s="2" t="s">
        <v>2</v>
      </c>
      <c r="B203" s="13" t="s">
        <v>687</v>
      </c>
      <c r="C203" s="13"/>
      <c r="D203" s="2"/>
      <c r="E203" s="2"/>
      <c r="F203" s="2">
        <v>3.3</v>
      </c>
      <c r="G203" s="2" t="s">
        <v>176</v>
      </c>
      <c r="H203" s="9" t="s">
        <v>525</v>
      </c>
      <c r="I203">
        <v>-1</v>
      </c>
      <c r="K203" s="2">
        <v>1</v>
      </c>
      <c r="L203" s="2"/>
      <c r="M203" s="2"/>
      <c r="N203" s="23">
        <v>2</v>
      </c>
      <c r="O203" s="2">
        <v>5.5339999999999998</v>
      </c>
      <c r="P203" s="2">
        <v>22.083300000000001</v>
      </c>
      <c r="Q203" s="2">
        <v>5.5033000000000003</v>
      </c>
      <c r="R203" s="2" t="s">
        <v>515</v>
      </c>
      <c r="S203" s="2"/>
      <c r="T203" s="23">
        <v>11.92921406</v>
      </c>
      <c r="U203" s="25">
        <v>11.92921406</v>
      </c>
      <c r="V203" s="25">
        <v>11.92921406</v>
      </c>
      <c r="W203" s="2">
        <v>1</v>
      </c>
      <c r="X203" s="2"/>
      <c r="Y203" s="2"/>
      <c r="Z203" s="2">
        <v>1.5</v>
      </c>
      <c r="AA203" s="1"/>
      <c r="AB203" s="2"/>
      <c r="AC203" s="2"/>
      <c r="AD203" s="2"/>
      <c r="AE203" s="2"/>
      <c r="AF203" s="2"/>
      <c r="AG203" s="2"/>
      <c r="AH203" s="2"/>
      <c r="AI203" s="2"/>
      <c r="AJ203" s="2"/>
      <c r="AO203">
        <v>14</v>
      </c>
      <c r="AP203" s="21">
        <v>349.00875366799971</v>
      </c>
      <c r="AQ203" s="25">
        <v>8.0227214090553903E-2</v>
      </c>
      <c r="AR203" s="28">
        <v>1.7272727272727271</v>
      </c>
      <c r="AS203" s="28">
        <v>2.545454545454545</v>
      </c>
      <c r="AT203" s="28">
        <v>0.81818181818181823</v>
      </c>
      <c r="AU203" s="28">
        <v>0</v>
      </c>
      <c r="AV203" s="28">
        <v>0.3392857142857143</v>
      </c>
      <c r="AW203" s="28">
        <v>0.5</v>
      </c>
      <c r="AX203" s="28">
        <v>0.1607142857142857</v>
      </c>
      <c r="AY203" s="28">
        <v>0</v>
      </c>
      <c r="AZ203" s="25">
        <v>0.82</v>
      </c>
      <c r="BA203" s="25">
        <v>3.44</v>
      </c>
      <c r="BB203" s="25">
        <v>2.62</v>
      </c>
      <c r="BC203" s="25">
        <v>2.6545454545454539</v>
      </c>
      <c r="BD203">
        <v>2.6545454545454552</v>
      </c>
      <c r="BE203">
        <v>5.9865512095454543</v>
      </c>
    </row>
    <row r="204" spans="1:57" x14ac:dyDescent="0.3">
      <c r="A204" s="2" t="s">
        <v>175</v>
      </c>
      <c r="B204" s="13" t="s">
        <v>792</v>
      </c>
      <c r="C204" s="13"/>
      <c r="D204" s="2"/>
      <c r="E204" s="2"/>
      <c r="F204" s="2">
        <v>2.85</v>
      </c>
      <c r="G204" s="2" t="s">
        <v>176</v>
      </c>
      <c r="H204" s="9" t="s">
        <v>579</v>
      </c>
      <c r="I204" t="s">
        <v>654</v>
      </c>
      <c r="K204" s="2">
        <v>1</v>
      </c>
      <c r="L204" s="2"/>
      <c r="M204" s="2"/>
      <c r="N204" s="23">
        <v>1</v>
      </c>
      <c r="O204" s="2">
        <v>3.9045000000000001</v>
      </c>
      <c r="P204" s="2">
        <v>3.9045000000000001</v>
      </c>
      <c r="Q204" s="2">
        <v>21.652100000000001</v>
      </c>
      <c r="R204" s="2" t="s">
        <v>516</v>
      </c>
      <c r="S204" s="2"/>
      <c r="T204" s="23">
        <v>11.30538971</v>
      </c>
      <c r="U204" s="23">
        <v>11.30538971</v>
      </c>
      <c r="V204" s="23">
        <v>11.30538971</v>
      </c>
      <c r="W204" s="2">
        <v>1</v>
      </c>
      <c r="X204" s="2"/>
      <c r="Y204" s="2"/>
      <c r="Z204" s="2">
        <v>4.2</v>
      </c>
      <c r="AA204" s="1"/>
      <c r="AB204" s="2"/>
      <c r="AC204" s="2"/>
      <c r="AD204" s="2"/>
      <c r="AE204" s="2"/>
      <c r="AF204" s="2"/>
      <c r="AG204" s="2"/>
      <c r="AH204" s="2"/>
      <c r="AI204" s="2"/>
      <c r="AJ204" s="2"/>
      <c r="AO204">
        <v>14</v>
      </c>
      <c r="AP204" s="21">
        <v>169.7295487154349</v>
      </c>
      <c r="AQ204" s="21">
        <v>8.248416440128592E-2</v>
      </c>
      <c r="AR204" s="28">
        <v>1.7272727272727271</v>
      </c>
      <c r="AS204" s="28">
        <v>2.545454545454545</v>
      </c>
      <c r="AT204" s="28">
        <v>1.7272727272727271</v>
      </c>
      <c r="AU204" s="28">
        <v>0</v>
      </c>
      <c r="AV204" s="28">
        <v>0.2878787878787879</v>
      </c>
      <c r="AW204" s="28">
        <v>0.42424242424242431</v>
      </c>
      <c r="AX204" s="28">
        <v>0.2878787878787879</v>
      </c>
      <c r="AY204" s="28">
        <v>0</v>
      </c>
      <c r="AZ204" s="25">
        <v>1.1000000000000001</v>
      </c>
      <c r="BA204" s="25">
        <v>3.44</v>
      </c>
      <c r="BB204" s="25">
        <v>2.34</v>
      </c>
      <c r="BC204" s="25">
        <v>2.7554545454545449</v>
      </c>
      <c r="BD204">
        <v>2.7554545454545449</v>
      </c>
      <c r="BE204">
        <v>6.1782631499999994</v>
      </c>
    </row>
    <row r="205" spans="1:57" x14ac:dyDescent="0.3">
      <c r="A205" s="2" t="s">
        <v>5</v>
      </c>
      <c r="B205" s="13" t="s">
        <v>690</v>
      </c>
      <c r="C205" s="13"/>
      <c r="D205" s="2"/>
      <c r="E205" s="2"/>
      <c r="F205" s="2">
        <v>3.5</v>
      </c>
      <c r="G205" s="2" t="s">
        <v>176</v>
      </c>
      <c r="H205" s="9" t="s">
        <v>528</v>
      </c>
      <c r="I205" t="s">
        <v>610</v>
      </c>
      <c r="K205" s="2">
        <v>1</v>
      </c>
      <c r="L205" s="2"/>
      <c r="M205" s="2"/>
      <c r="N205" s="23">
        <v>1</v>
      </c>
      <c r="O205" s="2">
        <v>3.8650000000000002</v>
      </c>
      <c r="P205" s="2">
        <v>3.8650000000000002</v>
      </c>
      <c r="Q205" s="2">
        <v>14.974299999999999</v>
      </c>
      <c r="R205" s="2" t="s">
        <v>439</v>
      </c>
      <c r="S205" s="2"/>
      <c r="T205" s="23">
        <v>3.9661010000000001</v>
      </c>
      <c r="U205" s="25">
        <v>3.9661010000000001</v>
      </c>
      <c r="V205" s="25">
        <v>15.283337</v>
      </c>
      <c r="W205" s="2">
        <v>1</v>
      </c>
      <c r="X205" s="2"/>
      <c r="Y205" s="2"/>
      <c r="Z205" s="2">
        <v>1.9</v>
      </c>
      <c r="AA205" s="1"/>
      <c r="AB205" s="2"/>
      <c r="AC205" s="2"/>
      <c r="AD205" s="2"/>
      <c r="AE205" s="2"/>
      <c r="AF205" s="2">
        <v>1</v>
      </c>
      <c r="AG205" s="2">
        <v>1</v>
      </c>
      <c r="AH205" s="2"/>
      <c r="AI205" s="2">
        <v>1</v>
      </c>
      <c r="AJ205" s="2"/>
      <c r="AO205">
        <v>20</v>
      </c>
      <c r="AP205" s="21">
        <v>240.40623599981481</v>
      </c>
      <c r="AQ205" s="25">
        <v>8.3192517518619641E-2</v>
      </c>
      <c r="AR205" s="28">
        <v>1.75</v>
      </c>
      <c r="AS205" s="28">
        <v>2.5</v>
      </c>
      <c r="AT205" s="28">
        <v>0.75</v>
      </c>
      <c r="AU205" s="28">
        <v>0</v>
      </c>
      <c r="AV205" s="28">
        <v>0.35</v>
      </c>
      <c r="AW205" s="28">
        <v>0.5</v>
      </c>
      <c r="AX205" s="28">
        <v>0.15</v>
      </c>
      <c r="AY205" s="28">
        <v>0</v>
      </c>
      <c r="AZ205" s="25">
        <v>0.82</v>
      </c>
      <c r="BA205" s="25">
        <v>3.44</v>
      </c>
      <c r="BB205" s="25">
        <v>2.62</v>
      </c>
      <c r="BC205" s="25">
        <v>2.6262500000000002</v>
      </c>
      <c r="BD205">
        <v>2.6262500000000002</v>
      </c>
      <c r="BE205">
        <v>5.9612134765624996</v>
      </c>
    </row>
    <row r="206" spans="1:57" s="5" customFormat="1" x14ac:dyDescent="0.3">
      <c r="A206" s="5" t="s">
        <v>177</v>
      </c>
      <c r="B206" s="39" t="s">
        <v>793</v>
      </c>
      <c r="C206" s="39"/>
      <c r="F206" s="5">
        <v>2.65</v>
      </c>
      <c r="G206" s="5" t="s">
        <v>176</v>
      </c>
      <c r="H206" s="40">
        <v>-2</v>
      </c>
      <c r="I206" s="5">
        <v>-1</v>
      </c>
      <c r="K206" s="5">
        <v>1</v>
      </c>
      <c r="N206" s="41">
        <v>0</v>
      </c>
      <c r="T206" s="41">
        <v>0</v>
      </c>
      <c r="U206" s="41"/>
      <c r="V206" s="41"/>
      <c r="W206" s="5">
        <v>1</v>
      </c>
      <c r="Z206" s="5">
        <v>2.1</v>
      </c>
      <c r="AA206" s="5">
        <v>2030</v>
      </c>
      <c r="AF206" s="5">
        <v>1</v>
      </c>
      <c r="AG206" s="5">
        <v>1</v>
      </c>
      <c r="AI206" s="5">
        <v>1</v>
      </c>
      <c r="AO206" s="5">
        <v>20</v>
      </c>
      <c r="AP206" s="41">
        <v>0</v>
      </c>
      <c r="AQ206" s="41"/>
      <c r="AR206" s="5">
        <v>1.75</v>
      </c>
      <c r="AS206" s="5">
        <v>2.5</v>
      </c>
      <c r="AT206" s="5">
        <v>1.375</v>
      </c>
      <c r="AU206" s="5">
        <v>0</v>
      </c>
      <c r="AV206" s="5">
        <v>0.31111111111111112</v>
      </c>
      <c r="AW206" s="5">
        <v>0.44444444444444442</v>
      </c>
      <c r="AX206" s="5">
        <v>0.24444444444444441</v>
      </c>
      <c r="AY206" s="5">
        <v>0</v>
      </c>
      <c r="AZ206" s="41">
        <v>1</v>
      </c>
      <c r="BA206" s="41">
        <v>3.44</v>
      </c>
      <c r="BB206" s="41">
        <v>2.44</v>
      </c>
      <c r="BC206" s="41">
        <v>2.6956250000000002</v>
      </c>
      <c r="BD206" s="5">
        <v>2.6956250000000002</v>
      </c>
      <c r="BE206" s="5">
        <v>6.0930154356250004</v>
      </c>
    </row>
    <row r="207" spans="1:57" x14ac:dyDescent="0.3">
      <c r="A207" s="2" t="s">
        <v>178</v>
      </c>
      <c r="B207" s="13" t="s">
        <v>794</v>
      </c>
      <c r="C207" s="13"/>
      <c r="D207" s="2"/>
      <c r="E207" s="2"/>
      <c r="F207" s="2">
        <v>3.1</v>
      </c>
      <c r="G207" s="2" t="s">
        <v>176</v>
      </c>
      <c r="H207" s="9" t="s">
        <v>580</v>
      </c>
      <c r="I207" t="s">
        <v>655</v>
      </c>
      <c r="K207" s="2">
        <v>1</v>
      </c>
      <c r="L207" s="2"/>
      <c r="M207" s="2"/>
      <c r="N207" s="23">
        <v>1</v>
      </c>
      <c r="O207" s="2">
        <v>3.9007999999999998</v>
      </c>
      <c r="P207" s="2">
        <v>3.9007999999999998</v>
      </c>
      <c r="Q207" s="2">
        <v>15.317</v>
      </c>
      <c r="R207" s="2" t="s">
        <v>439</v>
      </c>
      <c r="S207" s="2"/>
      <c r="T207" s="23">
        <v>3.9860820000000001</v>
      </c>
      <c r="U207" s="23">
        <v>3.9860820000000001</v>
      </c>
      <c r="V207" s="23">
        <v>15.440419</v>
      </c>
      <c r="W207" s="2">
        <v>1</v>
      </c>
      <c r="X207" s="2"/>
      <c r="Y207" s="2"/>
      <c r="Z207" s="2">
        <v>2.7</v>
      </c>
      <c r="AA207" s="2"/>
      <c r="AB207" s="2"/>
      <c r="AC207" s="2"/>
      <c r="AD207" s="2"/>
      <c r="AE207" s="2"/>
      <c r="AF207" s="2">
        <v>1</v>
      </c>
      <c r="AG207" s="2">
        <v>1</v>
      </c>
      <c r="AH207" s="2"/>
      <c r="AI207" s="2">
        <v>1</v>
      </c>
      <c r="AJ207" s="2"/>
      <c r="AO207">
        <v>20</v>
      </c>
      <c r="AP207" s="21">
        <v>245.33049696160739</v>
      </c>
      <c r="AQ207" s="21">
        <v>8.1522681638434333E-2</v>
      </c>
      <c r="AR207" s="28">
        <v>1.75</v>
      </c>
      <c r="AS207" s="28">
        <v>2.5</v>
      </c>
      <c r="AT207" s="28">
        <v>0.75</v>
      </c>
      <c r="AU207" s="28">
        <v>0</v>
      </c>
      <c r="AV207" s="28">
        <v>0.35</v>
      </c>
      <c r="AW207" s="28">
        <v>0.5</v>
      </c>
      <c r="AX207" s="28">
        <v>0.15</v>
      </c>
      <c r="AY207" s="28">
        <v>0</v>
      </c>
      <c r="AZ207" s="25">
        <v>0.82</v>
      </c>
      <c r="BA207" s="25">
        <v>3.44</v>
      </c>
      <c r="BB207" s="25">
        <v>2.62</v>
      </c>
      <c r="BC207" s="25">
        <v>2.62</v>
      </c>
      <c r="BD207">
        <v>2.62</v>
      </c>
      <c r="BE207">
        <v>5.9367901628125006</v>
      </c>
    </row>
    <row r="208" spans="1:57" s="5" customFormat="1" x14ac:dyDescent="0.3">
      <c r="A208" s="5" t="s">
        <v>179</v>
      </c>
      <c r="B208" s="39" t="s">
        <v>795</v>
      </c>
      <c r="C208" s="39"/>
      <c r="F208" s="5">
        <v>2.66</v>
      </c>
      <c r="G208" s="5" t="s">
        <v>176</v>
      </c>
      <c r="H208" s="40">
        <v>-2</v>
      </c>
      <c r="I208" s="5">
        <v>-1</v>
      </c>
      <c r="K208" s="5">
        <v>1</v>
      </c>
      <c r="N208" s="41">
        <v>0</v>
      </c>
      <c r="T208" s="41">
        <v>0</v>
      </c>
      <c r="U208" s="41"/>
      <c r="V208" s="41"/>
      <c r="W208" s="5">
        <v>1</v>
      </c>
      <c r="Z208" s="5">
        <v>3</v>
      </c>
      <c r="AA208" s="5">
        <v>1256</v>
      </c>
      <c r="AF208" s="5">
        <v>1</v>
      </c>
      <c r="AG208" s="5">
        <v>1</v>
      </c>
      <c r="AI208" s="5">
        <v>1</v>
      </c>
      <c r="AO208" s="5">
        <v>20</v>
      </c>
      <c r="AP208" s="41">
        <v>0</v>
      </c>
      <c r="AQ208" s="41"/>
      <c r="AR208" s="5">
        <v>1.75</v>
      </c>
      <c r="AS208" s="5">
        <v>2.5</v>
      </c>
      <c r="AT208" s="5">
        <v>1.375</v>
      </c>
      <c r="AU208" s="5">
        <v>0</v>
      </c>
      <c r="AV208" s="5">
        <v>0.31111111111111112</v>
      </c>
      <c r="AW208" s="5">
        <v>0.44444444444444442</v>
      </c>
      <c r="AX208" s="5">
        <v>0.24444444444444441</v>
      </c>
      <c r="AY208" s="5">
        <v>0</v>
      </c>
      <c r="AZ208" s="41">
        <v>0.95</v>
      </c>
      <c r="BA208" s="41">
        <v>3.44</v>
      </c>
      <c r="BB208" s="41">
        <v>2.4900000000000002</v>
      </c>
      <c r="BC208" s="41">
        <v>2.6893750000000001</v>
      </c>
      <c r="BD208" s="5">
        <v>2.6893750000000001</v>
      </c>
      <c r="BE208" s="5">
        <v>6.0685921218750014</v>
      </c>
    </row>
    <row r="209" spans="1:57" x14ac:dyDescent="0.3">
      <c r="A209" s="2" t="s">
        <v>180</v>
      </c>
      <c r="B209" s="13" t="s">
        <v>796</v>
      </c>
      <c r="C209" s="13"/>
      <c r="D209" s="2"/>
      <c r="E209" s="2"/>
      <c r="F209" s="2">
        <v>3.6</v>
      </c>
      <c r="G209" s="2" t="s">
        <v>176</v>
      </c>
      <c r="H209" s="9">
        <v>-1</v>
      </c>
      <c r="I209">
        <v>-1</v>
      </c>
      <c r="K209" s="2">
        <v>1</v>
      </c>
      <c r="L209" s="2"/>
      <c r="M209" s="2"/>
      <c r="N209" s="23">
        <v>0</v>
      </c>
      <c r="O209" s="2">
        <v>3.9287999999999998</v>
      </c>
      <c r="P209" s="2">
        <v>3.9287999999999998</v>
      </c>
      <c r="Q209" s="2">
        <v>30.2698</v>
      </c>
      <c r="R209" s="2" t="s">
        <v>439</v>
      </c>
      <c r="S209" s="2"/>
      <c r="T209" s="23">
        <v>0</v>
      </c>
      <c r="U209" s="25"/>
      <c r="V209" s="25"/>
      <c r="W209" s="2">
        <v>1</v>
      </c>
      <c r="X209" s="2"/>
      <c r="Y209" s="2"/>
      <c r="Z209" s="2">
        <v>2.2999999999999998</v>
      </c>
      <c r="AA209" s="2"/>
      <c r="AB209" s="2"/>
      <c r="AC209" s="2"/>
      <c r="AD209" s="2"/>
      <c r="AE209" s="2"/>
      <c r="AF209" s="2">
        <v>1</v>
      </c>
      <c r="AG209" s="2">
        <v>1</v>
      </c>
      <c r="AH209" s="2"/>
      <c r="AI209" s="2">
        <v>1</v>
      </c>
      <c r="AJ209" s="2"/>
      <c r="AO209">
        <v>20</v>
      </c>
      <c r="AP209" s="21">
        <v>0</v>
      </c>
      <c r="AQ209" s="25"/>
      <c r="AR209" s="28">
        <v>1.882352941176471</v>
      </c>
      <c r="AS209" s="28">
        <v>2.3529411764705879</v>
      </c>
      <c r="AT209" s="28">
        <v>0.47058823529411759</v>
      </c>
      <c r="AU209" s="28">
        <v>0</v>
      </c>
      <c r="AV209" s="28">
        <v>0.4</v>
      </c>
      <c r="AW209" s="28">
        <v>0.5</v>
      </c>
      <c r="AX209" s="28">
        <v>9.9999999999999992E-2</v>
      </c>
      <c r="AY209" s="28">
        <v>0</v>
      </c>
      <c r="AZ209" s="25">
        <v>0.82</v>
      </c>
      <c r="BA209" s="25">
        <v>3.44</v>
      </c>
      <c r="BB209" s="25">
        <v>2.62</v>
      </c>
      <c r="BC209" s="25">
        <v>2.5211764705882351</v>
      </c>
      <c r="BD209">
        <v>2.521176470588236</v>
      </c>
      <c r="BE209">
        <v>5.6793405594117647</v>
      </c>
    </row>
    <row r="210" spans="1:57" x14ac:dyDescent="0.3">
      <c r="A210" s="2" t="s">
        <v>181</v>
      </c>
      <c r="B210" s="13" t="s">
        <v>797</v>
      </c>
      <c r="C210" s="13"/>
      <c r="D210" s="2"/>
      <c r="E210" s="2"/>
      <c r="F210" s="2">
        <v>2.4</v>
      </c>
      <c r="G210" s="2" t="s">
        <v>176</v>
      </c>
      <c r="H210" s="9" t="s">
        <v>581</v>
      </c>
      <c r="I210" t="s">
        <v>656</v>
      </c>
      <c r="K210" s="2">
        <v>1</v>
      </c>
      <c r="L210" s="2"/>
      <c r="M210" s="2"/>
      <c r="N210" s="23">
        <v>1</v>
      </c>
      <c r="O210" s="2">
        <v>3.8313999999999999</v>
      </c>
      <c r="P210" s="2">
        <v>3.8313999999999999</v>
      </c>
      <c r="Q210" s="2">
        <v>28.871400000000001</v>
      </c>
      <c r="R210" s="2" t="s">
        <v>440</v>
      </c>
      <c r="S210" s="2"/>
      <c r="T210" s="23">
        <v>14.88329339</v>
      </c>
      <c r="U210" s="23">
        <v>14.88329339</v>
      </c>
      <c r="V210" s="23">
        <v>14.88329339</v>
      </c>
      <c r="W210" s="2">
        <v>1</v>
      </c>
      <c r="X210" s="2"/>
      <c r="Y210" s="2"/>
      <c r="Z210" s="2">
        <v>3.1</v>
      </c>
      <c r="AA210" s="2">
        <v>230</v>
      </c>
      <c r="AB210" s="2"/>
      <c r="AC210" s="2"/>
      <c r="AD210" s="2"/>
      <c r="AE210" s="2"/>
      <c r="AF210" s="2">
        <v>1</v>
      </c>
      <c r="AG210" s="2">
        <v>1</v>
      </c>
      <c r="AH210" s="2"/>
      <c r="AI210" s="2">
        <v>1</v>
      </c>
      <c r="AJ210" s="2"/>
      <c r="AO210">
        <v>20</v>
      </c>
      <c r="AP210" s="21">
        <v>218.43262216091571</v>
      </c>
      <c r="AQ210" s="21">
        <v>9.1561415150097566E-2</v>
      </c>
      <c r="AR210" s="28">
        <v>1.882352941176471</v>
      </c>
      <c r="AS210" s="28">
        <v>2.3529411764705879</v>
      </c>
      <c r="AT210" s="28">
        <v>1.6470588235294119</v>
      </c>
      <c r="AU210" s="28">
        <v>0</v>
      </c>
      <c r="AV210" s="28">
        <v>0.32</v>
      </c>
      <c r="AW210" s="28">
        <v>0.4</v>
      </c>
      <c r="AX210" s="28">
        <v>0.28000000000000003</v>
      </c>
      <c r="AY210" s="28">
        <v>0</v>
      </c>
      <c r="AZ210" s="25">
        <v>1.1000000000000001</v>
      </c>
      <c r="BA210" s="25">
        <v>3.44</v>
      </c>
      <c r="BB210" s="25">
        <v>2.34</v>
      </c>
      <c r="BC210" s="25">
        <v>2.651764705882353</v>
      </c>
      <c r="BD210">
        <v>2.651764705882353</v>
      </c>
      <c r="BE210">
        <v>5.9274383647058819</v>
      </c>
    </row>
    <row r="211" spans="1:57" x14ac:dyDescent="0.3">
      <c r="A211" s="2" t="s">
        <v>175</v>
      </c>
      <c r="B211" s="17" t="s">
        <v>792</v>
      </c>
      <c r="C211" s="13"/>
      <c r="D211" s="2" t="s">
        <v>863</v>
      </c>
      <c r="E211" s="2">
        <v>1</v>
      </c>
      <c r="F211" s="2">
        <v>3.15</v>
      </c>
      <c r="G211" s="2" t="s">
        <v>176</v>
      </c>
      <c r="H211" s="9" t="s">
        <v>579</v>
      </c>
      <c r="I211" t="s">
        <v>654</v>
      </c>
      <c r="K211" s="2">
        <v>1</v>
      </c>
      <c r="L211" s="2"/>
      <c r="M211" s="2"/>
      <c r="N211" s="23">
        <v>1</v>
      </c>
      <c r="O211" s="2">
        <v>7.7803000000000004</v>
      </c>
      <c r="P211" s="2">
        <v>7.7803000000000004</v>
      </c>
      <c r="Q211" s="2">
        <v>42.569200000000002</v>
      </c>
      <c r="R211" s="2" t="s">
        <v>516</v>
      </c>
      <c r="S211" s="2"/>
      <c r="T211" s="23">
        <v>11.30538971</v>
      </c>
      <c r="U211" s="25">
        <v>11.30538971</v>
      </c>
      <c r="V211" s="25">
        <v>11.30538971</v>
      </c>
      <c r="W211" s="2"/>
      <c r="X211" s="2"/>
      <c r="Y211" s="2"/>
      <c r="Z211" s="2"/>
      <c r="AA211" s="2">
        <v>1445</v>
      </c>
      <c r="AB211" s="2"/>
      <c r="AC211" s="2"/>
      <c r="AD211" s="2"/>
      <c r="AE211" s="2"/>
      <c r="AF211" s="2"/>
      <c r="AG211" s="2"/>
      <c r="AH211" s="2"/>
      <c r="AI211" s="2"/>
      <c r="AJ211" s="2"/>
      <c r="AO211">
        <v>14</v>
      </c>
      <c r="AP211" s="21">
        <v>169.7295487154349</v>
      </c>
      <c r="AQ211" s="25">
        <v>8.248416440128592E-2</v>
      </c>
      <c r="AR211" s="28">
        <v>1.7272727272727271</v>
      </c>
      <c r="AS211" s="28">
        <v>2.545454545454545</v>
      </c>
      <c r="AT211" s="28">
        <v>1.7272727272727271</v>
      </c>
      <c r="AU211" s="28">
        <v>0</v>
      </c>
      <c r="AV211" s="28">
        <v>0.2878787878787879</v>
      </c>
      <c r="AW211" s="28">
        <v>0.42424242424242431</v>
      </c>
      <c r="AX211" s="28">
        <v>0.2878787878787879</v>
      </c>
      <c r="AY211" s="28">
        <v>0</v>
      </c>
      <c r="AZ211" s="25">
        <v>1.1000000000000001</v>
      </c>
      <c r="BA211" s="25">
        <v>3.44</v>
      </c>
      <c r="BB211" s="25">
        <v>2.34</v>
      </c>
      <c r="BC211" s="25">
        <v>2.7554545454545449</v>
      </c>
      <c r="BD211">
        <v>2.7554545454545449</v>
      </c>
      <c r="BE211">
        <v>6.1782631499999994</v>
      </c>
    </row>
    <row r="212" spans="1:57" x14ac:dyDescent="0.3">
      <c r="A212" s="2" t="s">
        <v>177</v>
      </c>
      <c r="B212" s="17" t="s">
        <v>793</v>
      </c>
      <c r="C212" s="13"/>
      <c r="D212" s="2" t="s">
        <v>863</v>
      </c>
      <c r="E212" s="2">
        <v>1</v>
      </c>
      <c r="F212" s="2">
        <v>3.14</v>
      </c>
      <c r="G212" s="2" t="s">
        <v>176</v>
      </c>
      <c r="H212" s="9">
        <v>-1</v>
      </c>
      <c r="I212">
        <v>-1</v>
      </c>
      <c r="K212" s="2">
        <v>1</v>
      </c>
      <c r="L212" s="2"/>
      <c r="M212" s="2"/>
      <c r="N212" s="23">
        <v>0</v>
      </c>
      <c r="O212" s="2">
        <v>3.84</v>
      </c>
      <c r="P212" s="2">
        <v>3.84</v>
      </c>
      <c r="Q212" s="2">
        <v>15.007</v>
      </c>
      <c r="R212" s="2"/>
      <c r="S212" s="2"/>
      <c r="T212" s="23">
        <v>0</v>
      </c>
      <c r="U212" s="25"/>
      <c r="V212" s="25"/>
      <c r="W212" s="2"/>
      <c r="X212" s="2"/>
      <c r="Y212" s="2"/>
      <c r="Z212" s="2"/>
      <c r="AA212" s="2">
        <v>13616</v>
      </c>
      <c r="AB212" s="2"/>
      <c r="AC212" s="2"/>
      <c r="AD212" s="2"/>
      <c r="AE212" s="2"/>
      <c r="AF212" s="2"/>
      <c r="AG212" s="2"/>
      <c r="AH212" s="2"/>
      <c r="AI212" s="2"/>
      <c r="AJ212" s="2"/>
      <c r="AO212">
        <v>20</v>
      </c>
      <c r="AP212" s="21">
        <v>0</v>
      </c>
      <c r="AQ212" s="25"/>
      <c r="AR212" s="28">
        <v>1.75</v>
      </c>
      <c r="AS212" s="28">
        <v>2.5</v>
      </c>
      <c r="AT212" s="28">
        <v>1.375</v>
      </c>
      <c r="AU212" s="28">
        <v>0</v>
      </c>
      <c r="AV212" s="28">
        <v>0.31111111111111112</v>
      </c>
      <c r="AW212" s="28">
        <v>0.44444444444444442</v>
      </c>
      <c r="AX212" s="28">
        <v>0.24444444444444441</v>
      </c>
      <c r="AY212" s="28">
        <v>0</v>
      </c>
      <c r="AZ212" s="25">
        <v>1</v>
      </c>
      <c r="BA212" s="25">
        <v>3.44</v>
      </c>
      <c r="BB212" s="25">
        <v>2.44</v>
      </c>
      <c r="BC212" s="25">
        <v>2.6956250000000002</v>
      </c>
      <c r="BD212">
        <v>2.6956250000000002</v>
      </c>
      <c r="BE212">
        <v>6.0930154356250004</v>
      </c>
    </row>
    <row r="213" spans="1:57" s="5" customFormat="1" x14ac:dyDescent="0.3">
      <c r="A213" s="5" t="s">
        <v>179</v>
      </c>
      <c r="B213" s="46" t="s">
        <v>795</v>
      </c>
      <c r="C213" s="39"/>
      <c r="D213" s="5" t="s">
        <v>863</v>
      </c>
      <c r="E213" s="5">
        <v>1</v>
      </c>
      <c r="F213" s="5">
        <v>3.22</v>
      </c>
      <c r="G213" s="5" t="s">
        <v>176</v>
      </c>
      <c r="H213" s="40">
        <v>-2</v>
      </c>
      <c r="I213" s="5">
        <v>-1</v>
      </c>
      <c r="K213" s="5">
        <v>1</v>
      </c>
      <c r="N213" s="41">
        <v>0</v>
      </c>
      <c r="T213" s="41">
        <v>0</v>
      </c>
      <c r="U213" s="41"/>
      <c r="V213" s="41"/>
      <c r="AA213" s="5">
        <v>3265</v>
      </c>
      <c r="AO213" s="5">
        <v>20</v>
      </c>
      <c r="AP213" s="41">
        <v>0</v>
      </c>
      <c r="AQ213" s="41"/>
      <c r="AR213" s="5">
        <v>1.75</v>
      </c>
      <c r="AS213" s="5">
        <v>2.5</v>
      </c>
      <c r="AT213" s="5">
        <v>1.375</v>
      </c>
      <c r="AU213" s="5">
        <v>0</v>
      </c>
      <c r="AV213" s="5">
        <v>0.31111111111111112</v>
      </c>
      <c r="AW213" s="5">
        <v>0.44444444444444442</v>
      </c>
      <c r="AX213" s="5">
        <v>0.24444444444444441</v>
      </c>
      <c r="AY213" s="5">
        <v>0</v>
      </c>
      <c r="AZ213" s="41">
        <v>0.95</v>
      </c>
      <c r="BA213" s="41">
        <v>3.44</v>
      </c>
      <c r="BB213" s="41">
        <v>2.4900000000000002</v>
      </c>
      <c r="BC213" s="41">
        <v>2.6893750000000001</v>
      </c>
      <c r="BD213" s="5">
        <v>2.6893750000000001</v>
      </c>
      <c r="BE213" s="5">
        <v>6.0685921218750014</v>
      </c>
    </row>
    <row r="214" spans="1:57" x14ac:dyDescent="0.3">
      <c r="A214" s="2" t="s">
        <v>181</v>
      </c>
      <c r="B214" s="17" t="s">
        <v>797</v>
      </c>
      <c r="C214" s="13"/>
      <c r="D214" s="2" t="s">
        <v>863</v>
      </c>
      <c r="E214" s="2">
        <v>1</v>
      </c>
      <c r="F214" s="2">
        <v>3.42</v>
      </c>
      <c r="G214" s="2" t="s">
        <v>176</v>
      </c>
      <c r="H214" s="9" t="s">
        <v>581</v>
      </c>
      <c r="I214" t="s">
        <v>656</v>
      </c>
      <c r="K214" s="2">
        <v>1</v>
      </c>
      <c r="L214" s="2"/>
      <c r="M214" s="2"/>
      <c r="N214" s="23">
        <v>1</v>
      </c>
      <c r="O214" s="2">
        <v>7.7803000000000004</v>
      </c>
      <c r="P214" s="2">
        <v>7.7803000000000004</v>
      </c>
      <c r="Q214" s="2">
        <v>42.569200000000002</v>
      </c>
      <c r="R214" s="2" t="s">
        <v>516</v>
      </c>
      <c r="S214" s="2"/>
      <c r="T214" s="23">
        <v>14.88329339</v>
      </c>
      <c r="U214" s="25">
        <v>14.88329339</v>
      </c>
      <c r="V214" s="25">
        <v>14.88329339</v>
      </c>
      <c r="W214" s="2"/>
      <c r="X214" s="2"/>
      <c r="Y214" s="2"/>
      <c r="Z214" s="2"/>
      <c r="AA214" s="2">
        <v>763</v>
      </c>
      <c r="AB214" s="2"/>
      <c r="AC214" s="2"/>
      <c r="AD214" s="2"/>
      <c r="AE214" s="2"/>
      <c r="AF214" s="2"/>
      <c r="AG214" s="2"/>
      <c r="AH214" s="2"/>
      <c r="AI214" s="2"/>
      <c r="AJ214" s="2"/>
      <c r="AO214">
        <v>20</v>
      </c>
      <c r="AP214" s="21">
        <v>218.43262216091571</v>
      </c>
      <c r="AQ214" s="25">
        <v>9.1561415150097566E-2</v>
      </c>
      <c r="AR214" s="28">
        <v>1.882352941176471</v>
      </c>
      <c r="AS214" s="28">
        <v>2.3529411764705879</v>
      </c>
      <c r="AT214" s="28">
        <v>1.6470588235294119</v>
      </c>
      <c r="AU214" s="28">
        <v>0</v>
      </c>
      <c r="AV214" s="28">
        <v>0.32</v>
      </c>
      <c r="AW214" s="28">
        <v>0.4</v>
      </c>
      <c r="AX214" s="28">
        <v>0.28000000000000003</v>
      </c>
      <c r="AY214" s="28">
        <v>0</v>
      </c>
      <c r="AZ214" s="25">
        <v>1.1000000000000001</v>
      </c>
      <c r="BA214" s="25">
        <v>3.44</v>
      </c>
      <c r="BB214" s="25">
        <v>2.34</v>
      </c>
      <c r="BC214" s="25">
        <v>2.651764705882353</v>
      </c>
      <c r="BD214">
        <v>2.651764705882353</v>
      </c>
      <c r="BE214">
        <v>5.9274383647058819</v>
      </c>
    </row>
    <row r="215" spans="1:57" x14ac:dyDescent="0.3">
      <c r="A215" s="2" t="s">
        <v>38</v>
      </c>
      <c r="B215" s="13" t="s">
        <v>714</v>
      </c>
      <c r="C215" s="13"/>
      <c r="D215" s="2"/>
      <c r="E215" s="2"/>
      <c r="F215" s="2">
        <v>3.9</v>
      </c>
      <c r="G215" s="2" t="s">
        <v>182</v>
      </c>
      <c r="H215" s="9" t="s">
        <v>545</v>
      </c>
      <c r="I215" t="s">
        <v>626</v>
      </c>
      <c r="K215" s="2">
        <v>1</v>
      </c>
      <c r="L215" s="2"/>
      <c r="M215" s="2"/>
      <c r="N215" s="23">
        <v>1</v>
      </c>
      <c r="O215" s="2"/>
      <c r="P215" s="2"/>
      <c r="Q215" s="2"/>
      <c r="R215" s="2"/>
      <c r="S215" s="2"/>
      <c r="T215" s="23">
        <v>5.8532381300000003</v>
      </c>
      <c r="U215" s="25">
        <v>5.8532371599999999</v>
      </c>
      <c r="V215" s="25">
        <v>11.912811489999999</v>
      </c>
      <c r="W215" s="2"/>
      <c r="X215" s="2"/>
      <c r="Y215" s="2"/>
      <c r="Z215" s="2">
        <v>0.7</v>
      </c>
      <c r="AA215" s="2"/>
      <c r="AB215" s="2"/>
      <c r="AC215" s="2"/>
      <c r="AD215" s="2"/>
      <c r="AE215" s="2"/>
      <c r="AF215" s="2">
        <v>1</v>
      </c>
      <c r="AG215" s="2">
        <v>1</v>
      </c>
      <c r="AH215" s="2"/>
      <c r="AI215" s="2"/>
      <c r="AJ215" s="2"/>
      <c r="AO215">
        <v>30</v>
      </c>
      <c r="AP215" s="21">
        <v>353.45760058531442</v>
      </c>
      <c r="AQ215" s="25">
        <v>8.487580957467307E-2</v>
      </c>
      <c r="AR215" s="28">
        <v>1.833333333333333</v>
      </c>
      <c r="AS215" s="28">
        <v>2.5</v>
      </c>
      <c r="AT215" s="28">
        <v>0.66666666666666663</v>
      </c>
      <c r="AU215" s="28">
        <v>0</v>
      </c>
      <c r="AV215" s="28">
        <v>0.36666666666666659</v>
      </c>
      <c r="AW215" s="28">
        <v>0.5</v>
      </c>
      <c r="AX215" s="28">
        <v>0.1333333333333333</v>
      </c>
      <c r="AY215" s="28">
        <v>0</v>
      </c>
      <c r="AZ215" s="25">
        <v>0.89</v>
      </c>
      <c r="BA215" s="25">
        <v>3.44</v>
      </c>
      <c r="BB215" s="25">
        <v>2.5499999999999998</v>
      </c>
      <c r="BC215" s="25">
        <v>2.6020833333333329</v>
      </c>
      <c r="BD215">
        <v>2.6020833333333329</v>
      </c>
      <c r="BE215">
        <v>5.9098726145833336</v>
      </c>
    </row>
    <row r="216" spans="1:57" x14ac:dyDescent="0.3">
      <c r="A216" s="2" t="s">
        <v>48</v>
      </c>
      <c r="B216" s="13" t="s">
        <v>724</v>
      </c>
      <c r="C216" s="13"/>
      <c r="D216" s="2"/>
      <c r="E216" s="2"/>
      <c r="F216" s="2">
        <v>4.3</v>
      </c>
      <c r="G216" s="2" t="s">
        <v>183</v>
      </c>
      <c r="H216" s="9" t="s">
        <v>552</v>
      </c>
      <c r="I216" t="s">
        <v>630</v>
      </c>
      <c r="K216" s="2">
        <v>1</v>
      </c>
      <c r="L216" s="2"/>
      <c r="M216" s="2"/>
      <c r="N216" s="23">
        <v>2</v>
      </c>
      <c r="O216" s="2"/>
      <c r="P216" s="2"/>
      <c r="Q216" s="2"/>
      <c r="R216" s="2"/>
      <c r="S216" s="2"/>
      <c r="T216" s="23">
        <v>7.4836094600000003</v>
      </c>
      <c r="U216" s="25">
        <v>7.4836094600000003</v>
      </c>
      <c r="V216" s="25">
        <v>7.4836094600000003</v>
      </c>
      <c r="W216" s="2"/>
      <c r="X216" s="2"/>
      <c r="Y216" s="2"/>
      <c r="Z216" s="2">
        <v>4.2</v>
      </c>
      <c r="AA216" s="2">
        <v>1</v>
      </c>
      <c r="AB216" s="2"/>
      <c r="AC216" s="2"/>
      <c r="AD216" s="2"/>
      <c r="AE216" s="2"/>
      <c r="AF216" s="2"/>
      <c r="AG216" s="2"/>
      <c r="AH216" s="2"/>
      <c r="AI216" s="2"/>
      <c r="AJ216" s="2"/>
      <c r="AO216">
        <v>14</v>
      </c>
      <c r="AP216" s="21">
        <v>296.35915518228359</v>
      </c>
      <c r="AQ216" s="25">
        <v>9.4479956196318104E-2</v>
      </c>
      <c r="AR216" s="28">
        <v>1.8181818181818179</v>
      </c>
      <c r="AS216" s="28">
        <v>2.545454545454545</v>
      </c>
      <c r="AT216" s="28">
        <v>0.72727272727272729</v>
      </c>
      <c r="AU216" s="28">
        <v>0</v>
      </c>
      <c r="AV216" s="28">
        <v>0.35714285714285721</v>
      </c>
      <c r="AW216" s="28">
        <v>0.5</v>
      </c>
      <c r="AX216" s="28">
        <v>0.1428571428571429</v>
      </c>
      <c r="AY216" s="28">
        <v>0</v>
      </c>
      <c r="AZ216" s="25">
        <v>1</v>
      </c>
      <c r="BA216" s="25">
        <v>3.44</v>
      </c>
      <c r="BB216" s="25">
        <v>2.44</v>
      </c>
      <c r="BC216" s="25">
        <v>2.6618181818181821</v>
      </c>
      <c r="BD216">
        <v>2.6618181818181821</v>
      </c>
      <c r="BE216">
        <v>6.0537295018181814</v>
      </c>
    </row>
    <row r="217" spans="1:57" x14ac:dyDescent="0.3">
      <c r="A217" s="2" t="s">
        <v>49</v>
      </c>
      <c r="B217" s="13" t="s">
        <v>725</v>
      </c>
      <c r="C217" s="13"/>
      <c r="D217" s="2"/>
      <c r="E217" s="2"/>
      <c r="F217" s="2">
        <v>4.0999999999999996</v>
      </c>
      <c r="G217" s="2" t="s">
        <v>183</v>
      </c>
      <c r="H217" s="9" t="s">
        <v>553</v>
      </c>
      <c r="I217" t="s">
        <v>631</v>
      </c>
      <c r="K217" s="2">
        <v>1</v>
      </c>
      <c r="L217" s="2"/>
      <c r="M217" s="2"/>
      <c r="N217" s="23">
        <v>8</v>
      </c>
      <c r="O217" s="2"/>
      <c r="P217" s="2"/>
      <c r="Q217" s="2"/>
      <c r="R217" s="2"/>
      <c r="S217" s="2"/>
      <c r="T217" s="23">
        <v>5.8017180100000001</v>
      </c>
      <c r="U217" s="25">
        <v>7.9756520899999996</v>
      </c>
      <c r="V217" s="25">
        <v>27.352093400000001</v>
      </c>
      <c r="W217" s="2"/>
      <c r="X217" s="2"/>
      <c r="Y217" s="2"/>
      <c r="Z217" s="2">
        <v>5.0999999999999996</v>
      </c>
      <c r="AA217" s="2">
        <v>1</v>
      </c>
      <c r="AB217" s="2"/>
      <c r="AC217" s="2"/>
      <c r="AD217" s="2"/>
      <c r="AE217" s="2"/>
      <c r="AF217" s="2"/>
      <c r="AG217" s="2"/>
      <c r="AH217" s="2"/>
      <c r="AI217" s="2"/>
      <c r="AJ217" s="2"/>
      <c r="AO217">
        <v>14</v>
      </c>
      <c r="AP217" s="21">
        <v>1265.6493143942739</v>
      </c>
      <c r="AQ217" s="25">
        <v>8.8492127105210025E-2</v>
      </c>
      <c r="AR217" s="28">
        <v>1.8181818181818179</v>
      </c>
      <c r="AS217" s="28">
        <v>2.545454545454545</v>
      </c>
      <c r="AT217" s="28">
        <v>0.72727272727272729</v>
      </c>
      <c r="AU217" s="28">
        <v>0</v>
      </c>
      <c r="AV217" s="28">
        <v>0.35714285714285721</v>
      </c>
      <c r="AW217" s="28">
        <v>0.5</v>
      </c>
      <c r="AX217" s="28">
        <v>0.1428571428571429</v>
      </c>
      <c r="AY217" s="28">
        <v>0</v>
      </c>
      <c r="AZ217" s="25">
        <v>0.95</v>
      </c>
      <c r="BA217" s="25">
        <v>3.44</v>
      </c>
      <c r="BB217" s="25">
        <v>2.4900000000000002</v>
      </c>
      <c r="BC217" s="25">
        <v>2.6527272727272719</v>
      </c>
      <c r="BD217">
        <v>2.6527272727272728</v>
      </c>
      <c r="BE217">
        <v>6.0182046818181814</v>
      </c>
    </row>
    <row r="218" spans="1:57" x14ac:dyDescent="0.3">
      <c r="A218" s="2" t="s">
        <v>46</v>
      </c>
      <c r="B218" s="13" t="s">
        <v>722</v>
      </c>
      <c r="C218" s="13"/>
      <c r="D218" s="2"/>
      <c r="E218" s="2"/>
      <c r="F218" s="2">
        <v>3.2</v>
      </c>
      <c r="G218" s="2" t="s">
        <v>183</v>
      </c>
      <c r="H218" s="9" t="s">
        <v>551</v>
      </c>
      <c r="I218" t="s">
        <v>629</v>
      </c>
      <c r="K218" s="2">
        <v>1</v>
      </c>
      <c r="L218" s="2"/>
      <c r="M218" s="2"/>
      <c r="N218" s="23">
        <v>2</v>
      </c>
      <c r="O218" s="2"/>
      <c r="P218" s="2"/>
      <c r="Q218" s="2"/>
      <c r="R218" s="2"/>
      <c r="S218" s="2"/>
      <c r="T218" s="23">
        <v>7.41544296</v>
      </c>
      <c r="U218" s="25">
        <v>7.4154429599999991</v>
      </c>
      <c r="V218" s="25">
        <v>7.41544296</v>
      </c>
      <c r="W218" s="2"/>
      <c r="X218" s="2"/>
      <c r="Y218" s="2"/>
      <c r="Z218" s="2">
        <v>5.2</v>
      </c>
      <c r="AA218" s="2">
        <v>1</v>
      </c>
      <c r="AB218" s="2"/>
      <c r="AC218" s="2"/>
      <c r="AD218" s="2"/>
      <c r="AE218" s="2"/>
      <c r="AF218" s="2"/>
      <c r="AG218" s="2"/>
      <c r="AH218" s="2"/>
      <c r="AI218" s="2"/>
      <c r="AJ218" s="2"/>
      <c r="AO218">
        <v>14</v>
      </c>
      <c r="AP218" s="21">
        <v>288.33429290182369</v>
      </c>
      <c r="AQ218" s="25">
        <v>9.7109503410799117E-2</v>
      </c>
      <c r="AR218" s="28">
        <v>2</v>
      </c>
      <c r="AS218" s="28">
        <v>2.545454545454545</v>
      </c>
      <c r="AT218" s="28">
        <v>0.54545454545454541</v>
      </c>
      <c r="AU218" s="28">
        <v>0</v>
      </c>
      <c r="AV218" s="28">
        <v>0.39285714285714279</v>
      </c>
      <c r="AW218" s="28">
        <v>0.5</v>
      </c>
      <c r="AX218" s="28">
        <v>0.1071428571428571</v>
      </c>
      <c r="AY218" s="28">
        <v>0</v>
      </c>
      <c r="AZ218" s="25">
        <v>1.1000000000000001</v>
      </c>
      <c r="BA218" s="25">
        <v>3.44</v>
      </c>
      <c r="BB218" s="25">
        <v>2.34</v>
      </c>
      <c r="BC218" s="25">
        <v>2.669090909090909</v>
      </c>
      <c r="BD218">
        <v>2.669090909090909</v>
      </c>
      <c r="BE218">
        <v>5.9831974772727277</v>
      </c>
    </row>
    <row r="219" spans="1:57" x14ac:dyDescent="0.3">
      <c r="A219" s="2" t="s">
        <v>47</v>
      </c>
      <c r="B219" s="13" t="s">
        <v>723</v>
      </c>
      <c r="C219" s="13"/>
      <c r="D219" s="2"/>
      <c r="E219" s="2"/>
      <c r="F219" s="2">
        <v>3.8</v>
      </c>
      <c r="G219" s="2" t="s">
        <v>183</v>
      </c>
      <c r="H219" s="9">
        <v>-1</v>
      </c>
      <c r="I219">
        <v>-1</v>
      </c>
      <c r="J219" t="s">
        <v>1152</v>
      </c>
      <c r="K219" s="2">
        <v>1</v>
      </c>
      <c r="L219" s="2"/>
      <c r="M219" s="2"/>
      <c r="N219" s="23">
        <v>0</v>
      </c>
      <c r="O219" s="2"/>
      <c r="P219" s="2"/>
      <c r="Q219" s="2"/>
      <c r="R219" s="2"/>
      <c r="S219" s="2"/>
      <c r="T219" s="23">
        <v>0</v>
      </c>
      <c r="U219" s="25"/>
      <c r="V219" s="25"/>
      <c r="W219" s="2"/>
      <c r="X219" s="2"/>
      <c r="Y219" s="2"/>
      <c r="Z219" s="2">
        <v>4.9000000000000004</v>
      </c>
      <c r="AA219" s="2">
        <v>1</v>
      </c>
      <c r="AB219" s="2"/>
      <c r="AC219" s="2"/>
      <c r="AD219" s="2"/>
      <c r="AE219" s="2"/>
      <c r="AF219" s="2"/>
      <c r="AG219" s="2"/>
      <c r="AH219" s="2"/>
      <c r="AI219" s="2"/>
      <c r="AJ219" s="2"/>
      <c r="AO219">
        <v>34</v>
      </c>
      <c r="AP219" s="21">
        <v>0</v>
      </c>
      <c r="AQ219" s="25"/>
      <c r="AR219" s="28">
        <v>2</v>
      </c>
      <c r="AS219" s="28">
        <v>2.518518518518519</v>
      </c>
      <c r="AT219" s="28">
        <v>0.51851851851851849</v>
      </c>
      <c r="AU219" s="28">
        <v>0</v>
      </c>
      <c r="AV219" s="28">
        <v>0.39705882352941169</v>
      </c>
      <c r="AW219" s="28">
        <v>0.5</v>
      </c>
      <c r="AX219" s="28">
        <v>0.1029411764705882</v>
      </c>
      <c r="AY219" s="28">
        <v>0</v>
      </c>
      <c r="AZ219" s="25">
        <v>1</v>
      </c>
      <c r="BA219" s="25">
        <v>3.44</v>
      </c>
      <c r="BB219" s="25">
        <v>2.44</v>
      </c>
      <c r="BC219" s="25">
        <v>2.6511111111111112</v>
      </c>
      <c r="BD219">
        <v>2.6511111111111112</v>
      </c>
      <c r="BE219">
        <v>5.9544359512962952</v>
      </c>
    </row>
    <row r="220" spans="1:57" x14ac:dyDescent="0.3">
      <c r="A220" s="2" t="s">
        <v>8</v>
      </c>
      <c r="B220" s="13" t="s">
        <v>694</v>
      </c>
      <c r="C220" s="13"/>
      <c r="D220" s="2"/>
      <c r="E220" s="2"/>
      <c r="F220" s="2">
        <v>3.1</v>
      </c>
      <c r="G220" s="2" t="s">
        <v>183</v>
      </c>
      <c r="H220" s="9" t="s">
        <v>530</v>
      </c>
      <c r="I220" t="s">
        <v>612</v>
      </c>
      <c r="K220" s="2">
        <v>1</v>
      </c>
      <c r="L220" s="2"/>
      <c r="M220" s="2"/>
      <c r="N220" s="23">
        <v>30</v>
      </c>
      <c r="O220" s="2"/>
      <c r="P220" s="2"/>
      <c r="Q220" s="2"/>
      <c r="R220" s="2"/>
      <c r="S220" s="2"/>
      <c r="T220" s="23">
        <v>10.59112378</v>
      </c>
      <c r="U220" s="23">
        <v>10.784736629999999</v>
      </c>
      <c r="V220" s="23">
        <v>10.486176179999999</v>
      </c>
      <c r="W220" s="2"/>
      <c r="X220" s="2"/>
      <c r="Y220" s="2"/>
      <c r="Z220" s="2">
        <v>50</v>
      </c>
      <c r="AA220" s="2">
        <v>1</v>
      </c>
      <c r="AB220" s="2"/>
      <c r="AC220" s="2"/>
      <c r="AD220" s="2"/>
      <c r="AE220" s="2"/>
      <c r="AF220" s="2"/>
      <c r="AG220" s="2"/>
      <c r="AH220" s="2"/>
      <c r="AI220" s="2"/>
      <c r="AJ220" s="2"/>
      <c r="AO220">
        <v>4</v>
      </c>
      <c r="AP220" s="21">
        <v>1182.741260108548</v>
      </c>
      <c r="AQ220" s="21">
        <v>0.1014592151701775</v>
      </c>
      <c r="AR220" s="28">
        <v>2</v>
      </c>
      <c r="AS220" s="28">
        <v>2.666666666666667</v>
      </c>
      <c r="AT220" s="28">
        <v>0.66666666666666663</v>
      </c>
      <c r="AU220" s="28">
        <v>0</v>
      </c>
      <c r="AV220" s="28">
        <v>0.375</v>
      </c>
      <c r="AW220" s="28">
        <v>0.5</v>
      </c>
      <c r="AX220" s="28">
        <v>0.125</v>
      </c>
      <c r="AY220" s="28">
        <v>0</v>
      </c>
      <c r="AZ220" s="25">
        <v>1.54</v>
      </c>
      <c r="BA220" s="25">
        <v>3.44</v>
      </c>
      <c r="BB220" s="25">
        <v>1.9</v>
      </c>
      <c r="BC220" s="25">
        <v>2.8066666666666671</v>
      </c>
      <c r="BD220">
        <v>2.8066666666666662</v>
      </c>
      <c r="BE220">
        <v>6.1769976</v>
      </c>
    </row>
    <row r="221" spans="1:57" x14ac:dyDescent="0.3">
      <c r="A221" s="2" t="s">
        <v>0</v>
      </c>
      <c r="B221" s="13" t="s">
        <v>685</v>
      </c>
      <c r="C221" s="13"/>
      <c r="D221" s="2"/>
      <c r="E221" s="2"/>
      <c r="F221" s="2">
        <v>3.3</v>
      </c>
      <c r="G221" s="2" t="s">
        <v>183</v>
      </c>
      <c r="H221" s="9" t="s">
        <v>523</v>
      </c>
      <c r="I221" t="s">
        <v>606</v>
      </c>
      <c r="K221" s="2">
        <v>1</v>
      </c>
      <c r="L221" s="2"/>
      <c r="M221" s="2"/>
      <c r="N221" s="23">
        <v>4</v>
      </c>
      <c r="O221" s="2"/>
      <c r="P221" s="2"/>
      <c r="Q221" s="2"/>
      <c r="R221" s="2"/>
      <c r="S221" s="2"/>
      <c r="T221" s="23">
        <v>6.6040679999999998</v>
      </c>
      <c r="U221" s="25">
        <v>7.9389519999999996</v>
      </c>
      <c r="V221" s="25">
        <v>33.703336</v>
      </c>
      <c r="W221" s="2"/>
      <c r="X221" s="2"/>
      <c r="Y221" s="2"/>
      <c r="Z221" s="2">
        <v>4.5</v>
      </c>
      <c r="AA221" s="2">
        <v>1</v>
      </c>
      <c r="AB221" s="2"/>
      <c r="AC221" s="2"/>
      <c r="AD221" s="2"/>
      <c r="AE221" s="2"/>
      <c r="AF221" s="2"/>
      <c r="AG221" s="2"/>
      <c r="AH221" s="2"/>
      <c r="AI221" s="2"/>
      <c r="AJ221" s="2"/>
      <c r="AO221">
        <v>34</v>
      </c>
      <c r="AP221" s="21">
        <v>1767.0449718798691</v>
      </c>
      <c r="AQ221" s="25">
        <v>7.6964651247849417E-2</v>
      </c>
      <c r="AR221" s="28">
        <v>1.62962962962963</v>
      </c>
      <c r="AS221" s="28">
        <v>2.518518518518519</v>
      </c>
      <c r="AT221" s="28">
        <v>0.88888888888888884</v>
      </c>
      <c r="AU221" s="28">
        <v>0</v>
      </c>
      <c r="AV221" s="28">
        <v>0.32352941176470579</v>
      </c>
      <c r="AW221" s="28">
        <v>0.5</v>
      </c>
      <c r="AX221" s="28">
        <v>0.1764705882352941</v>
      </c>
      <c r="AY221" s="28">
        <v>0</v>
      </c>
      <c r="AZ221" s="25">
        <v>0.82</v>
      </c>
      <c r="BA221" s="25">
        <v>3.44</v>
      </c>
      <c r="BB221" s="25">
        <v>2.62</v>
      </c>
      <c r="BC221" s="25">
        <v>2.642962962962963</v>
      </c>
      <c r="BD221">
        <v>2.642962962962963</v>
      </c>
      <c r="BE221">
        <v>5.9587362692592576</v>
      </c>
    </row>
    <row r="222" spans="1:57" s="5" customFormat="1" x14ac:dyDescent="0.3">
      <c r="A222" s="5" t="s">
        <v>184</v>
      </c>
      <c r="B222" s="39" t="s">
        <v>798</v>
      </c>
      <c r="C222" s="39"/>
      <c r="F222" s="5">
        <v>3.5</v>
      </c>
      <c r="G222" s="5" t="s">
        <v>183</v>
      </c>
      <c r="H222" s="40">
        <v>-2</v>
      </c>
      <c r="I222" s="5">
        <v>-1</v>
      </c>
      <c r="K222" s="5">
        <v>1</v>
      </c>
      <c r="N222" s="41">
        <v>0</v>
      </c>
      <c r="T222" s="41">
        <v>0</v>
      </c>
      <c r="U222" s="41"/>
      <c r="V222" s="41"/>
      <c r="Z222" s="5">
        <v>4.2</v>
      </c>
      <c r="AA222" s="5">
        <v>1</v>
      </c>
      <c r="AO222" s="5">
        <v>20</v>
      </c>
      <c r="AP222" s="41">
        <v>0</v>
      </c>
      <c r="AQ222" s="41"/>
      <c r="AR222" s="5">
        <v>1.9375</v>
      </c>
      <c r="AS222" s="5">
        <v>2.5</v>
      </c>
      <c r="AT222" s="5">
        <v>0.5625</v>
      </c>
      <c r="AU222" s="5">
        <v>2.625</v>
      </c>
      <c r="AV222" s="5">
        <v>0.25409836065573771</v>
      </c>
      <c r="AW222" s="5">
        <v>0.32786885245901642</v>
      </c>
      <c r="AX222" s="5">
        <v>7.3770491803278687E-2</v>
      </c>
      <c r="AY222" s="5">
        <v>0.34426229508196721</v>
      </c>
      <c r="AZ222" s="41">
        <v>0.82</v>
      </c>
      <c r="BA222" s="41">
        <v>3.44</v>
      </c>
      <c r="BB222" s="41">
        <v>2.62</v>
      </c>
      <c r="BC222" s="41">
        <v>2.59375</v>
      </c>
      <c r="BD222" s="5">
        <v>2.59375</v>
      </c>
      <c r="BE222" s="5">
        <v>5.9363868768750008</v>
      </c>
    </row>
    <row r="223" spans="1:57" x14ac:dyDescent="0.3">
      <c r="A223" s="2" t="s">
        <v>185</v>
      </c>
      <c r="B223" s="13" t="s">
        <v>729</v>
      </c>
      <c r="C223" s="13"/>
      <c r="D223" s="2"/>
      <c r="E223" s="2"/>
      <c r="F223" s="2">
        <v>4.55</v>
      </c>
      <c r="G223" s="2" t="s">
        <v>192</v>
      </c>
      <c r="H223" s="9" t="s">
        <v>556</v>
      </c>
      <c r="I223" t="s">
        <v>633</v>
      </c>
      <c r="K223" s="2">
        <v>1</v>
      </c>
      <c r="L223" s="2"/>
      <c r="M223" s="2"/>
      <c r="N223" s="23">
        <v>2</v>
      </c>
      <c r="O223" s="2">
        <v>3.9369999999999998</v>
      </c>
      <c r="P223" s="2">
        <v>27.198</v>
      </c>
      <c r="Q223" s="2">
        <v>5.6920000000000002</v>
      </c>
      <c r="R223" s="2"/>
      <c r="S223" s="2"/>
      <c r="T223" s="23">
        <v>13.81974189</v>
      </c>
      <c r="U223" s="25">
        <v>13.81974189</v>
      </c>
      <c r="V223" s="25">
        <v>5.7110870199999999</v>
      </c>
      <c r="W223" s="2">
        <v>1</v>
      </c>
      <c r="X223" s="2"/>
      <c r="Y223" s="2"/>
      <c r="Z223" s="2">
        <v>0.9</v>
      </c>
      <c r="AA223" s="2">
        <v>1</v>
      </c>
      <c r="AB223" s="2"/>
      <c r="AC223" s="2"/>
      <c r="AD223" s="2"/>
      <c r="AE223" s="2"/>
      <c r="AF223" s="2"/>
      <c r="AG223" s="2"/>
      <c r="AH223" s="2"/>
      <c r="AI223" s="2"/>
      <c r="AJ223" s="2"/>
      <c r="AO223">
        <v>14</v>
      </c>
      <c r="AP223" s="21">
        <v>309.44138863753989</v>
      </c>
      <c r="AQ223" s="25">
        <v>9.0485633235046756E-2</v>
      </c>
      <c r="AR223" s="28">
        <v>2</v>
      </c>
      <c r="AS223" s="28">
        <v>2.545454545454545</v>
      </c>
      <c r="AT223" s="28">
        <v>0.54545454545454541</v>
      </c>
      <c r="AU223" s="28">
        <v>2.545454545454545</v>
      </c>
      <c r="AV223" s="28">
        <v>0.26190476190476192</v>
      </c>
      <c r="AW223" s="28">
        <v>0.33333333333333331</v>
      </c>
      <c r="AX223" s="28">
        <v>7.1428571428571425E-2</v>
      </c>
      <c r="AY223" s="28">
        <v>0.33333333333333331</v>
      </c>
      <c r="AZ223" s="25">
        <v>0.95</v>
      </c>
      <c r="BA223" s="25">
        <v>3.44</v>
      </c>
      <c r="BB223" s="25">
        <v>2.4900000000000002</v>
      </c>
      <c r="BC223" s="25">
        <v>2.6345454545454539</v>
      </c>
      <c r="BD223">
        <v>2.6345454545454552</v>
      </c>
      <c r="BE223">
        <v>6.036062318181818</v>
      </c>
    </row>
    <row r="224" spans="1:57" x14ac:dyDescent="0.3">
      <c r="A224" s="2" t="s">
        <v>186</v>
      </c>
      <c r="B224" s="17" t="s">
        <v>928</v>
      </c>
      <c r="C224" s="13"/>
      <c r="D224" s="2"/>
      <c r="E224" s="2"/>
      <c r="F224" s="2">
        <v>4.43</v>
      </c>
      <c r="G224" s="2" t="s">
        <v>192</v>
      </c>
      <c r="H224" s="9">
        <v>-1</v>
      </c>
      <c r="I224">
        <v>-1</v>
      </c>
      <c r="K224" s="2">
        <v>1</v>
      </c>
      <c r="L224" s="2"/>
      <c r="M224" s="2"/>
      <c r="N224" s="23">
        <v>0</v>
      </c>
      <c r="O224" s="1">
        <v>3.9369999999999998</v>
      </c>
      <c r="P224" s="1">
        <v>27.198</v>
      </c>
      <c r="Q224" s="1">
        <v>5.6920000000000002</v>
      </c>
      <c r="R224" s="2"/>
      <c r="S224" s="2"/>
      <c r="T224" s="23">
        <v>0</v>
      </c>
      <c r="U224" s="23"/>
      <c r="V224" s="23"/>
      <c r="W224" s="2">
        <v>1</v>
      </c>
      <c r="X224" s="2"/>
      <c r="Y224" s="2"/>
      <c r="Z224" s="2">
        <v>1.2</v>
      </c>
      <c r="AA224" s="2">
        <v>1</v>
      </c>
      <c r="AB224" s="2"/>
      <c r="AC224" s="2"/>
      <c r="AD224" s="2"/>
      <c r="AE224" s="2"/>
      <c r="AF224" s="2"/>
      <c r="AG224" s="2">
        <v>1</v>
      </c>
      <c r="AH224" s="2"/>
      <c r="AI224" s="2"/>
      <c r="AJ224" s="2"/>
      <c r="AO224">
        <v>14</v>
      </c>
      <c r="AP224" s="21">
        <v>0</v>
      </c>
      <c r="AQ224" s="21"/>
      <c r="AR224" s="28">
        <v>1.9950000000000001</v>
      </c>
      <c r="AS224" s="28">
        <v>2.8</v>
      </c>
      <c r="AT224" s="28">
        <v>0.30499999999999999</v>
      </c>
      <c r="AU224" s="28">
        <v>1.33</v>
      </c>
      <c r="AV224" s="28">
        <v>0.31026438569206838</v>
      </c>
      <c r="AW224" s="28">
        <v>0.43545878693623641</v>
      </c>
      <c r="AX224" s="28">
        <v>4.7433903576982892E-2</v>
      </c>
      <c r="AY224" s="28">
        <v>0.20684292379471231</v>
      </c>
      <c r="AZ224" s="25">
        <v>0.95</v>
      </c>
      <c r="BA224" s="25">
        <v>3.44</v>
      </c>
      <c r="BB224" s="25">
        <v>2.4900000000000002</v>
      </c>
      <c r="BC224" s="25">
        <v>2.7484999999999991</v>
      </c>
      <c r="BD224">
        <v>2.7484999999999999</v>
      </c>
      <c r="BE224">
        <v>6.2455429149999997</v>
      </c>
    </row>
    <row r="225" spans="1:57" x14ac:dyDescent="0.3">
      <c r="A225" s="2" t="s">
        <v>866</v>
      </c>
      <c r="B225" s="17" t="s">
        <v>929</v>
      </c>
      <c r="C225" s="13"/>
      <c r="D225" s="2"/>
      <c r="E225" s="2"/>
      <c r="F225" s="2">
        <v>4.34</v>
      </c>
      <c r="G225" s="2" t="s">
        <v>192</v>
      </c>
      <c r="H225" s="9">
        <v>-1</v>
      </c>
      <c r="I225">
        <v>-1</v>
      </c>
      <c r="K225" s="2">
        <v>1</v>
      </c>
      <c r="L225" s="2"/>
      <c r="M225" s="2"/>
      <c r="N225" s="23">
        <v>0</v>
      </c>
      <c r="O225" s="1">
        <v>3.9369999999999998</v>
      </c>
      <c r="P225" s="1">
        <v>27.198</v>
      </c>
      <c r="Q225" s="1">
        <v>5.6920000000000002</v>
      </c>
      <c r="R225" s="2"/>
      <c r="S225" s="2"/>
      <c r="T225" s="23">
        <v>0</v>
      </c>
      <c r="U225" s="25"/>
      <c r="V225" s="25"/>
      <c r="W225" s="2">
        <v>1</v>
      </c>
      <c r="X225" s="2"/>
      <c r="Y225" s="2"/>
      <c r="Z225" s="2">
        <v>1.3</v>
      </c>
      <c r="AA225" s="2">
        <v>1</v>
      </c>
      <c r="AB225" s="2"/>
      <c r="AC225" s="2"/>
      <c r="AD225" s="2"/>
      <c r="AE225" s="2"/>
      <c r="AF225" s="2"/>
      <c r="AG225" s="2">
        <v>1</v>
      </c>
      <c r="AH225" s="2"/>
      <c r="AI225" s="2"/>
      <c r="AJ225" s="2"/>
      <c r="AO225">
        <v>14</v>
      </c>
      <c r="AP225" s="21">
        <v>0</v>
      </c>
      <c r="AQ225" s="25"/>
      <c r="AR225" s="28">
        <v>1.99</v>
      </c>
      <c r="AS225" s="28">
        <v>2.8</v>
      </c>
      <c r="AT225" s="28">
        <v>0.31</v>
      </c>
      <c r="AU225" s="28">
        <v>1.26</v>
      </c>
      <c r="AV225" s="28">
        <v>0.31289308176100628</v>
      </c>
      <c r="AW225" s="28">
        <v>0.44025157232704398</v>
      </c>
      <c r="AX225" s="28">
        <v>4.874213836477987E-2</v>
      </c>
      <c r="AY225" s="28">
        <v>0.1981132075471698</v>
      </c>
      <c r="AZ225" s="25">
        <v>0.95</v>
      </c>
      <c r="BA225" s="25">
        <v>3.44</v>
      </c>
      <c r="BB225" s="25">
        <v>2.4900000000000002</v>
      </c>
      <c r="BC225" s="25">
        <v>2.7490000000000001</v>
      </c>
      <c r="BD225">
        <v>2.7490000000000001</v>
      </c>
      <c r="BE225">
        <v>6.2450518300000004</v>
      </c>
    </row>
    <row r="226" spans="1:57" x14ac:dyDescent="0.3">
      <c r="A226" s="2" t="s">
        <v>187</v>
      </c>
      <c r="B226" s="17" t="s">
        <v>930</v>
      </c>
      <c r="C226" s="13"/>
      <c r="D226" s="2"/>
      <c r="E226" s="2"/>
      <c r="F226" s="2">
        <v>4.2699999999999996</v>
      </c>
      <c r="G226" s="2" t="s">
        <v>192</v>
      </c>
      <c r="H226" s="9">
        <v>-1</v>
      </c>
      <c r="I226">
        <v>-1</v>
      </c>
      <c r="K226" s="2">
        <v>1</v>
      </c>
      <c r="L226" s="2"/>
      <c r="M226" s="2"/>
      <c r="N226" s="23">
        <v>0</v>
      </c>
      <c r="O226" s="1">
        <v>3.9369999999999998</v>
      </c>
      <c r="P226" s="1">
        <v>27.198</v>
      </c>
      <c r="Q226" s="1">
        <v>5.6920000000000002</v>
      </c>
      <c r="R226" s="2"/>
      <c r="S226" s="2"/>
      <c r="T226" s="23">
        <v>0</v>
      </c>
      <c r="U226" s="25"/>
      <c r="V226" s="25"/>
      <c r="W226" s="2">
        <v>1</v>
      </c>
      <c r="X226" s="2"/>
      <c r="Y226" s="2"/>
      <c r="Z226" s="2">
        <v>1</v>
      </c>
      <c r="AA226" s="2">
        <v>1</v>
      </c>
      <c r="AB226" s="2"/>
      <c r="AC226" s="2"/>
      <c r="AD226" s="2"/>
      <c r="AE226" s="2"/>
      <c r="AF226" s="2"/>
      <c r="AG226" s="2">
        <v>1</v>
      </c>
      <c r="AH226" s="2"/>
      <c r="AI226" s="2"/>
      <c r="AJ226" s="2"/>
      <c r="AO226">
        <v>14</v>
      </c>
      <c r="AP226" s="21">
        <v>0</v>
      </c>
      <c r="AQ226" s="25"/>
      <c r="AR226" s="28">
        <v>1.9850000000000001</v>
      </c>
      <c r="AS226" s="28">
        <v>2.8</v>
      </c>
      <c r="AT226" s="28">
        <v>0.315</v>
      </c>
      <c r="AU226" s="28">
        <v>1.19</v>
      </c>
      <c r="AV226" s="28">
        <v>0.31558028616852152</v>
      </c>
      <c r="AW226" s="28">
        <v>0.4451510333863275</v>
      </c>
      <c r="AX226" s="28">
        <v>5.0079491255961853E-2</v>
      </c>
      <c r="AY226" s="28">
        <v>0.1891891891891892</v>
      </c>
      <c r="AZ226" s="25">
        <v>0.95</v>
      </c>
      <c r="BA226" s="25">
        <v>3.44</v>
      </c>
      <c r="BB226" s="25">
        <v>2.4900000000000002</v>
      </c>
      <c r="BC226" s="25">
        <v>2.7494999999999989</v>
      </c>
      <c r="BD226">
        <v>2.7494999999999998</v>
      </c>
      <c r="BE226">
        <v>6.2445607449999994</v>
      </c>
    </row>
    <row r="227" spans="1:57" x14ac:dyDescent="0.3">
      <c r="A227" s="2" t="s">
        <v>188</v>
      </c>
      <c r="B227" s="17" t="s">
        <v>931</v>
      </c>
      <c r="C227" s="13"/>
      <c r="D227" s="2"/>
      <c r="E227" s="2"/>
      <c r="F227" s="2">
        <v>4.13</v>
      </c>
      <c r="G227" s="2" t="s">
        <v>192</v>
      </c>
      <c r="H227" s="9">
        <v>-1</v>
      </c>
      <c r="I227">
        <v>-1</v>
      </c>
      <c r="K227" s="2">
        <v>1</v>
      </c>
      <c r="L227" s="2"/>
      <c r="M227" s="2"/>
      <c r="N227" s="23">
        <v>0</v>
      </c>
      <c r="O227" s="1">
        <v>3.9369999999999998</v>
      </c>
      <c r="P227" s="1">
        <v>27.198</v>
      </c>
      <c r="Q227" s="1">
        <v>5.6920000000000002</v>
      </c>
      <c r="R227" s="2"/>
      <c r="S227" s="2"/>
      <c r="T227" s="23">
        <v>0</v>
      </c>
      <c r="U227" s="23"/>
      <c r="V227" s="23"/>
      <c r="W227" s="2">
        <v>1</v>
      </c>
      <c r="X227" s="2"/>
      <c r="Y227" s="2"/>
      <c r="Z227" s="2">
        <v>1.2</v>
      </c>
      <c r="AA227" s="2">
        <v>1</v>
      </c>
      <c r="AB227" s="2"/>
      <c r="AC227" s="2"/>
      <c r="AD227" s="2"/>
      <c r="AE227" s="2"/>
      <c r="AF227" s="2"/>
      <c r="AG227" s="2">
        <v>1</v>
      </c>
      <c r="AH227" s="2"/>
      <c r="AI227" s="2"/>
      <c r="AJ227" s="2"/>
      <c r="AO227">
        <v>14</v>
      </c>
      <c r="AP227" s="21">
        <v>0</v>
      </c>
      <c r="AQ227" s="21"/>
      <c r="AR227" s="28">
        <v>1.9750000000000001</v>
      </c>
      <c r="AS227" s="28">
        <v>2.8</v>
      </c>
      <c r="AT227" s="28">
        <v>0.32500000000000001</v>
      </c>
      <c r="AU227" s="28">
        <v>1.05</v>
      </c>
      <c r="AV227" s="28">
        <v>0.32113821138211379</v>
      </c>
      <c r="AW227" s="28">
        <v>0.45528455284552838</v>
      </c>
      <c r="AX227" s="28">
        <v>5.2845528455284549E-2</v>
      </c>
      <c r="AY227" s="28">
        <v>0.17073170731707321</v>
      </c>
      <c r="AZ227" s="25">
        <v>0.95</v>
      </c>
      <c r="BA227" s="25">
        <v>3.44</v>
      </c>
      <c r="BB227" s="25">
        <v>2.4900000000000002</v>
      </c>
      <c r="BC227" s="25">
        <v>2.7505000000000002</v>
      </c>
      <c r="BD227">
        <v>2.7505000000000002</v>
      </c>
      <c r="BE227">
        <v>6.2435785749999999</v>
      </c>
    </row>
    <row r="228" spans="1:57" x14ac:dyDescent="0.3">
      <c r="A228" s="2" t="s">
        <v>189</v>
      </c>
      <c r="B228" s="17" t="s">
        <v>932</v>
      </c>
      <c r="C228" s="13"/>
      <c r="D228" s="2"/>
      <c r="E228" s="2"/>
      <c r="F228" s="2">
        <v>4.07</v>
      </c>
      <c r="G228" s="2" t="s">
        <v>192</v>
      </c>
      <c r="H228" s="9">
        <v>-1</v>
      </c>
      <c r="I228">
        <v>-1</v>
      </c>
      <c r="K228" s="2">
        <v>1</v>
      </c>
      <c r="L228" s="2"/>
      <c r="M228" s="2"/>
      <c r="N228" s="23">
        <v>0</v>
      </c>
      <c r="O228" s="1">
        <v>3.9369999999999998</v>
      </c>
      <c r="P228" s="1">
        <v>27.198</v>
      </c>
      <c r="Q228" s="1">
        <v>5.6920000000000002</v>
      </c>
      <c r="R228" s="2"/>
      <c r="S228" s="2"/>
      <c r="T228" s="23">
        <v>0</v>
      </c>
      <c r="U228" s="23"/>
      <c r="V228" s="23"/>
      <c r="W228" s="2">
        <v>1</v>
      </c>
      <c r="X228" s="2"/>
      <c r="Y228" s="2"/>
      <c r="Z228" s="2">
        <v>1</v>
      </c>
      <c r="AA228" s="2">
        <v>1</v>
      </c>
      <c r="AB228" s="2"/>
      <c r="AC228" s="2"/>
      <c r="AD228" s="2"/>
      <c r="AE228" s="2"/>
      <c r="AF228" s="2"/>
      <c r="AG228" s="2">
        <v>1</v>
      </c>
      <c r="AH228" s="2"/>
      <c r="AI228" s="2"/>
      <c r="AJ228" s="2"/>
      <c r="AO228">
        <v>14</v>
      </c>
      <c r="AP228" s="21">
        <v>0</v>
      </c>
      <c r="AQ228" s="21"/>
      <c r="AR228" s="28">
        <v>1.9650000000000001</v>
      </c>
      <c r="AS228" s="28">
        <v>2.8</v>
      </c>
      <c r="AT228" s="28">
        <v>0.33500000000000002</v>
      </c>
      <c r="AU228" s="28">
        <v>0.90999999999999992</v>
      </c>
      <c r="AV228" s="28">
        <v>0.32695507487520797</v>
      </c>
      <c r="AW228" s="28">
        <v>0.46589018302828622</v>
      </c>
      <c r="AX228" s="28">
        <v>5.5740432612312818E-2</v>
      </c>
      <c r="AY228" s="28">
        <v>0.15141430948419299</v>
      </c>
      <c r="AZ228" s="25">
        <v>0.95</v>
      </c>
      <c r="BA228" s="25">
        <v>3.44</v>
      </c>
      <c r="BB228" s="25">
        <v>2.4900000000000002</v>
      </c>
      <c r="BC228" s="25">
        <v>2.7515000000000001</v>
      </c>
      <c r="BD228">
        <v>2.7515000000000001</v>
      </c>
      <c r="BE228">
        <v>6.2425964049999996</v>
      </c>
    </row>
    <row r="229" spans="1:57" x14ac:dyDescent="0.3">
      <c r="A229" s="2" t="s">
        <v>190</v>
      </c>
      <c r="B229" s="17" t="s">
        <v>933</v>
      </c>
      <c r="C229" s="13"/>
      <c r="D229" s="2"/>
      <c r="E229" s="2"/>
      <c r="F229" s="2">
        <v>4.03</v>
      </c>
      <c r="G229" s="2" t="s">
        <v>192</v>
      </c>
      <c r="H229" s="9">
        <v>-1</v>
      </c>
      <c r="I229">
        <v>-1</v>
      </c>
      <c r="K229" s="2">
        <v>1</v>
      </c>
      <c r="L229" s="2"/>
      <c r="M229" s="2"/>
      <c r="N229" s="23">
        <v>0</v>
      </c>
      <c r="O229" s="1">
        <v>3.9369999999999998</v>
      </c>
      <c r="P229" s="1">
        <v>27.198</v>
      </c>
      <c r="Q229" s="1">
        <v>5.6920000000000002</v>
      </c>
      <c r="R229" s="2"/>
      <c r="S229" s="2"/>
      <c r="T229" s="23">
        <v>0</v>
      </c>
      <c r="U229" s="25"/>
      <c r="V229" s="25"/>
      <c r="W229" s="2">
        <v>1</v>
      </c>
      <c r="X229" s="2"/>
      <c r="Y229" s="2"/>
      <c r="Z229" s="2">
        <v>1.2</v>
      </c>
      <c r="AA229" s="2">
        <v>1</v>
      </c>
      <c r="AB229" s="2"/>
      <c r="AC229" s="2"/>
      <c r="AD229" s="2"/>
      <c r="AE229" s="2"/>
      <c r="AF229" s="2"/>
      <c r="AG229" s="2">
        <v>1</v>
      </c>
      <c r="AH229" s="2"/>
      <c r="AI229" s="2"/>
      <c r="AJ229" s="2"/>
      <c r="AO229">
        <v>14</v>
      </c>
      <c r="AP229" s="21">
        <v>0</v>
      </c>
      <c r="AQ229" s="25"/>
      <c r="AR229" s="28">
        <v>1.95</v>
      </c>
      <c r="AS229" s="28">
        <v>2.8</v>
      </c>
      <c r="AT229" s="28">
        <v>0.35</v>
      </c>
      <c r="AU229" s="28">
        <v>0.7</v>
      </c>
      <c r="AV229" s="28">
        <v>0.33620689655172409</v>
      </c>
      <c r="AW229" s="28">
        <v>0.48275862068965508</v>
      </c>
      <c r="AX229" s="28">
        <v>6.0344827586206892E-2</v>
      </c>
      <c r="AY229" s="28">
        <v>0.1206896551724138</v>
      </c>
      <c r="AZ229" s="25">
        <v>0.95</v>
      </c>
      <c r="BA229" s="25">
        <v>3.44</v>
      </c>
      <c r="BB229" s="25">
        <v>2.4900000000000002</v>
      </c>
      <c r="BC229" s="25">
        <v>2.7530000000000001</v>
      </c>
      <c r="BD229">
        <v>2.7530000000000001</v>
      </c>
      <c r="BE229">
        <v>6.24112315</v>
      </c>
    </row>
    <row r="230" spans="1:57" x14ac:dyDescent="0.3">
      <c r="A230" s="2" t="s">
        <v>191</v>
      </c>
      <c r="B230" s="17" t="s">
        <v>934</v>
      </c>
      <c r="C230" s="13"/>
      <c r="D230" s="2"/>
      <c r="E230" s="2"/>
      <c r="F230" s="2">
        <v>3.96</v>
      </c>
      <c r="G230" s="2" t="s">
        <v>192</v>
      </c>
      <c r="H230" s="9">
        <v>-1</v>
      </c>
      <c r="I230">
        <v>-1</v>
      </c>
      <c r="K230" s="2">
        <v>1</v>
      </c>
      <c r="L230" s="2"/>
      <c r="M230" s="2"/>
      <c r="N230" s="23">
        <v>0</v>
      </c>
      <c r="O230" s="1">
        <v>3.9369999999999998</v>
      </c>
      <c r="P230" s="1">
        <v>27.198</v>
      </c>
      <c r="Q230" s="1">
        <v>5.6920000000000002</v>
      </c>
      <c r="R230" s="2"/>
      <c r="S230" s="2"/>
      <c r="T230" s="23">
        <v>0</v>
      </c>
      <c r="U230" s="25"/>
      <c r="V230" s="25"/>
      <c r="W230" s="2">
        <v>1</v>
      </c>
      <c r="X230" s="2"/>
      <c r="Y230" s="2"/>
      <c r="Z230" s="2">
        <v>0.8</v>
      </c>
      <c r="AA230" s="2">
        <v>1</v>
      </c>
      <c r="AB230" s="2"/>
      <c r="AC230" s="2"/>
      <c r="AD230" s="2"/>
      <c r="AE230" s="2"/>
      <c r="AF230" s="2"/>
      <c r="AG230" s="2">
        <v>1</v>
      </c>
      <c r="AH230" s="2"/>
      <c r="AI230" s="2"/>
      <c r="AJ230" s="2"/>
      <c r="AO230">
        <v>14</v>
      </c>
      <c r="AP230" s="21">
        <v>0</v>
      </c>
      <c r="AQ230" s="25"/>
      <c r="AR230" s="28">
        <v>1.92</v>
      </c>
      <c r="AS230" s="28">
        <v>2.8</v>
      </c>
      <c r="AT230" s="28">
        <v>0.38</v>
      </c>
      <c r="AU230" s="28">
        <v>0.28000000000000003</v>
      </c>
      <c r="AV230" s="28">
        <v>0.35687732342007428</v>
      </c>
      <c r="AW230" s="28">
        <v>0.5204460966542751</v>
      </c>
      <c r="AX230" s="28">
        <v>7.0631970260223054E-2</v>
      </c>
      <c r="AY230" s="28">
        <v>5.2044609665427517E-2</v>
      </c>
      <c r="AZ230" s="25">
        <v>0.95</v>
      </c>
      <c r="BA230" s="25">
        <v>3.44</v>
      </c>
      <c r="BB230" s="25">
        <v>2.4900000000000002</v>
      </c>
      <c r="BC230" s="25">
        <v>2.7559999999999998</v>
      </c>
      <c r="BD230">
        <v>2.7559999999999998</v>
      </c>
      <c r="BE230">
        <v>6.2381766400000007</v>
      </c>
    </row>
    <row r="231" spans="1:57" x14ac:dyDescent="0.3">
      <c r="A231" s="2" t="s">
        <v>49</v>
      </c>
      <c r="B231" s="13" t="s">
        <v>725</v>
      </c>
      <c r="C231" s="13"/>
      <c r="D231" s="2"/>
      <c r="E231" s="2"/>
      <c r="F231" s="2">
        <v>3.92</v>
      </c>
      <c r="G231" s="2" t="s">
        <v>192</v>
      </c>
      <c r="H231" s="9" t="s">
        <v>553</v>
      </c>
      <c r="I231" t="s">
        <v>631</v>
      </c>
      <c r="K231" s="2">
        <v>1</v>
      </c>
      <c r="L231" s="2"/>
      <c r="M231" s="2"/>
      <c r="N231" s="23">
        <v>8</v>
      </c>
      <c r="O231" s="2">
        <v>3.9329999999999998</v>
      </c>
      <c r="P231" s="2">
        <v>26.725999999999999</v>
      </c>
      <c r="Q231" s="2">
        <v>5.8630000000000004</v>
      </c>
      <c r="R231" s="2" t="s">
        <v>1095</v>
      </c>
      <c r="S231" s="2"/>
      <c r="T231" s="23">
        <v>5.8017180100000001</v>
      </c>
      <c r="U231" s="23">
        <v>7.9756520899999996</v>
      </c>
      <c r="V231" s="23">
        <v>27.352093400000001</v>
      </c>
      <c r="W231" s="2">
        <v>1</v>
      </c>
      <c r="X231" s="2"/>
      <c r="Y231" s="2"/>
      <c r="Z231" s="2">
        <v>0.6</v>
      </c>
      <c r="AA231" s="2">
        <v>1</v>
      </c>
      <c r="AB231" s="2"/>
      <c r="AC231" s="2"/>
      <c r="AD231" s="2"/>
      <c r="AE231" s="2"/>
      <c r="AF231" s="2"/>
      <c r="AG231" s="2">
        <v>1</v>
      </c>
      <c r="AH231" s="2"/>
      <c r="AI231" s="2"/>
      <c r="AJ231" s="2"/>
      <c r="AO231">
        <v>14</v>
      </c>
      <c r="AP231" s="21">
        <v>1265.6493143942739</v>
      </c>
      <c r="AQ231" s="21">
        <v>8.8492127105210025E-2</v>
      </c>
      <c r="AR231" s="28">
        <v>1.8181818181818179</v>
      </c>
      <c r="AS231" s="28">
        <v>2.545454545454545</v>
      </c>
      <c r="AT231" s="28">
        <v>0.72727272727272729</v>
      </c>
      <c r="AU231" s="28">
        <v>0</v>
      </c>
      <c r="AV231" s="28">
        <v>0.35714285714285721</v>
      </c>
      <c r="AW231" s="28">
        <v>0.5</v>
      </c>
      <c r="AX231" s="28">
        <v>0.1428571428571429</v>
      </c>
      <c r="AY231" s="28">
        <v>0</v>
      </c>
      <c r="AZ231" s="25">
        <v>0.95</v>
      </c>
      <c r="BA231" s="25">
        <v>3.44</v>
      </c>
      <c r="BB231" s="25">
        <v>2.4900000000000002</v>
      </c>
      <c r="BC231" s="25">
        <v>2.6527272727272719</v>
      </c>
      <c r="BD231">
        <v>2.6527272727272728</v>
      </c>
      <c r="BE231">
        <v>6.0182046818181814</v>
      </c>
    </row>
    <row r="232" spans="1:57" x14ac:dyDescent="0.3">
      <c r="A232" s="2" t="s">
        <v>46</v>
      </c>
      <c r="B232" s="13" t="s">
        <v>722</v>
      </c>
      <c r="C232" s="13"/>
      <c r="D232" s="2"/>
      <c r="E232" s="2"/>
      <c r="F232" s="2">
        <v>3.82</v>
      </c>
      <c r="G232" s="2" t="s">
        <v>197</v>
      </c>
      <c r="H232" s="9" t="s">
        <v>551</v>
      </c>
      <c r="I232" t="s">
        <v>629</v>
      </c>
      <c r="K232" s="2"/>
      <c r="L232" s="2"/>
      <c r="M232" s="2"/>
      <c r="N232" s="23">
        <v>2</v>
      </c>
      <c r="O232" s="2">
        <v>13.01</v>
      </c>
      <c r="P232" s="2">
        <v>5.5439999999999996</v>
      </c>
      <c r="Q232" s="2">
        <v>7.81</v>
      </c>
      <c r="R232" s="2" t="s">
        <v>1095</v>
      </c>
      <c r="S232" s="2"/>
      <c r="T232" s="23">
        <v>7.41544296</v>
      </c>
      <c r="U232" s="23">
        <v>7.4154429599999991</v>
      </c>
      <c r="V232" s="23">
        <v>7.41544296</v>
      </c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O232">
        <v>14</v>
      </c>
      <c r="AP232" s="21">
        <v>288.33429290182369</v>
      </c>
      <c r="AQ232" s="21">
        <v>9.7109503410799117E-2</v>
      </c>
      <c r="AR232" s="28">
        <v>2</v>
      </c>
      <c r="AS232" s="28">
        <v>2.545454545454545</v>
      </c>
      <c r="AT232" s="28">
        <v>0.54545454545454541</v>
      </c>
      <c r="AU232" s="28">
        <v>0</v>
      </c>
      <c r="AV232" s="28">
        <v>0.39285714285714279</v>
      </c>
      <c r="AW232" s="28">
        <v>0.5</v>
      </c>
      <c r="AX232" s="28">
        <v>0.1071428571428571</v>
      </c>
      <c r="AY232" s="28">
        <v>0</v>
      </c>
      <c r="AZ232" s="25">
        <v>1.1000000000000001</v>
      </c>
      <c r="BA232" s="25">
        <v>3.44</v>
      </c>
      <c r="BB232" s="25">
        <v>2.34</v>
      </c>
      <c r="BC232" s="25">
        <v>2.669090909090909</v>
      </c>
      <c r="BD232">
        <v>2.669090909090909</v>
      </c>
      <c r="BE232">
        <v>5.9831974772727277</v>
      </c>
    </row>
    <row r="233" spans="1:57" x14ac:dyDescent="0.3">
      <c r="A233" s="2" t="s">
        <v>193</v>
      </c>
      <c r="B233" s="13" t="s">
        <v>799</v>
      </c>
      <c r="C233" s="13"/>
      <c r="D233" s="2"/>
      <c r="E233" s="2"/>
      <c r="F233" s="2">
        <v>3.68</v>
      </c>
      <c r="G233" s="2" t="s">
        <v>197</v>
      </c>
      <c r="H233" s="9">
        <v>-1</v>
      </c>
      <c r="I233">
        <v>-1</v>
      </c>
      <c r="K233" s="2"/>
      <c r="L233" s="2"/>
      <c r="M233" s="2"/>
      <c r="N233" s="23">
        <v>0</v>
      </c>
      <c r="O233" s="2">
        <v>13.02</v>
      </c>
      <c r="P233" s="2">
        <v>5.5119999999999996</v>
      </c>
      <c r="Q233" s="2">
        <v>7.7450000000000001</v>
      </c>
      <c r="R233" s="2" t="s">
        <v>1095</v>
      </c>
      <c r="S233" s="2"/>
      <c r="T233" s="23">
        <v>0</v>
      </c>
      <c r="U233" s="23"/>
      <c r="V233" s="23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O233">
        <v>14</v>
      </c>
      <c r="AP233" s="21">
        <v>0</v>
      </c>
      <c r="AQ233" s="21"/>
      <c r="AR233" s="28">
        <v>2</v>
      </c>
      <c r="AS233" s="28">
        <v>2.545454545454545</v>
      </c>
      <c r="AT233" s="28">
        <v>0.45454545454545447</v>
      </c>
      <c r="AU233" s="28">
        <v>0.36363636363636359</v>
      </c>
      <c r="AV233" s="28">
        <v>0.3728813559322034</v>
      </c>
      <c r="AW233" s="28">
        <v>0.47457627118644069</v>
      </c>
      <c r="AX233" s="28">
        <v>8.4745762711864403E-2</v>
      </c>
      <c r="AY233" s="28">
        <v>6.7796610169491525E-2</v>
      </c>
      <c r="AZ233" s="25">
        <v>1.1000000000000001</v>
      </c>
      <c r="BA233" s="25">
        <v>3.44</v>
      </c>
      <c r="BB233" s="25">
        <v>2.34</v>
      </c>
      <c r="BC233" s="25">
        <v>2.672727272727272</v>
      </c>
      <c r="BD233">
        <v>2.6727272727272728</v>
      </c>
      <c r="BE233">
        <v>5.9599268909090908</v>
      </c>
    </row>
    <row r="234" spans="1:57" x14ac:dyDescent="0.3">
      <c r="A234" s="2" t="s">
        <v>194</v>
      </c>
      <c r="B234" s="13" t="s">
        <v>800</v>
      </c>
      <c r="C234" s="13"/>
      <c r="D234" s="2"/>
      <c r="E234" s="2"/>
      <c r="F234" s="2">
        <v>3.65</v>
      </c>
      <c r="G234" s="2" t="s">
        <v>197</v>
      </c>
      <c r="H234" s="9" t="s">
        <v>582</v>
      </c>
      <c r="I234" t="s">
        <v>657</v>
      </c>
      <c r="K234" s="2"/>
      <c r="L234" s="2"/>
      <c r="M234" s="2"/>
      <c r="N234" s="23">
        <v>2</v>
      </c>
      <c r="O234" s="2">
        <v>13.02</v>
      </c>
      <c r="P234" s="2">
        <v>5.48</v>
      </c>
      <c r="Q234" s="2">
        <v>7.68</v>
      </c>
      <c r="R234" s="2" t="s">
        <v>1095</v>
      </c>
      <c r="S234" s="2"/>
      <c r="T234" s="23">
        <v>7.2854997800000012</v>
      </c>
      <c r="U234" s="23">
        <v>7.2855000099999998</v>
      </c>
      <c r="V234" s="23">
        <v>7.28550129</v>
      </c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O234">
        <v>14</v>
      </c>
      <c r="AP234" s="21">
        <v>273.44070809730869</v>
      </c>
      <c r="AQ234" s="21">
        <v>0.1023987986091511</v>
      </c>
      <c r="AR234" s="28">
        <v>2</v>
      </c>
      <c r="AS234" s="28">
        <v>2.545454545454545</v>
      </c>
      <c r="AT234" s="28">
        <v>0.36363636363636359</v>
      </c>
      <c r="AU234" s="28">
        <v>0.72727272727272729</v>
      </c>
      <c r="AV234" s="28">
        <v>0.35483870967741932</v>
      </c>
      <c r="AW234" s="28">
        <v>0.45161290322580638</v>
      </c>
      <c r="AX234" s="28">
        <v>6.4516129032258063E-2</v>
      </c>
      <c r="AY234" s="28">
        <v>0.1290322580645161</v>
      </c>
      <c r="AZ234" s="25">
        <v>1.1399999999999999</v>
      </c>
      <c r="BA234" s="25">
        <v>3.44</v>
      </c>
      <c r="BB234" s="25">
        <v>2.2999999999999998</v>
      </c>
      <c r="BC234" s="25">
        <v>2.6763636363636358</v>
      </c>
      <c r="BD234">
        <v>2.6763636363636358</v>
      </c>
      <c r="BE234">
        <v>5.9366563045454548</v>
      </c>
    </row>
    <row r="235" spans="1:57" x14ac:dyDescent="0.3">
      <c r="A235" s="2" t="s">
        <v>195</v>
      </c>
      <c r="B235" s="13" t="s">
        <v>801</v>
      </c>
      <c r="C235" s="13"/>
      <c r="D235" s="2"/>
      <c r="E235" s="2"/>
      <c r="F235" s="2">
        <v>2.99</v>
      </c>
      <c r="G235" s="2" t="s">
        <v>197</v>
      </c>
      <c r="H235" s="9" t="s">
        <v>583</v>
      </c>
      <c r="I235">
        <v>-1</v>
      </c>
      <c r="K235" s="2"/>
      <c r="L235" s="2"/>
      <c r="M235" s="2"/>
      <c r="N235" s="23">
        <v>4</v>
      </c>
      <c r="O235" s="2">
        <v>12.996</v>
      </c>
      <c r="P235" s="2">
        <v>5.4850000000000003</v>
      </c>
      <c r="Q235" s="2">
        <v>7.7039999999999997</v>
      </c>
      <c r="R235" s="2" t="s">
        <v>1095</v>
      </c>
      <c r="S235" s="2"/>
      <c r="T235" s="23">
        <v>5.5191434299999997</v>
      </c>
      <c r="U235" s="23">
        <v>7.7203982699999987</v>
      </c>
      <c r="V235" s="23">
        <v>13.117043880000001</v>
      </c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O235">
        <v>14</v>
      </c>
      <c r="AP235" s="21">
        <v>552.74712386171507</v>
      </c>
      <c r="AQ235" s="21">
        <v>0.1013121508598025</v>
      </c>
      <c r="AR235" s="28">
        <v>2</v>
      </c>
      <c r="AS235" s="28">
        <v>2.545454545454545</v>
      </c>
      <c r="AT235" s="28">
        <v>0.36363636363636359</v>
      </c>
      <c r="AU235" s="28">
        <v>0.54545454545454541</v>
      </c>
      <c r="AV235" s="28">
        <v>0.3666666666666667</v>
      </c>
      <c r="AW235" s="28">
        <v>0.46666666666666667</v>
      </c>
      <c r="AX235" s="28">
        <v>6.666666666666668E-2</v>
      </c>
      <c r="AY235" s="28">
        <v>0.1</v>
      </c>
      <c r="AZ235" s="25">
        <v>1.1299999999999999</v>
      </c>
      <c r="BA235" s="25">
        <v>3.44</v>
      </c>
      <c r="BB235" s="25">
        <v>2.31</v>
      </c>
      <c r="BC235" s="25">
        <v>2.6745454545454539</v>
      </c>
      <c r="BD235">
        <v>2.6745454545454548</v>
      </c>
      <c r="BE235">
        <v>5.9327418772727274</v>
      </c>
    </row>
    <row r="236" spans="1:57" x14ac:dyDescent="0.3">
      <c r="A236" s="2" t="s">
        <v>196</v>
      </c>
      <c r="B236" s="13" t="s">
        <v>802</v>
      </c>
      <c r="C236" s="13"/>
      <c r="D236" s="2"/>
      <c r="E236" s="2"/>
      <c r="F236" s="2">
        <v>2.98</v>
      </c>
      <c r="G236" s="2" t="s">
        <v>197</v>
      </c>
      <c r="H236" s="9">
        <v>-1</v>
      </c>
      <c r="I236">
        <v>-1</v>
      </c>
      <c r="K236" s="2"/>
      <c r="L236" s="2"/>
      <c r="M236" s="2"/>
      <c r="N236" s="23">
        <v>0</v>
      </c>
      <c r="O236" s="2">
        <v>13.003</v>
      </c>
      <c r="P236" s="2">
        <v>5.5149999999999997</v>
      </c>
      <c r="Q236" s="2">
        <v>7.7569999999999997</v>
      </c>
      <c r="R236" s="2" t="s">
        <v>1095</v>
      </c>
      <c r="S236" s="2"/>
      <c r="T236" s="23">
        <v>0</v>
      </c>
      <c r="U236" s="23"/>
      <c r="V236" s="23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O236">
        <v>14</v>
      </c>
      <c r="AP236" s="21">
        <v>0</v>
      </c>
      <c r="AQ236" s="21"/>
      <c r="AR236" s="28">
        <v>2</v>
      </c>
      <c r="AS236" s="28">
        <v>2.545454545454545</v>
      </c>
      <c r="AT236" s="28">
        <v>0.45454545454545447</v>
      </c>
      <c r="AU236" s="28">
        <v>0.27272727272727271</v>
      </c>
      <c r="AV236" s="28">
        <v>0.37931034482758619</v>
      </c>
      <c r="AW236" s="28">
        <v>0.48275862068965519</v>
      </c>
      <c r="AX236" s="28">
        <v>8.6206896551724144E-2</v>
      </c>
      <c r="AY236" s="28">
        <v>5.1724137931034482E-2</v>
      </c>
      <c r="AZ236" s="25">
        <v>1.1000000000000001</v>
      </c>
      <c r="BA236" s="25">
        <v>3.44</v>
      </c>
      <c r="BB236" s="25">
        <v>2.34</v>
      </c>
      <c r="BC236" s="25">
        <v>2.6718181818181819</v>
      </c>
      <c r="BD236">
        <v>2.6718181818181819</v>
      </c>
      <c r="BE236">
        <v>5.9579696772727271</v>
      </c>
    </row>
    <row r="237" spans="1:57" x14ac:dyDescent="0.3">
      <c r="A237" s="2" t="s">
        <v>44</v>
      </c>
      <c r="B237" s="13" t="s">
        <v>720</v>
      </c>
      <c r="C237" s="13"/>
      <c r="D237" s="2"/>
      <c r="E237" s="2"/>
      <c r="F237" s="2">
        <v>2.1</v>
      </c>
      <c r="G237" s="2" t="s">
        <v>198</v>
      </c>
      <c r="H237" s="9" t="s">
        <v>549</v>
      </c>
      <c r="I237">
        <v>-1</v>
      </c>
      <c r="K237" s="2"/>
      <c r="L237" s="2"/>
      <c r="M237" s="2"/>
      <c r="N237" s="23">
        <v>1</v>
      </c>
      <c r="O237" s="2">
        <v>3.871</v>
      </c>
      <c r="P237" s="2">
        <v>3.871</v>
      </c>
      <c r="Q237" s="2">
        <v>29.783999999999999</v>
      </c>
      <c r="R237" s="2" t="s">
        <v>440</v>
      </c>
      <c r="S237" s="2"/>
      <c r="T237" s="23">
        <v>15.28115725</v>
      </c>
      <c r="U237" s="23">
        <v>15.28115725</v>
      </c>
      <c r="V237" s="23">
        <v>15.28115725</v>
      </c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O237">
        <v>20</v>
      </c>
      <c r="AP237" s="21">
        <v>229.90248606119221</v>
      </c>
      <c r="AQ237" s="21">
        <v>8.6993404650164072E-2</v>
      </c>
      <c r="AR237" s="28">
        <v>1.882352941176471</v>
      </c>
      <c r="AS237" s="28">
        <v>2.3529411764705879</v>
      </c>
      <c r="AT237" s="28">
        <v>0.47058823529411759</v>
      </c>
      <c r="AU237" s="28">
        <v>0</v>
      </c>
      <c r="AV237" s="28">
        <v>0.4</v>
      </c>
      <c r="AW237" s="28">
        <v>0.5</v>
      </c>
      <c r="AX237" s="28">
        <v>9.9999999999999992E-2</v>
      </c>
      <c r="AY237" s="28">
        <v>0</v>
      </c>
      <c r="AZ237" s="25">
        <v>0.82</v>
      </c>
      <c r="BA237" s="25">
        <v>3.44</v>
      </c>
      <c r="BB237" s="25">
        <v>2.62</v>
      </c>
      <c r="BC237" s="25">
        <v>2.5211764705882351</v>
      </c>
      <c r="BD237">
        <v>2.521176470588236</v>
      </c>
      <c r="BE237">
        <v>5.6898745917647062</v>
      </c>
    </row>
    <row r="238" spans="1:57" x14ac:dyDescent="0.3">
      <c r="A238" s="2" t="s">
        <v>199</v>
      </c>
      <c r="B238" s="13" t="s">
        <v>867</v>
      </c>
      <c r="C238" s="13"/>
      <c r="D238" s="2"/>
      <c r="E238" s="2"/>
      <c r="F238" s="2">
        <v>2</v>
      </c>
      <c r="G238" s="2" t="s">
        <v>207</v>
      </c>
      <c r="H238" s="9">
        <v>-1</v>
      </c>
      <c r="I238">
        <v>-1</v>
      </c>
      <c r="K238" s="2"/>
      <c r="L238" s="2"/>
      <c r="M238" s="2"/>
      <c r="N238" s="23">
        <v>0</v>
      </c>
      <c r="O238" s="1">
        <v>3.871</v>
      </c>
      <c r="P238" s="1">
        <v>3.871</v>
      </c>
      <c r="Q238" s="2">
        <v>29.297000000000001</v>
      </c>
      <c r="R238" s="2"/>
      <c r="S238" s="2"/>
      <c r="T238" s="23">
        <v>0</v>
      </c>
      <c r="U238" s="23"/>
      <c r="V238" s="23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O238">
        <v>20</v>
      </c>
      <c r="AP238" s="21">
        <v>0</v>
      </c>
      <c r="AQ238" s="21"/>
      <c r="AR238" s="28">
        <v>1.882352941176471</v>
      </c>
      <c r="AS238" s="28">
        <v>2.3529411764705879</v>
      </c>
      <c r="AT238" s="28">
        <v>1.6470588235294119</v>
      </c>
      <c r="AU238" s="28">
        <v>0</v>
      </c>
      <c r="AV238" s="28">
        <v>0.32</v>
      </c>
      <c r="AW238" s="28">
        <v>0.4</v>
      </c>
      <c r="AX238" s="28">
        <v>0.28000000000000003</v>
      </c>
      <c r="AY238" s="28">
        <v>0</v>
      </c>
      <c r="AZ238" s="25">
        <v>1.1000000000000001</v>
      </c>
      <c r="BA238" s="25">
        <v>3.44</v>
      </c>
      <c r="BB238" s="25">
        <v>2.34</v>
      </c>
      <c r="BC238" s="25">
        <v>2.6482352941176468</v>
      </c>
      <c r="BD238">
        <v>2.6482352941176468</v>
      </c>
      <c r="BE238">
        <v>5.9322299529411762</v>
      </c>
    </row>
    <row r="239" spans="1:57" x14ac:dyDescent="0.3">
      <c r="A239" s="2" t="s">
        <v>200</v>
      </c>
      <c r="B239" s="13" t="s">
        <v>868</v>
      </c>
      <c r="C239" s="13"/>
      <c r="D239" s="2"/>
      <c r="E239" s="2"/>
      <c r="F239" s="2">
        <v>2.2000000000000002</v>
      </c>
      <c r="G239" s="2" t="s">
        <v>207</v>
      </c>
      <c r="H239" s="9">
        <v>-1</v>
      </c>
      <c r="I239">
        <v>-1</v>
      </c>
      <c r="K239" s="2"/>
      <c r="L239" s="2"/>
      <c r="M239" s="2"/>
      <c r="N239" s="23">
        <v>0</v>
      </c>
      <c r="O239" s="1">
        <v>6.6040679999999998</v>
      </c>
      <c r="P239" s="1">
        <v>7.93</v>
      </c>
      <c r="Q239" s="2">
        <v>31.28</v>
      </c>
      <c r="R239" s="2"/>
      <c r="S239" s="2"/>
      <c r="T239" s="23">
        <v>0</v>
      </c>
      <c r="U239" s="23"/>
      <c r="V239" s="23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O239">
        <v>34</v>
      </c>
      <c r="AP239" s="21">
        <v>0</v>
      </c>
      <c r="AQ239" s="21"/>
      <c r="AR239" s="28">
        <v>1.62962962962963</v>
      </c>
      <c r="AS239" s="28">
        <v>2.518518518518519</v>
      </c>
      <c r="AT239" s="28">
        <v>1.911111111111111</v>
      </c>
      <c r="AU239" s="28">
        <v>0</v>
      </c>
      <c r="AV239" s="28">
        <v>0.26894865525672368</v>
      </c>
      <c r="AW239" s="28">
        <v>0.41564792176039123</v>
      </c>
      <c r="AX239" s="28">
        <v>0.31540342298288498</v>
      </c>
      <c r="AY239" s="28">
        <v>0</v>
      </c>
      <c r="AZ239" s="25">
        <v>0.82</v>
      </c>
      <c r="BA239" s="25">
        <v>3.44</v>
      </c>
      <c r="BB239" s="25">
        <v>2.62</v>
      </c>
      <c r="BC239" s="25">
        <v>2.7533629629629628</v>
      </c>
      <c r="BD239">
        <v>2.7533629629629628</v>
      </c>
      <c r="BE239">
        <v>6.1693161497481483</v>
      </c>
    </row>
    <row r="240" spans="1:57" x14ac:dyDescent="0.3">
      <c r="A240" s="2" t="s">
        <v>0</v>
      </c>
      <c r="B240" s="13" t="s">
        <v>685</v>
      </c>
      <c r="C240" s="13"/>
      <c r="D240" s="2"/>
      <c r="E240" s="2"/>
      <c r="F240" s="2">
        <v>3.3</v>
      </c>
      <c r="G240" s="2" t="s">
        <v>207</v>
      </c>
      <c r="H240" s="9" t="s">
        <v>523</v>
      </c>
      <c r="I240" t="s">
        <v>606</v>
      </c>
      <c r="K240" s="2"/>
      <c r="L240" s="2"/>
      <c r="M240" s="2"/>
      <c r="N240" s="23">
        <v>4</v>
      </c>
      <c r="O240" s="1">
        <v>6.6040679999999998</v>
      </c>
      <c r="P240" s="1">
        <v>7.93</v>
      </c>
      <c r="Q240" s="2">
        <v>32.700000000000003</v>
      </c>
      <c r="R240" s="2"/>
      <c r="S240" s="2"/>
      <c r="T240" s="23">
        <v>6.6040679999999998</v>
      </c>
      <c r="U240" s="23">
        <v>7.9389519999999996</v>
      </c>
      <c r="V240" s="23">
        <v>33.703336</v>
      </c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O240">
        <v>34</v>
      </c>
      <c r="AP240" s="21">
        <v>1767.0449718798691</v>
      </c>
      <c r="AQ240" s="21">
        <v>7.6964651247849417E-2</v>
      </c>
      <c r="AR240" s="28">
        <v>1.62962962962963</v>
      </c>
      <c r="AS240" s="28">
        <v>2.518518518518519</v>
      </c>
      <c r="AT240" s="28">
        <v>0.88888888888888884</v>
      </c>
      <c r="AU240" s="28">
        <v>0</v>
      </c>
      <c r="AV240" s="28">
        <v>0.32352941176470579</v>
      </c>
      <c r="AW240" s="28">
        <v>0.5</v>
      </c>
      <c r="AX240" s="28">
        <v>0.1764705882352941</v>
      </c>
      <c r="AY240" s="28">
        <v>0</v>
      </c>
      <c r="AZ240" s="25">
        <v>0.82</v>
      </c>
      <c r="BA240" s="25">
        <v>3.44</v>
      </c>
      <c r="BB240" s="25">
        <v>2.62</v>
      </c>
      <c r="BC240" s="25">
        <v>2.642962962962963</v>
      </c>
      <c r="BD240">
        <v>2.642962962962963</v>
      </c>
      <c r="BE240">
        <v>5.9587362692592576</v>
      </c>
    </row>
    <row r="241" spans="1:57" x14ac:dyDescent="0.3">
      <c r="A241" s="2" t="s">
        <v>201</v>
      </c>
      <c r="B241" s="13" t="s">
        <v>869</v>
      </c>
      <c r="C241" s="13"/>
      <c r="D241" s="2"/>
      <c r="E241" s="2"/>
      <c r="F241" s="2">
        <v>2.2999999999999998</v>
      </c>
      <c r="G241" s="2" t="s">
        <v>207</v>
      </c>
      <c r="H241" s="32" t="s">
        <v>524</v>
      </c>
      <c r="I241" s="1" t="s">
        <v>607</v>
      </c>
      <c r="K241" s="2"/>
      <c r="L241" s="2"/>
      <c r="M241" s="2"/>
      <c r="N241" s="23">
        <v>0</v>
      </c>
      <c r="O241" s="2">
        <v>-1</v>
      </c>
      <c r="P241" s="2"/>
      <c r="Q241" s="2"/>
      <c r="R241" s="2"/>
      <c r="S241" s="2"/>
      <c r="T241" s="23">
        <v>0</v>
      </c>
      <c r="U241" s="23"/>
      <c r="V241" s="23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O241">
        <v>14</v>
      </c>
      <c r="AP241" s="21">
        <v>0</v>
      </c>
      <c r="AQ241" s="21"/>
      <c r="AR241" s="28">
        <v>1.7272727272727271</v>
      </c>
      <c r="AS241" s="28">
        <v>2.545454545454545</v>
      </c>
      <c r="AT241" s="28">
        <v>1.4090909090909089</v>
      </c>
      <c r="AU241" s="28">
        <v>0</v>
      </c>
      <c r="AV241" s="28">
        <v>0.30399999999999999</v>
      </c>
      <c r="AW241" s="28">
        <v>0.44800000000000001</v>
      </c>
      <c r="AX241" s="28">
        <v>0.248</v>
      </c>
      <c r="AY241" s="28">
        <v>0</v>
      </c>
      <c r="AZ241" s="25">
        <v>0.82</v>
      </c>
      <c r="BA241" s="25">
        <v>3.44</v>
      </c>
      <c r="BB241" s="25">
        <v>2.62</v>
      </c>
      <c r="BC241" s="25">
        <v>2.7183636363636361</v>
      </c>
      <c r="BD241">
        <v>2.718363636363637</v>
      </c>
      <c r="BE241">
        <v>6.1164196318636357</v>
      </c>
    </row>
    <row r="242" spans="1:57" x14ac:dyDescent="0.3">
      <c r="A242" s="2" t="s">
        <v>1</v>
      </c>
      <c r="B242" s="13" t="s">
        <v>686</v>
      </c>
      <c r="C242" s="13"/>
      <c r="D242" s="2"/>
      <c r="E242" s="2"/>
      <c r="F242" s="2">
        <v>3.2</v>
      </c>
      <c r="G242" s="2" t="s">
        <v>207</v>
      </c>
      <c r="H242" s="9" t="s">
        <v>524</v>
      </c>
      <c r="I242" t="s">
        <v>607</v>
      </c>
      <c r="K242" s="2"/>
      <c r="L242" s="2"/>
      <c r="M242" s="2"/>
      <c r="N242" s="23">
        <v>1</v>
      </c>
      <c r="O242" s="2">
        <v>-1</v>
      </c>
      <c r="P242" s="2"/>
      <c r="Q242" s="2"/>
      <c r="R242" s="2"/>
      <c r="S242" s="2"/>
      <c r="T242" s="23">
        <v>3.9327019999999999</v>
      </c>
      <c r="U242" s="23">
        <v>3.9458000000000002</v>
      </c>
      <c r="V242" s="23">
        <v>11.356398779999999</v>
      </c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O242">
        <v>14</v>
      </c>
      <c r="AP242" s="21">
        <v>173.54502164551991</v>
      </c>
      <c r="AQ242" s="21">
        <v>8.0670709348241429E-2</v>
      </c>
      <c r="AR242" s="28">
        <v>1.7272727272727271</v>
      </c>
      <c r="AS242" s="28">
        <v>2.545454545454545</v>
      </c>
      <c r="AT242" s="28">
        <v>0.81818181818181823</v>
      </c>
      <c r="AU242" s="28">
        <v>0</v>
      </c>
      <c r="AV242" s="28">
        <v>0.3392857142857143</v>
      </c>
      <c r="AW242" s="28">
        <v>0.5</v>
      </c>
      <c r="AX242" s="28">
        <v>0.1607142857142857</v>
      </c>
      <c r="AY242" s="28">
        <v>0</v>
      </c>
      <c r="AZ242" s="25">
        <v>0.82</v>
      </c>
      <c r="BA242" s="25">
        <v>3.44</v>
      </c>
      <c r="BB242" s="25">
        <v>2.62</v>
      </c>
      <c r="BC242" s="25">
        <v>2.6545454545454539</v>
      </c>
      <c r="BD242">
        <v>2.6545454545454539</v>
      </c>
      <c r="BE242">
        <v>5.9946911436363637</v>
      </c>
    </row>
    <row r="243" spans="1:57" x14ac:dyDescent="0.3">
      <c r="A243" s="2" t="s">
        <v>202</v>
      </c>
      <c r="B243" s="13" t="s">
        <v>870</v>
      </c>
      <c r="C243" s="13"/>
      <c r="D243" s="2"/>
      <c r="E243" s="2"/>
      <c r="F243" s="2">
        <v>2.8</v>
      </c>
      <c r="G243" s="2" t="s">
        <v>207</v>
      </c>
      <c r="H243" s="32" t="s">
        <v>584</v>
      </c>
      <c r="I243" s="1" t="s">
        <v>658</v>
      </c>
      <c r="K243" s="2"/>
      <c r="L243" s="2"/>
      <c r="M243" s="2"/>
      <c r="N243" s="23">
        <v>0</v>
      </c>
      <c r="O243" s="2">
        <v>-1</v>
      </c>
      <c r="P243" s="2"/>
      <c r="Q243" s="2"/>
      <c r="R243" s="2"/>
      <c r="S243" s="2"/>
      <c r="T243" s="23">
        <v>0</v>
      </c>
      <c r="U243" s="23"/>
      <c r="V243" s="23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O243">
        <v>20</v>
      </c>
      <c r="AP243" s="21">
        <v>0</v>
      </c>
      <c r="AQ243" s="21"/>
      <c r="AR243" s="28">
        <v>1.9375</v>
      </c>
      <c r="AS243" s="28">
        <v>2.5</v>
      </c>
      <c r="AT243" s="28">
        <v>0.625</v>
      </c>
      <c r="AU243" s="28">
        <v>2.625</v>
      </c>
      <c r="AV243" s="28">
        <v>0.25203252032520318</v>
      </c>
      <c r="AW243" s="28">
        <v>0.32520325203252032</v>
      </c>
      <c r="AX243" s="28">
        <v>8.1300813008130079E-2</v>
      </c>
      <c r="AY243" s="28">
        <v>0.34146341463414642</v>
      </c>
      <c r="AZ243" s="25">
        <v>0.82</v>
      </c>
      <c r="BA243" s="25">
        <v>3.44</v>
      </c>
      <c r="BB243" s="25">
        <v>2.62</v>
      </c>
      <c r="BC243" s="25">
        <v>2.6142500000000002</v>
      </c>
      <c r="BD243">
        <v>2.6142500000000002</v>
      </c>
      <c r="BE243">
        <v>5.9930639130937511</v>
      </c>
    </row>
    <row r="244" spans="1:57" x14ac:dyDescent="0.3">
      <c r="A244" s="2" t="s">
        <v>203</v>
      </c>
      <c r="B244" s="13" t="s">
        <v>803</v>
      </c>
      <c r="C244" s="13"/>
      <c r="D244" s="2"/>
      <c r="E244" s="2"/>
      <c r="F244" s="2">
        <v>4.5</v>
      </c>
      <c r="G244" s="2" t="s">
        <v>207</v>
      </c>
      <c r="H244" s="9" t="s">
        <v>584</v>
      </c>
      <c r="I244" t="s">
        <v>658</v>
      </c>
      <c r="K244" s="2"/>
      <c r="L244" s="2"/>
      <c r="M244" s="2"/>
      <c r="N244" s="23">
        <v>1</v>
      </c>
      <c r="O244" s="2">
        <v>-1</v>
      </c>
      <c r="P244" s="2"/>
      <c r="Q244" s="2">
        <v>15.05</v>
      </c>
      <c r="R244" s="2"/>
      <c r="S244" s="2"/>
      <c r="T244" s="23">
        <v>3.9414189999999998</v>
      </c>
      <c r="U244" s="23">
        <v>3.9414189999999998</v>
      </c>
      <c r="V244" s="23">
        <v>15.312718</v>
      </c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O244">
        <v>20</v>
      </c>
      <c r="AP244" s="21">
        <v>237.8797625030067</v>
      </c>
      <c r="AQ244" s="21">
        <v>8.4076088648975381E-2</v>
      </c>
      <c r="AR244" s="28">
        <v>1.9375</v>
      </c>
      <c r="AS244" s="28">
        <v>2.5</v>
      </c>
      <c r="AT244" s="28">
        <v>0.5625</v>
      </c>
      <c r="AU244" s="28">
        <v>2.625</v>
      </c>
      <c r="AV244" s="28">
        <v>0.25409836065573771</v>
      </c>
      <c r="AW244" s="28">
        <v>0.32786885245901642</v>
      </c>
      <c r="AX244" s="28">
        <v>7.3770491803278687E-2</v>
      </c>
      <c r="AY244" s="28">
        <v>0.34426229508196721</v>
      </c>
      <c r="AZ244" s="25">
        <v>0.82</v>
      </c>
      <c r="BA244" s="25">
        <v>3.44</v>
      </c>
      <c r="BB244" s="25">
        <v>2.62</v>
      </c>
      <c r="BC244" s="25">
        <v>2.6074999999999999</v>
      </c>
      <c r="BD244">
        <v>2.6074999999999999</v>
      </c>
      <c r="BE244">
        <v>5.9796291640625006</v>
      </c>
    </row>
    <row r="245" spans="1:57" x14ac:dyDescent="0.3">
      <c r="A245" s="2" t="s">
        <v>204</v>
      </c>
      <c r="B245" s="13" t="s">
        <v>804</v>
      </c>
      <c r="C245" s="13"/>
      <c r="D245" s="2"/>
      <c r="E245" s="2"/>
      <c r="F245" s="2">
        <v>4.8</v>
      </c>
      <c r="G245" s="2" t="s">
        <v>207</v>
      </c>
      <c r="H245" s="9" t="s">
        <v>585</v>
      </c>
      <c r="I245" t="s">
        <v>659</v>
      </c>
      <c r="K245" s="2"/>
      <c r="L245" s="2"/>
      <c r="M245" s="2"/>
      <c r="N245" s="23">
        <v>2</v>
      </c>
      <c r="O245" s="2">
        <v>-1</v>
      </c>
      <c r="P245" s="2"/>
      <c r="Q245" s="2"/>
      <c r="R245" s="2"/>
      <c r="S245" s="2"/>
      <c r="T245" s="23">
        <v>5.4445069999999998</v>
      </c>
      <c r="U245" s="23">
        <v>5.4445069999999998</v>
      </c>
      <c r="V245" s="23">
        <v>3.9426230000000002</v>
      </c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O245">
        <v>6</v>
      </c>
      <c r="AP245" s="21">
        <v>116.8698191917419</v>
      </c>
      <c r="AQ245" s="21">
        <v>0.10267834829377349</v>
      </c>
      <c r="AR245" s="28">
        <v>1.8</v>
      </c>
      <c r="AS245" s="28">
        <v>2.4</v>
      </c>
      <c r="AT245" s="28">
        <v>0.6</v>
      </c>
      <c r="AU245" s="28">
        <v>2.8</v>
      </c>
      <c r="AV245" s="28">
        <v>0.23684210526315791</v>
      </c>
      <c r="AW245" s="28">
        <v>0.31578947368421051</v>
      </c>
      <c r="AX245" s="28">
        <v>7.8947368421052627E-2</v>
      </c>
      <c r="AY245" s="28">
        <v>0.36842105263157893</v>
      </c>
      <c r="AZ245" s="25">
        <v>0.98</v>
      </c>
      <c r="BA245" s="25">
        <v>3.44</v>
      </c>
      <c r="BB245" s="25">
        <v>2.46</v>
      </c>
      <c r="BC245" s="25">
        <v>2.56</v>
      </c>
      <c r="BD245">
        <v>2.56</v>
      </c>
      <c r="BE245">
        <v>5.9119936115999998</v>
      </c>
    </row>
    <row r="246" spans="1:57" x14ac:dyDescent="0.3">
      <c r="A246" s="2" t="s">
        <v>28</v>
      </c>
      <c r="B246" s="13" t="s">
        <v>805</v>
      </c>
      <c r="C246" s="13"/>
      <c r="D246" s="2"/>
      <c r="E246" s="2"/>
      <c r="F246" s="2">
        <v>4</v>
      </c>
      <c r="G246" s="2" t="s">
        <v>207</v>
      </c>
      <c r="H246" s="9" t="s">
        <v>586</v>
      </c>
      <c r="I246" t="s">
        <v>660</v>
      </c>
      <c r="K246" s="2"/>
      <c r="L246" s="2"/>
      <c r="M246" s="2"/>
      <c r="N246" s="23">
        <v>8</v>
      </c>
      <c r="O246" s="2">
        <v>-1</v>
      </c>
      <c r="P246" s="2"/>
      <c r="Q246" s="2"/>
      <c r="R246" s="2"/>
      <c r="S246" s="2"/>
      <c r="T246" s="23">
        <v>7.5714817599999993</v>
      </c>
      <c r="U246" s="23">
        <v>7.4441355800000002</v>
      </c>
      <c r="V246" s="23">
        <v>14.785262019999999</v>
      </c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O246">
        <v>6</v>
      </c>
      <c r="AP246" s="21">
        <v>583.54908217201648</v>
      </c>
      <c r="AQ246" s="21">
        <v>8.2255291742281814E-2</v>
      </c>
      <c r="AR246" s="28">
        <v>1.8</v>
      </c>
      <c r="AS246" s="28">
        <v>2.4</v>
      </c>
      <c r="AT246" s="28">
        <v>0.6</v>
      </c>
      <c r="AU246" s="28">
        <v>2.8</v>
      </c>
      <c r="AV246" s="28">
        <v>0.23684210526315791</v>
      </c>
      <c r="AW246" s="28">
        <v>0.31578947368421051</v>
      </c>
      <c r="AX246" s="28">
        <v>7.8947368421052627E-2</v>
      </c>
      <c r="AY246" s="28">
        <v>0.36842105263157893</v>
      </c>
      <c r="AZ246" s="25">
        <v>0.93</v>
      </c>
      <c r="BA246" s="25">
        <v>3.44</v>
      </c>
      <c r="BB246" s="25">
        <v>2.5099999999999998</v>
      </c>
      <c r="BC246" s="25">
        <v>2.5499999999999998</v>
      </c>
      <c r="BD246">
        <v>2.5499999999999998</v>
      </c>
      <c r="BE246">
        <v>5.8797175109999991</v>
      </c>
    </row>
    <row r="247" spans="1:57" x14ac:dyDescent="0.3">
      <c r="A247" s="2" t="s">
        <v>205</v>
      </c>
      <c r="B247" s="13" t="s">
        <v>871</v>
      </c>
      <c r="C247" s="13"/>
      <c r="D247" s="2"/>
      <c r="E247" s="2"/>
      <c r="F247" s="2">
        <v>2.8</v>
      </c>
      <c r="G247" s="2" t="s">
        <v>207</v>
      </c>
      <c r="H247" s="32" t="s">
        <v>585</v>
      </c>
      <c r="I247" s="1" t="s">
        <v>659</v>
      </c>
      <c r="K247" s="2"/>
      <c r="L247" s="2"/>
      <c r="M247" s="2"/>
      <c r="N247" s="23">
        <v>0</v>
      </c>
      <c r="O247" s="2">
        <v>-1</v>
      </c>
      <c r="P247" s="2"/>
      <c r="Q247" s="2"/>
      <c r="R247" s="2"/>
      <c r="S247" s="2"/>
      <c r="T247" s="23">
        <v>0</v>
      </c>
      <c r="U247" s="23"/>
      <c r="V247" s="23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O247">
        <v>6</v>
      </c>
      <c r="AP247" s="21">
        <v>0</v>
      </c>
      <c r="AQ247" s="21"/>
      <c r="AR247" s="28">
        <v>1.8</v>
      </c>
      <c r="AS247" s="28">
        <v>2.4</v>
      </c>
      <c r="AT247" s="28">
        <v>0.64</v>
      </c>
      <c r="AU247" s="28">
        <v>2.8</v>
      </c>
      <c r="AV247" s="28">
        <v>0.2356020942408377</v>
      </c>
      <c r="AW247" s="28">
        <v>0.3141361256544502</v>
      </c>
      <c r="AX247" s="28">
        <v>8.3769633507853394E-2</v>
      </c>
      <c r="AY247" s="28">
        <v>0.36649214659685858</v>
      </c>
      <c r="AZ247" s="25">
        <v>0.98</v>
      </c>
      <c r="BA247" s="25">
        <v>3.44</v>
      </c>
      <c r="BB247" s="25">
        <v>2.46</v>
      </c>
      <c r="BC247" s="25">
        <v>2.5636800000000002</v>
      </c>
      <c r="BD247">
        <v>2.5636800000000002</v>
      </c>
      <c r="BE247">
        <v>5.9178984111680002</v>
      </c>
    </row>
    <row r="248" spans="1:57" x14ac:dyDescent="0.3">
      <c r="A248" s="2" t="s">
        <v>206</v>
      </c>
      <c r="B248" s="13" t="s">
        <v>872</v>
      </c>
      <c r="C248" s="13"/>
      <c r="D248" s="2"/>
      <c r="E248" s="2"/>
      <c r="F248" s="2">
        <v>2</v>
      </c>
      <c r="G248" s="2" t="s">
        <v>207</v>
      </c>
      <c r="H248" s="32" t="s">
        <v>586</v>
      </c>
      <c r="I248" s="1" t="s">
        <v>660</v>
      </c>
      <c r="K248" s="2"/>
      <c r="L248" s="2"/>
      <c r="M248" s="2"/>
      <c r="N248" s="23">
        <v>0</v>
      </c>
      <c r="O248" s="2">
        <v>-1</v>
      </c>
      <c r="P248" s="2"/>
      <c r="Q248" s="2"/>
      <c r="R248" s="2"/>
      <c r="S248" s="2"/>
      <c r="T248" s="23">
        <v>0</v>
      </c>
      <c r="U248" s="23"/>
      <c r="V248" s="23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O248">
        <v>6</v>
      </c>
      <c r="AP248" s="21">
        <v>0</v>
      </c>
      <c r="AQ248" s="21"/>
      <c r="AR248" s="28">
        <v>1.8</v>
      </c>
      <c r="AS248" s="28">
        <v>2.4</v>
      </c>
      <c r="AT248" s="28">
        <v>0.78</v>
      </c>
      <c r="AU248" s="28">
        <v>2.8</v>
      </c>
      <c r="AV248" s="28">
        <v>0.23136246786632389</v>
      </c>
      <c r="AW248" s="28">
        <v>0.30848329048843193</v>
      </c>
      <c r="AX248" s="28">
        <v>0.10025706940874041</v>
      </c>
      <c r="AY248" s="28">
        <v>0.35989717223650391</v>
      </c>
      <c r="AZ248" s="25">
        <v>0.93</v>
      </c>
      <c r="BA248" s="25">
        <v>3.44</v>
      </c>
      <c r="BB248" s="25">
        <v>2.5099999999999998</v>
      </c>
      <c r="BC248" s="25">
        <v>2.5674600000000001</v>
      </c>
      <c r="BD248">
        <v>2.5674600000000001</v>
      </c>
      <c r="BE248">
        <v>5.9091939581100004</v>
      </c>
    </row>
    <row r="249" spans="1:57" x14ac:dyDescent="0.3">
      <c r="A249" s="2" t="s">
        <v>153</v>
      </c>
      <c r="B249" s="13" t="s">
        <v>775</v>
      </c>
      <c r="C249" s="13"/>
      <c r="D249" s="2"/>
      <c r="E249" s="2"/>
      <c r="F249" s="2">
        <v>3.36</v>
      </c>
      <c r="G249" s="2" t="s">
        <v>208</v>
      </c>
      <c r="H249" s="9" t="s">
        <v>578</v>
      </c>
      <c r="I249">
        <v>-1</v>
      </c>
      <c r="K249" s="2"/>
      <c r="L249" s="2"/>
      <c r="M249" s="2">
        <v>1</v>
      </c>
      <c r="N249" s="23">
        <v>1</v>
      </c>
      <c r="O249" s="2">
        <v>3.8860000000000001</v>
      </c>
      <c r="P249" s="2">
        <v>3.8860000000000001</v>
      </c>
      <c r="Q249" s="2">
        <v>10.548299999999999</v>
      </c>
      <c r="R249" s="2" t="s">
        <v>1097</v>
      </c>
      <c r="S249" s="2"/>
      <c r="T249" s="23">
        <v>3.9263319999999999</v>
      </c>
      <c r="U249" s="23">
        <v>3.9263319999999999</v>
      </c>
      <c r="V249" s="23">
        <v>10.74639</v>
      </c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O249">
        <v>14</v>
      </c>
      <c r="AP249" s="21">
        <v>165.66723991337099</v>
      </c>
      <c r="AQ249" s="21">
        <v>8.4506749839743392E-2</v>
      </c>
      <c r="AR249" s="28">
        <v>1.7272727272727271</v>
      </c>
      <c r="AS249" s="28">
        <v>2.545454545454545</v>
      </c>
      <c r="AT249" s="28">
        <v>0.81818181818181823</v>
      </c>
      <c r="AU249" s="28">
        <v>0</v>
      </c>
      <c r="AV249" s="28">
        <v>0.3392857142857143</v>
      </c>
      <c r="AW249" s="28">
        <v>0.5</v>
      </c>
      <c r="AX249" s="28">
        <v>0.1607142857142857</v>
      </c>
      <c r="AY249" s="28">
        <v>0</v>
      </c>
      <c r="AZ249" s="25">
        <v>1.1000000000000001</v>
      </c>
      <c r="BA249" s="25">
        <v>3.44</v>
      </c>
      <c r="BB249" s="25">
        <v>2.34</v>
      </c>
      <c r="BC249" s="25">
        <v>2.78</v>
      </c>
      <c r="BD249">
        <v>2.78</v>
      </c>
      <c r="BE249">
        <v>6.4270052227137269</v>
      </c>
    </row>
    <row r="250" spans="1:57" x14ac:dyDescent="0.3">
      <c r="A250" s="2" t="s">
        <v>153</v>
      </c>
      <c r="B250" s="13" t="s">
        <v>775</v>
      </c>
      <c r="C250" s="13"/>
      <c r="D250" s="2" t="s">
        <v>964</v>
      </c>
      <c r="E250" s="2">
        <v>0.66</v>
      </c>
      <c r="F250" s="2">
        <v>3.48</v>
      </c>
      <c r="G250" s="2" t="s">
        <v>208</v>
      </c>
      <c r="H250" s="9" t="s">
        <v>578</v>
      </c>
      <c r="I250">
        <v>-1</v>
      </c>
      <c r="K250" s="2"/>
      <c r="L250" s="2"/>
      <c r="M250" s="2">
        <v>1</v>
      </c>
      <c r="N250" s="23">
        <v>1</v>
      </c>
      <c r="O250" s="2">
        <v>3.8860000000000001</v>
      </c>
      <c r="P250" s="2">
        <v>3.8860000000000001</v>
      </c>
      <c r="Q250" s="2">
        <v>10.548299999999999</v>
      </c>
      <c r="R250" s="2" t="s">
        <v>1097</v>
      </c>
      <c r="S250" s="2"/>
      <c r="T250" s="23">
        <v>3.9263319999999999</v>
      </c>
      <c r="U250" s="23">
        <v>3.9263319999999999</v>
      </c>
      <c r="V250" s="23">
        <v>10.74639</v>
      </c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O250">
        <v>14</v>
      </c>
      <c r="AP250" s="21">
        <v>165.66723991337099</v>
      </c>
      <c r="AQ250" s="21">
        <v>8.4506749839743392E-2</v>
      </c>
      <c r="AR250" s="28">
        <v>1.7272727272727271</v>
      </c>
      <c r="AS250" s="28">
        <v>2.545454545454545</v>
      </c>
      <c r="AT250" s="28">
        <v>0.81818181818181823</v>
      </c>
      <c r="AU250" s="28">
        <v>0</v>
      </c>
      <c r="AV250" s="28">
        <v>0.3392857142857143</v>
      </c>
      <c r="AW250" s="28">
        <v>0.5</v>
      </c>
      <c r="AX250" s="28">
        <v>0.1607142857142857</v>
      </c>
      <c r="AY250" s="28">
        <v>0</v>
      </c>
      <c r="AZ250" s="25">
        <v>1.1000000000000001</v>
      </c>
      <c r="BA250" s="25">
        <v>3.44</v>
      </c>
      <c r="BB250" s="25">
        <v>2.34</v>
      </c>
      <c r="BC250" s="25">
        <v>2.78</v>
      </c>
      <c r="BD250">
        <v>2.78</v>
      </c>
      <c r="BE250">
        <v>6.4270052227137269</v>
      </c>
    </row>
    <row r="251" spans="1:57" x14ac:dyDescent="0.3">
      <c r="A251" s="2" t="s">
        <v>153</v>
      </c>
      <c r="B251" s="13" t="s">
        <v>775</v>
      </c>
      <c r="C251" s="13"/>
      <c r="D251" s="2" t="s">
        <v>964</v>
      </c>
      <c r="E251" s="2">
        <f>E250*2</f>
        <v>1.32</v>
      </c>
      <c r="F251" s="2">
        <v>3.47</v>
      </c>
      <c r="G251" s="2" t="s">
        <v>208</v>
      </c>
      <c r="H251" s="9" t="s">
        <v>578</v>
      </c>
      <c r="I251">
        <v>-1</v>
      </c>
      <c r="K251" s="2"/>
      <c r="L251" s="2"/>
      <c r="M251" s="2">
        <v>1</v>
      </c>
      <c r="N251" s="23">
        <v>1</v>
      </c>
      <c r="O251" s="2">
        <v>3.8860000000000001</v>
      </c>
      <c r="P251" s="2">
        <v>3.8860000000000001</v>
      </c>
      <c r="Q251" s="2">
        <v>10.548299999999999</v>
      </c>
      <c r="R251" s="2" t="s">
        <v>1097</v>
      </c>
      <c r="S251" s="2"/>
      <c r="T251" s="23">
        <v>3.9263319999999999</v>
      </c>
      <c r="U251" s="23">
        <v>3.9263319999999999</v>
      </c>
      <c r="V251" s="23">
        <v>10.74639</v>
      </c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O251">
        <v>14</v>
      </c>
      <c r="AP251" s="21">
        <v>165.66723991337099</v>
      </c>
      <c r="AQ251" s="21">
        <v>8.4506749839743392E-2</v>
      </c>
      <c r="AR251" s="28">
        <v>1.7272727272727271</v>
      </c>
      <c r="AS251" s="28">
        <v>2.545454545454545</v>
      </c>
      <c r="AT251" s="28">
        <v>0.81818181818181823</v>
      </c>
      <c r="AU251" s="28">
        <v>0</v>
      </c>
      <c r="AV251" s="28">
        <v>0.3392857142857143</v>
      </c>
      <c r="AW251" s="28">
        <v>0.5</v>
      </c>
      <c r="AX251" s="28">
        <v>0.1607142857142857</v>
      </c>
      <c r="AY251" s="28">
        <v>0</v>
      </c>
      <c r="AZ251" s="25">
        <v>1.1000000000000001</v>
      </c>
      <c r="BA251" s="25">
        <v>3.44</v>
      </c>
      <c r="BB251" s="25">
        <v>2.34</v>
      </c>
      <c r="BC251" s="25">
        <v>2.78</v>
      </c>
      <c r="BD251">
        <v>2.78</v>
      </c>
      <c r="BE251">
        <v>6.4270052227137269</v>
      </c>
    </row>
    <row r="252" spans="1:57" x14ac:dyDescent="0.3">
      <c r="A252" s="2" t="s">
        <v>153</v>
      </c>
      <c r="B252" s="13" t="s">
        <v>775</v>
      </c>
      <c r="C252" s="13"/>
      <c r="D252" s="2" t="s">
        <v>964</v>
      </c>
      <c r="E252" s="2">
        <f>E250*3</f>
        <v>1.98</v>
      </c>
      <c r="F252" s="2">
        <v>3.41</v>
      </c>
      <c r="G252" s="2" t="s">
        <v>208</v>
      </c>
      <c r="H252" s="9" t="s">
        <v>578</v>
      </c>
      <c r="I252">
        <v>-1</v>
      </c>
      <c r="K252" s="2"/>
      <c r="L252" s="2"/>
      <c r="M252" s="2">
        <v>1</v>
      </c>
      <c r="N252" s="23">
        <v>1</v>
      </c>
      <c r="O252" s="2">
        <v>3.8860000000000001</v>
      </c>
      <c r="P252" s="2">
        <v>3.8860000000000001</v>
      </c>
      <c r="Q252" s="2">
        <v>10.548299999999999</v>
      </c>
      <c r="R252" s="2" t="s">
        <v>1097</v>
      </c>
      <c r="S252" s="2"/>
      <c r="T252" s="23">
        <v>3.9263319999999999</v>
      </c>
      <c r="U252" s="23">
        <v>3.9263319999999999</v>
      </c>
      <c r="V252" s="23">
        <v>10.74639</v>
      </c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O252">
        <v>14</v>
      </c>
      <c r="AP252" s="21">
        <v>165.66723991337099</v>
      </c>
      <c r="AQ252" s="21">
        <v>8.4506749839743392E-2</v>
      </c>
      <c r="AR252" s="28">
        <v>1.7272727272727271</v>
      </c>
      <c r="AS252" s="28">
        <v>2.545454545454545</v>
      </c>
      <c r="AT252" s="28">
        <v>0.81818181818181823</v>
      </c>
      <c r="AU252" s="28">
        <v>0</v>
      </c>
      <c r="AV252" s="28">
        <v>0.3392857142857143</v>
      </c>
      <c r="AW252" s="28">
        <v>0.5</v>
      </c>
      <c r="AX252" s="28">
        <v>0.1607142857142857</v>
      </c>
      <c r="AY252" s="28">
        <v>0</v>
      </c>
      <c r="AZ252" s="25">
        <v>1.1000000000000001</v>
      </c>
      <c r="BA252" s="25">
        <v>3.44</v>
      </c>
      <c r="BB252" s="25">
        <v>2.34</v>
      </c>
      <c r="BC252" s="25">
        <v>2.78</v>
      </c>
      <c r="BD252">
        <v>2.78</v>
      </c>
      <c r="BE252">
        <v>6.4270052227137269</v>
      </c>
    </row>
    <row r="253" spans="1:57" x14ac:dyDescent="0.3">
      <c r="A253" s="2" t="s">
        <v>153</v>
      </c>
      <c r="B253" s="13" t="s">
        <v>775</v>
      </c>
      <c r="C253" s="13"/>
      <c r="D253" s="2" t="s">
        <v>964</v>
      </c>
      <c r="E253" s="2">
        <f>E250*4</f>
        <v>2.64</v>
      </c>
      <c r="F253" s="2">
        <v>3.42</v>
      </c>
      <c r="G253" s="2" t="s">
        <v>208</v>
      </c>
      <c r="H253" s="9" t="s">
        <v>578</v>
      </c>
      <c r="I253">
        <v>-1</v>
      </c>
      <c r="K253" s="2"/>
      <c r="L253" s="2"/>
      <c r="M253" s="2">
        <v>1</v>
      </c>
      <c r="N253" s="23">
        <v>1</v>
      </c>
      <c r="O253" s="2">
        <v>3.8860000000000001</v>
      </c>
      <c r="P253" s="2">
        <v>3.8860000000000001</v>
      </c>
      <c r="Q253" s="2">
        <v>10.548299999999999</v>
      </c>
      <c r="R253" s="2" t="s">
        <v>1097</v>
      </c>
      <c r="S253" s="2"/>
      <c r="T253" s="23">
        <v>3.9263319999999999</v>
      </c>
      <c r="U253" s="23">
        <v>3.9263319999999999</v>
      </c>
      <c r="V253" s="23">
        <v>10.74639</v>
      </c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O253">
        <v>14</v>
      </c>
      <c r="AP253" s="21">
        <v>165.66723991337099</v>
      </c>
      <c r="AQ253" s="21">
        <v>8.4506749839743392E-2</v>
      </c>
      <c r="AR253" s="28">
        <v>1.7272727272727271</v>
      </c>
      <c r="AS253" s="28">
        <v>2.545454545454545</v>
      </c>
      <c r="AT253" s="28">
        <v>0.81818181818181823</v>
      </c>
      <c r="AU253" s="28">
        <v>0</v>
      </c>
      <c r="AV253" s="28">
        <v>0.3392857142857143</v>
      </c>
      <c r="AW253" s="28">
        <v>0.5</v>
      </c>
      <c r="AX253" s="28">
        <v>0.1607142857142857</v>
      </c>
      <c r="AY253" s="28">
        <v>0</v>
      </c>
      <c r="AZ253" s="25">
        <v>1.1000000000000001</v>
      </c>
      <c r="BA253" s="25">
        <v>3.44</v>
      </c>
      <c r="BB253" s="25">
        <v>2.34</v>
      </c>
      <c r="BC253" s="25">
        <v>2.78</v>
      </c>
      <c r="BD253">
        <v>2.78</v>
      </c>
      <c r="BE253">
        <v>6.4270052227137269</v>
      </c>
    </row>
    <row r="254" spans="1:57" x14ac:dyDescent="0.3">
      <c r="A254" s="2" t="s">
        <v>153</v>
      </c>
      <c r="B254" s="13" t="s">
        <v>775</v>
      </c>
      <c r="C254" s="13"/>
      <c r="D254" s="2" t="s">
        <v>964</v>
      </c>
      <c r="E254" s="2">
        <f>E250*6</f>
        <v>3.96</v>
      </c>
      <c r="F254" s="2">
        <v>3.44</v>
      </c>
      <c r="G254" s="2" t="s">
        <v>208</v>
      </c>
      <c r="H254" s="9" t="s">
        <v>578</v>
      </c>
      <c r="I254">
        <v>-1</v>
      </c>
      <c r="K254" s="2"/>
      <c r="L254" s="2"/>
      <c r="M254" s="2">
        <v>1</v>
      </c>
      <c r="N254" s="23">
        <v>1</v>
      </c>
      <c r="O254" s="2">
        <v>3.8860000000000001</v>
      </c>
      <c r="P254" s="2">
        <v>3.8860000000000001</v>
      </c>
      <c r="Q254" s="2">
        <v>10.548299999999999</v>
      </c>
      <c r="R254" s="2" t="s">
        <v>1097</v>
      </c>
      <c r="S254" s="2"/>
      <c r="T254" s="23">
        <v>3.9263319999999999</v>
      </c>
      <c r="U254" s="23">
        <v>3.9263319999999999</v>
      </c>
      <c r="V254" s="23">
        <v>10.74639</v>
      </c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O254">
        <v>14</v>
      </c>
      <c r="AP254" s="21">
        <v>165.66723991337099</v>
      </c>
      <c r="AQ254" s="21">
        <v>8.4506749839743392E-2</v>
      </c>
      <c r="AR254" s="28">
        <v>1.7272727272727271</v>
      </c>
      <c r="AS254" s="28">
        <v>2.545454545454545</v>
      </c>
      <c r="AT254" s="28">
        <v>0.81818181818181823</v>
      </c>
      <c r="AU254" s="28">
        <v>0</v>
      </c>
      <c r="AV254" s="28">
        <v>0.3392857142857143</v>
      </c>
      <c r="AW254" s="28">
        <v>0.5</v>
      </c>
      <c r="AX254" s="28">
        <v>0.1607142857142857</v>
      </c>
      <c r="AY254" s="28">
        <v>0</v>
      </c>
      <c r="AZ254" s="25">
        <v>1.1000000000000001</v>
      </c>
      <c r="BA254" s="25">
        <v>3.44</v>
      </c>
      <c r="BB254" s="25">
        <v>2.34</v>
      </c>
      <c r="BC254" s="25">
        <v>2.78</v>
      </c>
      <c r="BD254">
        <v>2.78</v>
      </c>
      <c r="BE254">
        <v>6.4270052227137269</v>
      </c>
    </row>
    <row r="255" spans="1:57" x14ac:dyDescent="0.3">
      <c r="A255" s="2" t="s">
        <v>8</v>
      </c>
      <c r="B255" s="13" t="s">
        <v>694</v>
      </c>
      <c r="C255" s="13"/>
      <c r="D255" s="2"/>
      <c r="E255" s="2"/>
      <c r="F255" s="2">
        <v>3.2</v>
      </c>
      <c r="G255" s="2" t="s">
        <v>208</v>
      </c>
      <c r="H255" s="9" t="s">
        <v>530</v>
      </c>
      <c r="I255" t="s">
        <v>612</v>
      </c>
      <c r="K255" s="2"/>
      <c r="L255" s="2"/>
      <c r="M255" s="2"/>
      <c r="N255" s="23">
        <v>30</v>
      </c>
      <c r="O255" s="2">
        <v>-2</v>
      </c>
      <c r="P255" s="2"/>
      <c r="Q255" s="2"/>
      <c r="R255" s="2"/>
      <c r="S255" s="2"/>
      <c r="T255" s="23">
        <v>10.59112378</v>
      </c>
      <c r="U255" s="23">
        <v>10.784736629999999</v>
      </c>
      <c r="V255" s="23">
        <v>10.486176179999999</v>
      </c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O255">
        <v>4</v>
      </c>
      <c r="AP255" s="21">
        <v>1182.741260108548</v>
      </c>
      <c r="AQ255" s="21">
        <v>0.1014592151701775</v>
      </c>
      <c r="AR255" s="28">
        <v>2</v>
      </c>
      <c r="AS255" s="28">
        <v>2.666666666666667</v>
      </c>
      <c r="AT255" s="28">
        <v>0.66666666666666663</v>
      </c>
      <c r="AU255" s="28">
        <v>0</v>
      </c>
      <c r="AV255" s="28">
        <v>0.375</v>
      </c>
      <c r="AW255" s="28">
        <v>0.5</v>
      </c>
      <c r="AX255" s="28">
        <v>0.125</v>
      </c>
      <c r="AY255" s="28">
        <v>0</v>
      </c>
      <c r="AZ255" s="25">
        <v>1.54</v>
      </c>
      <c r="BA255" s="25">
        <v>3.44</v>
      </c>
      <c r="BB255" s="25">
        <v>1.9</v>
      </c>
      <c r="BC255" s="25">
        <v>2.8066666666666671</v>
      </c>
      <c r="BD255">
        <v>2.8066666666666662</v>
      </c>
      <c r="BE255">
        <v>6.1769976</v>
      </c>
    </row>
    <row r="256" spans="1:57" x14ac:dyDescent="0.3">
      <c r="A256" s="2" t="s">
        <v>153</v>
      </c>
      <c r="B256" s="13" t="s">
        <v>775</v>
      </c>
      <c r="C256" s="13"/>
      <c r="D256" s="2"/>
      <c r="E256" s="2"/>
      <c r="F256" s="2">
        <v>3.1</v>
      </c>
      <c r="G256" s="2" t="s">
        <v>209</v>
      </c>
      <c r="H256" s="9" t="s">
        <v>578</v>
      </c>
      <c r="I256">
        <v>-1</v>
      </c>
      <c r="K256" s="2"/>
      <c r="L256" s="2"/>
      <c r="M256" s="2">
        <v>1</v>
      </c>
      <c r="N256" s="23">
        <v>1</v>
      </c>
      <c r="O256" s="2">
        <v>3.8860000000000001</v>
      </c>
      <c r="P256" s="2">
        <v>3.8860000000000001</v>
      </c>
      <c r="Q256" s="2">
        <v>10.548299999999999</v>
      </c>
      <c r="R256" s="2" t="s">
        <v>1097</v>
      </c>
      <c r="S256" s="2"/>
      <c r="T256" s="23">
        <v>3.9263319999999999</v>
      </c>
      <c r="U256" s="23">
        <v>3.9263319999999999</v>
      </c>
      <c r="V256" s="23">
        <v>10.74639</v>
      </c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O256">
        <v>14</v>
      </c>
      <c r="AP256" s="21">
        <v>165.66723991337099</v>
      </c>
      <c r="AQ256" s="21">
        <v>8.4506749839743392E-2</v>
      </c>
      <c r="AR256" s="28">
        <v>1.7272727272727271</v>
      </c>
      <c r="AS256" s="28">
        <v>2.545454545454545</v>
      </c>
      <c r="AT256" s="28">
        <v>0.81818181818181823</v>
      </c>
      <c r="AU256" s="28">
        <v>0</v>
      </c>
      <c r="AV256" s="28">
        <v>0.3392857142857143</v>
      </c>
      <c r="AW256" s="28">
        <v>0.5</v>
      </c>
      <c r="AX256" s="28">
        <v>0.1607142857142857</v>
      </c>
      <c r="AY256" s="28">
        <v>0</v>
      </c>
      <c r="AZ256" s="25">
        <v>1.1000000000000001</v>
      </c>
      <c r="BA256" s="25">
        <v>3.44</v>
      </c>
      <c r="BB256" s="25">
        <v>2.34</v>
      </c>
      <c r="BC256" s="25">
        <v>2.78</v>
      </c>
      <c r="BD256">
        <v>2.78</v>
      </c>
      <c r="BE256">
        <v>6.4270052227137269</v>
      </c>
    </row>
    <row r="257" spans="1:57" x14ac:dyDescent="0.3">
      <c r="A257" s="2" t="s">
        <v>210</v>
      </c>
      <c r="B257" s="17" t="s">
        <v>935</v>
      </c>
      <c r="C257" s="13"/>
      <c r="D257" s="2"/>
      <c r="E257" s="2"/>
      <c r="F257" s="2">
        <v>3.1</v>
      </c>
      <c r="G257" s="2" t="s">
        <v>209</v>
      </c>
      <c r="H257" s="32" t="s">
        <v>578</v>
      </c>
      <c r="I257">
        <v>-1</v>
      </c>
      <c r="K257" s="2"/>
      <c r="L257" s="2"/>
      <c r="M257" s="2"/>
      <c r="N257" s="23">
        <v>0</v>
      </c>
      <c r="O257" s="1">
        <v>3.8860000000000001</v>
      </c>
      <c r="P257" s="1">
        <v>3.8860000000000001</v>
      </c>
      <c r="Q257" s="1">
        <v>10.548299999999999</v>
      </c>
      <c r="R257" s="1" t="s">
        <v>1097</v>
      </c>
      <c r="S257" s="2"/>
      <c r="T257" s="23">
        <v>0</v>
      </c>
      <c r="U257" s="23"/>
      <c r="V257" s="23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O257">
        <v>14</v>
      </c>
      <c r="AP257" s="21">
        <v>0</v>
      </c>
      <c r="AQ257" s="21"/>
      <c r="AR257" s="28">
        <v>1.7285974499089249</v>
      </c>
      <c r="AS257" s="28">
        <v>2.5500910746812391</v>
      </c>
      <c r="AT257" s="28">
        <v>0.82149362477231325</v>
      </c>
      <c r="AU257" s="28">
        <v>0</v>
      </c>
      <c r="AV257" s="28">
        <v>0.33892857142857141</v>
      </c>
      <c r="AW257" s="28">
        <v>0.5</v>
      </c>
      <c r="AX257" s="28">
        <v>0.16107142857142859</v>
      </c>
      <c r="AY257" s="28">
        <v>0</v>
      </c>
      <c r="AZ257" s="25">
        <v>1.1000000000000001</v>
      </c>
      <c r="BA257" s="25">
        <v>3.44</v>
      </c>
      <c r="BB257" s="25">
        <v>2.34</v>
      </c>
      <c r="BC257" s="25">
        <v>2.7820765027322398</v>
      </c>
      <c r="BD257">
        <v>2.7820765027322398</v>
      </c>
      <c r="BE257">
        <v>6.4257889029010924</v>
      </c>
    </row>
    <row r="258" spans="1:57" x14ac:dyDescent="0.3">
      <c r="A258" s="2" t="s">
        <v>211</v>
      </c>
      <c r="B258" s="17" t="s">
        <v>936</v>
      </c>
      <c r="C258" s="13"/>
      <c r="D258" s="2"/>
      <c r="E258" s="2"/>
      <c r="F258" s="2">
        <v>3.1</v>
      </c>
      <c r="G258" s="2" t="s">
        <v>209</v>
      </c>
      <c r="H258" s="32" t="s">
        <v>578</v>
      </c>
      <c r="I258">
        <v>-1</v>
      </c>
      <c r="K258" s="2"/>
      <c r="L258" s="2"/>
      <c r="M258" s="2"/>
      <c r="N258" s="23">
        <v>0</v>
      </c>
      <c r="O258" s="1">
        <v>3.8860000000000001</v>
      </c>
      <c r="P258" s="1">
        <v>3.8860000000000001</v>
      </c>
      <c r="Q258" s="1">
        <v>10.548299999999999</v>
      </c>
      <c r="R258" s="1" t="s">
        <v>1097</v>
      </c>
      <c r="S258" s="2"/>
      <c r="T258" s="23">
        <v>0</v>
      </c>
      <c r="U258" s="23"/>
      <c r="V258" s="23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O258">
        <v>14</v>
      </c>
      <c r="AP258" s="21">
        <v>0</v>
      </c>
      <c r="AQ258" s="21"/>
      <c r="AR258" s="28">
        <v>1.730593607305936</v>
      </c>
      <c r="AS258" s="28">
        <v>2.557077625570777</v>
      </c>
      <c r="AT258" s="28">
        <v>0.8264840182648403</v>
      </c>
      <c r="AU258" s="28">
        <v>0</v>
      </c>
      <c r="AV258" s="28">
        <v>0.33839285714285711</v>
      </c>
      <c r="AW258" s="28">
        <v>0.5</v>
      </c>
      <c r="AX258" s="28">
        <v>0.16160714285714289</v>
      </c>
      <c r="AY258" s="28">
        <v>0</v>
      </c>
      <c r="AZ258" s="25">
        <v>1.1000000000000001</v>
      </c>
      <c r="BA258" s="25">
        <v>3.44</v>
      </c>
      <c r="BB258" s="25">
        <v>2.34</v>
      </c>
      <c r="BC258" s="25">
        <v>2.7852054794520549</v>
      </c>
      <c r="BD258">
        <v>2.7852054794520549</v>
      </c>
      <c r="BE258">
        <v>6.4239560922245156</v>
      </c>
    </row>
    <row r="259" spans="1:57" x14ac:dyDescent="0.3">
      <c r="A259" s="2" t="s">
        <v>212</v>
      </c>
      <c r="B259" s="17" t="s">
        <v>937</v>
      </c>
      <c r="C259" s="13"/>
      <c r="D259" s="2"/>
      <c r="E259" s="2"/>
      <c r="F259" s="2">
        <v>3.1</v>
      </c>
      <c r="G259" s="2" t="s">
        <v>209</v>
      </c>
      <c r="H259" s="32" t="s">
        <v>578</v>
      </c>
      <c r="I259">
        <v>-1</v>
      </c>
      <c r="K259" s="2"/>
      <c r="L259" s="2"/>
      <c r="M259" s="2"/>
      <c r="N259" s="23">
        <v>0</v>
      </c>
      <c r="O259" s="1">
        <v>3.8860000000000001</v>
      </c>
      <c r="P259" s="1">
        <v>3.8860000000000001</v>
      </c>
      <c r="Q259" s="1">
        <v>10.548299999999999</v>
      </c>
      <c r="R259" s="1" t="s">
        <v>1097</v>
      </c>
      <c r="S259" s="2"/>
      <c r="T259" s="23">
        <v>0</v>
      </c>
      <c r="U259" s="23"/>
      <c r="V259" s="23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O259">
        <v>14</v>
      </c>
      <c r="AP259" s="21">
        <v>0</v>
      </c>
      <c r="AQ259" s="21"/>
      <c r="AR259" s="28">
        <v>1.7373271889400921</v>
      </c>
      <c r="AS259" s="28">
        <v>2.580645161290323</v>
      </c>
      <c r="AT259" s="28">
        <v>0.84331797235023043</v>
      </c>
      <c r="AU259" s="28">
        <v>0</v>
      </c>
      <c r="AV259" s="28">
        <v>0.33660714285714288</v>
      </c>
      <c r="AW259" s="28">
        <v>0.5</v>
      </c>
      <c r="AX259" s="28">
        <v>0.16339285714285709</v>
      </c>
      <c r="AY259" s="28">
        <v>0</v>
      </c>
      <c r="AZ259" s="25">
        <v>1.1000000000000001</v>
      </c>
      <c r="BA259" s="25">
        <v>3.44</v>
      </c>
      <c r="BB259" s="25">
        <v>2.34</v>
      </c>
      <c r="BC259" s="25">
        <v>2.7957603686635939</v>
      </c>
      <c r="BD259">
        <v>2.7957603686635939</v>
      </c>
      <c r="BE259">
        <v>6.4177735234906308</v>
      </c>
    </row>
    <row r="260" spans="1:57" x14ac:dyDescent="0.3">
      <c r="A260" s="2" t="s">
        <v>153</v>
      </c>
      <c r="B260" s="17" t="s">
        <v>775</v>
      </c>
      <c r="C260" s="13"/>
      <c r="D260" s="2" t="s">
        <v>863</v>
      </c>
      <c r="E260" s="2">
        <v>1.34</v>
      </c>
      <c r="F260" s="2">
        <v>3.1</v>
      </c>
      <c r="G260" s="2" t="s">
        <v>209</v>
      </c>
      <c r="H260" s="9" t="s">
        <v>578</v>
      </c>
      <c r="I260">
        <v>-1</v>
      </c>
      <c r="K260" s="2"/>
      <c r="L260" s="2"/>
      <c r="M260" s="2">
        <v>1</v>
      </c>
      <c r="N260" s="23">
        <v>1</v>
      </c>
      <c r="O260" s="2">
        <v>3.8860000000000001</v>
      </c>
      <c r="P260" s="2">
        <v>3.8860000000000001</v>
      </c>
      <c r="Q260" s="2">
        <v>10.548299999999999</v>
      </c>
      <c r="R260" s="2" t="s">
        <v>1097</v>
      </c>
      <c r="S260" s="2"/>
      <c r="T260" s="23">
        <v>3.9263319999999999</v>
      </c>
      <c r="U260" s="23">
        <v>3.9263319999999999</v>
      </c>
      <c r="V260" s="23">
        <v>10.74639</v>
      </c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O260">
        <v>14</v>
      </c>
      <c r="AP260" s="21">
        <v>165.66723991337099</v>
      </c>
      <c r="AQ260" s="21">
        <v>8.4506749839743392E-2</v>
      </c>
      <c r="AR260" s="28">
        <v>1.7272727272727271</v>
      </c>
      <c r="AS260" s="28">
        <v>2.545454545454545</v>
      </c>
      <c r="AT260" s="28">
        <v>0.81818181818181823</v>
      </c>
      <c r="AU260" s="28">
        <v>0</v>
      </c>
      <c r="AV260" s="28">
        <v>0.3392857142857143</v>
      </c>
      <c r="AW260" s="28">
        <v>0.5</v>
      </c>
      <c r="AX260" s="28">
        <v>0.1607142857142857</v>
      </c>
      <c r="AY260" s="28">
        <v>0</v>
      </c>
      <c r="AZ260" s="25">
        <v>1.1000000000000001</v>
      </c>
      <c r="BA260" s="25">
        <v>3.44</v>
      </c>
      <c r="BB260" s="25">
        <v>2.34</v>
      </c>
      <c r="BC260" s="25">
        <v>2.78</v>
      </c>
      <c r="BD260">
        <v>2.78</v>
      </c>
      <c r="BE260">
        <v>6.4270052227137269</v>
      </c>
    </row>
    <row r="261" spans="1:57" x14ac:dyDescent="0.3">
      <c r="A261" s="2" t="s">
        <v>210</v>
      </c>
      <c r="B261" s="17" t="s">
        <v>935</v>
      </c>
      <c r="C261" s="13"/>
      <c r="D261" s="2" t="s">
        <v>863</v>
      </c>
      <c r="E261" s="2">
        <v>1.04</v>
      </c>
      <c r="F261" s="2">
        <v>3.1</v>
      </c>
      <c r="G261" s="2" t="s">
        <v>209</v>
      </c>
      <c r="H261" s="32" t="s">
        <v>578</v>
      </c>
      <c r="I261">
        <v>-1</v>
      </c>
      <c r="K261" s="2"/>
      <c r="L261" s="2"/>
      <c r="M261" s="2">
        <v>1</v>
      </c>
      <c r="N261" s="23">
        <v>0</v>
      </c>
      <c r="O261" s="1">
        <v>3.8860000000000001</v>
      </c>
      <c r="P261" s="1">
        <v>3.8860000000000001</v>
      </c>
      <c r="Q261" s="1">
        <v>10.548299999999999</v>
      </c>
      <c r="R261" s="1" t="s">
        <v>1097</v>
      </c>
      <c r="S261" s="2"/>
      <c r="T261" s="23">
        <v>0</v>
      </c>
      <c r="U261" s="23"/>
      <c r="V261" s="23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O261">
        <v>14</v>
      </c>
      <c r="AP261" s="21">
        <v>0</v>
      </c>
      <c r="AQ261" s="21"/>
      <c r="AR261" s="28">
        <v>1.7285974499089249</v>
      </c>
      <c r="AS261" s="28">
        <v>2.5500910746812391</v>
      </c>
      <c r="AT261" s="28">
        <v>0.82149362477231325</v>
      </c>
      <c r="AU261" s="28">
        <v>0</v>
      </c>
      <c r="AV261" s="28">
        <v>0.33892857142857141</v>
      </c>
      <c r="AW261" s="28">
        <v>0.5</v>
      </c>
      <c r="AX261" s="28">
        <v>0.16107142857142859</v>
      </c>
      <c r="AY261" s="28">
        <v>0</v>
      </c>
      <c r="AZ261" s="25">
        <v>1.1000000000000001</v>
      </c>
      <c r="BA261" s="25">
        <v>3.44</v>
      </c>
      <c r="BB261" s="25">
        <v>2.34</v>
      </c>
      <c r="BC261" s="25">
        <v>2.7820765027322398</v>
      </c>
      <c r="BD261">
        <v>2.7820765027322398</v>
      </c>
      <c r="BE261">
        <v>6.4257889029010924</v>
      </c>
    </row>
    <row r="262" spans="1:57" x14ac:dyDescent="0.3">
      <c r="A262" s="2" t="s">
        <v>211</v>
      </c>
      <c r="B262" s="17" t="s">
        <v>936</v>
      </c>
      <c r="C262" s="13"/>
      <c r="D262" s="2" t="s">
        <v>863</v>
      </c>
      <c r="E262" s="2">
        <v>1.19</v>
      </c>
      <c r="F262" s="2">
        <v>3.1</v>
      </c>
      <c r="G262" s="2" t="s">
        <v>209</v>
      </c>
      <c r="H262" s="32" t="s">
        <v>578</v>
      </c>
      <c r="I262">
        <v>-1</v>
      </c>
      <c r="K262" s="2"/>
      <c r="L262" s="2"/>
      <c r="M262" s="2">
        <v>1</v>
      </c>
      <c r="N262" s="23">
        <v>0</v>
      </c>
      <c r="O262" s="1">
        <v>3.8860000000000001</v>
      </c>
      <c r="P262" s="1">
        <v>3.8860000000000001</v>
      </c>
      <c r="Q262" s="1">
        <v>10.548299999999999</v>
      </c>
      <c r="R262" s="1" t="s">
        <v>1097</v>
      </c>
      <c r="S262" s="2"/>
      <c r="T262" s="23">
        <v>0</v>
      </c>
      <c r="U262" s="23"/>
      <c r="V262" s="23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O262">
        <v>14</v>
      </c>
      <c r="AP262" s="21">
        <v>0</v>
      </c>
      <c r="AQ262" s="21"/>
      <c r="AR262" s="28">
        <v>1.730593607305936</v>
      </c>
      <c r="AS262" s="28">
        <v>2.557077625570777</v>
      </c>
      <c r="AT262" s="28">
        <v>0.8264840182648403</v>
      </c>
      <c r="AU262" s="28">
        <v>0</v>
      </c>
      <c r="AV262" s="28">
        <v>0.33839285714285711</v>
      </c>
      <c r="AW262" s="28">
        <v>0.5</v>
      </c>
      <c r="AX262" s="28">
        <v>0.16160714285714289</v>
      </c>
      <c r="AY262" s="28">
        <v>0</v>
      </c>
      <c r="AZ262" s="25">
        <v>1.1000000000000001</v>
      </c>
      <c r="BA262" s="25">
        <v>3.44</v>
      </c>
      <c r="BB262" s="25">
        <v>2.34</v>
      </c>
      <c r="BC262" s="25">
        <v>2.7852054794520549</v>
      </c>
      <c r="BD262">
        <v>2.7852054794520549</v>
      </c>
      <c r="BE262">
        <v>6.4239560922245156</v>
      </c>
    </row>
    <row r="263" spans="1:57" x14ac:dyDescent="0.3">
      <c r="A263" s="2" t="s">
        <v>212</v>
      </c>
      <c r="B263" s="17" t="s">
        <v>937</v>
      </c>
      <c r="C263" s="13"/>
      <c r="D263" s="2" t="s">
        <v>863</v>
      </c>
      <c r="E263" s="2">
        <v>1.61</v>
      </c>
      <c r="F263" s="2">
        <v>3.1</v>
      </c>
      <c r="G263" s="2" t="s">
        <v>209</v>
      </c>
      <c r="H263" s="32" t="s">
        <v>578</v>
      </c>
      <c r="I263">
        <v>-1</v>
      </c>
      <c r="K263" s="2"/>
      <c r="L263" s="2"/>
      <c r="M263" s="2">
        <v>1</v>
      </c>
      <c r="N263" s="23">
        <v>0</v>
      </c>
      <c r="O263" s="1">
        <v>3.8860000000000001</v>
      </c>
      <c r="P263" s="1">
        <v>3.8860000000000001</v>
      </c>
      <c r="Q263" s="1">
        <v>10.548299999999999</v>
      </c>
      <c r="R263" s="1" t="s">
        <v>1097</v>
      </c>
      <c r="S263" s="2"/>
      <c r="T263" s="23">
        <v>0</v>
      </c>
      <c r="U263" s="23"/>
      <c r="V263" s="23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O263">
        <v>14</v>
      </c>
      <c r="AP263" s="21">
        <v>0</v>
      </c>
      <c r="AQ263" s="21"/>
      <c r="AR263" s="28">
        <v>1.7373271889400921</v>
      </c>
      <c r="AS263" s="28">
        <v>2.580645161290323</v>
      </c>
      <c r="AT263" s="28">
        <v>0.84331797235023043</v>
      </c>
      <c r="AU263" s="28">
        <v>0</v>
      </c>
      <c r="AV263" s="28">
        <v>0.33660714285714288</v>
      </c>
      <c r="AW263" s="28">
        <v>0.5</v>
      </c>
      <c r="AX263" s="28">
        <v>0.16339285714285709</v>
      </c>
      <c r="AY263" s="28">
        <v>0</v>
      </c>
      <c r="AZ263" s="25">
        <v>1.1000000000000001</v>
      </c>
      <c r="BA263" s="25">
        <v>3.44</v>
      </c>
      <c r="BB263" s="25">
        <v>2.34</v>
      </c>
      <c r="BC263" s="25">
        <v>2.7957603686635939</v>
      </c>
      <c r="BD263">
        <v>2.7957603686635939</v>
      </c>
      <c r="BE263">
        <v>6.4177735234906308</v>
      </c>
    </row>
    <row r="264" spans="1:57" x14ac:dyDescent="0.3">
      <c r="A264" s="2" t="s">
        <v>22</v>
      </c>
      <c r="B264" s="17" t="s">
        <v>876</v>
      </c>
      <c r="C264" s="13"/>
      <c r="D264" s="2"/>
      <c r="E264" s="2"/>
      <c r="F264" s="2">
        <v>2.74</v>
      </c>
      <c r="G264" s="2" t="s">
        <v>213</v>
      </c>
      <c r="H264" s="32" t="s">
        <v>541</v>
      </c>
      <c r="I264" s="1" t="s">
        <v>621</v>
      </c>
      <c r="K264" s="2"/>
      <c r="L264" s="2"/>
      <c r="M264" s="2"/>
      <c r="N264" s="23">
        <v>0</v>
      </c>
      <c r="O264" s="1">
        <v>5.4960000000000004</v>
      </c>
      <c r="P264" s="1">
        <v>5.4960000000000004</v>
      </c>
      <c r="Q264" s="1">
        <v>25.55</v>
      </c>
      <c r="R264" s="1" t="s">
        <v>450</v>
      </c>
      <c r="S264" s="2"/>
      <c r="T264" s="23">
        <v>0</v>
      </c>
      <c r="U264" s="23"/>
      <c r="V264" s="23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O264">
        <v>18</v>
      </c>
      <c r="AP264" s="21">
        <v>0</v>
      </c>
      <c r="AQ264" s="21"/>
      <c r="AR264" s="28">
        <v>1.871428571428571</v>
      </c>
      <c r="AS264" s="28">
        <v>3.1428571428571428</v>
      </c>
      <c r="AT264" s="28">
        <v>2.714285714285714</v>
      </c>
      <c r="AU264" s="28">
        <v>3.2</v>
      </c>
      <c r="AV264" s="28">
        <v>0.17124183006535951</v>
      </c>
      <c r="AW264" s="28">
        <v>0.28758169934640521</v>
      </c>
      <c r="AX264" s="28">
        <v>0.2483660130718954</v>
      </c>
      <c r="AY264" s="28">
        <v>0.29281045751633977</v>
      </c>
      <c r="AZ264" s="25">
        <v>1.6</v>
      </c>
      <c r="BA264" s="25">
        <v>3.44</v>
      </c>
      <c r="BB264" s="25">
        <v>1.84</v>
      </c>
      <c r="BC264" s="25">
        <v>2.9058571428571431</v>
      </c>
      <c r="BD264">
        <v>2.9058571428571431</v>
      </c>
      <c r="BE264">
        <v>6.2676757950000006</v>
      </c>
    </row>
    <row r="265" spans="1:57" x14ac:dyDescent="0.3">
      <c r="A265" s="2" t="s">
        <v>23</v>
      </c>
      <c r="B265" s="17" t="s">
        <v>877</v>
      </c>
      <c r="C265" s="13"/>
      <c r="D265" s="2"/>
      <c r="E265" s="2"/>
      <c r="F265" s="2">
        <v>2.74</v>
      </c>
      <c r="G265" s="2" t="s">
        <v>213</v>
      </c>
      <c r="H265" s="32" t="s">
        <v>541</v>
      </c>
      <c r="I265" s="1" t="s">
        <v>621</v>
      </c>
      <c r="K265" s="2"/>
      <c r="L265" s="2"/>
      <c r="M265" s="2"/>
      <c r="N265" s="23">
        <v>0</v>
      </c>
      <c r="O265" s="1">
        <v>5.4960000000000004</v>
      </c>
      <c r="P265" s="1">
        <v>5.4960000000000004</v>
      </c>
      <c r="Q265" s="1">
        <v>25.55</v>
      </c>
      <c r="R265" s="1" t="s">
        <v>450</v>
      </c>
      <c r="S265" s="2"/>
      <c r="T265" s="23">
        <v>0</v>
      </c>
      <c r="U265" s="23"/>
      <c r="V265" s="23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O265">
        <v>18</v>
      </c>
      <c r="AP265" s="21">
        <v>0</v>
      </c>
      <c r="AQ265" s="21"/>
      <c r="AR265" s="28">
        <v>1.8678571428571431</v>
      </c>
      <c r="AS265" s="28">
        <v>3.1428571428571428</v>
      </c>
      <c r="AT265" s="28">
        <v>2.714285714285714</v>
      </c>
      <c r="AU265" s="28">
        <v>3.15</v>
      </c>
      <c r="AV265" s="28">
        <v>0.1717569786535304</v>
      </c>
      <c r="AW265" s="28">
        <v>0.28899835796387519</v>
      </c>
      <c r="AX265" s="28">
        <v>0.24958949096880129</v>
      </c>
      <c r="AY265" s="28">
        <v>0.28965517241379313</v>
      </c>
      <c r="AZ265" s="25">
        <v>1.6</v>
      </c>
      <c r="BA265" s="25">
        <v>3.44</v>
      </c>
      <c r="BB265" s="25">
        <v>1.84</v>
      </c>
      <c r="BC265" s="25">
        <v>2.903142857142857</v>
      </c>
      <c r="BD265">
        <v>2.903142857142857</v>
      </c>
      <c r="BE265">
        <v>6.2658828646428582</v>
      </c>
    </row>
    <row r="266" spans="1:57" x14ac:dyDescent="0.3">
      <c r="A266" s="2" t="s">
        <v>24</v>
      </c>
      <c r="B266" s="17" t="s">
        <v>878</v>
      </c>
      <c r="C266" s="13"/>
      <c r="D266" s="2"/>
      <c r="E266" s="2"/>
      <c r="F266" s="2">
        <v>2.75</v>
      </c>
      <c r="G266" s="2" t="s">
        <v>213</v>
      </c>
      <c r="H266" s="32" t="s">
        <v>541</v>
      </c>
      <c r="I266" s="1" t="s">
        <v>621</v>
      </c>
      <c r="K266" s="2"/>
      <c r="L266" s="2"/>
      <c r="M266" s="2"/>
      <c r="N266" s="23">
        <v>0</v>
      </c>
      <c r="O266" s="1">
        <v>5.4960000000000004</v>
      </c>
      <c r="P266" s="1">
        <v>5.4960000000000004</v>
      </c>
      <c r="Q266" s="1">
        <v>25.55</v>
      </c>
      <c r="R266" s="1" t="s">
        <v>450</v>
      </c>
      <c r="S266" s="2"/>
      <c r="T266" s="23">
        <v>0</v>
      </c>
      <c r="U266" s="23"/>
      <c r="V266" s="23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O266">
        <v>18</v>
      </c>
      <c r="AP266" s="21">
        <v>0</v>
      </c>
      <c r="AQ266" s="21"/>
      <c r="AR266" s="28">
        <v>1.8642857142857141</v>
      </c>
      <c r="AS266" s="28">
        <v>3.1428571428571428</v>
      </c>
      <c r="AT266" s="28">
        <v>2.714285714285714</v>
      </c>
      <c r="AU266" s="28">
        <v>3.1</v>
      </c>
      <c r="AV266" s="28">
        <v>0.17227722772277229</v>
      </c>
      <c r="AW266" s="28">
        <v>0.29042904290429039</v>
      </c>
      <c r="AX266" s="28">
        <v>0.25082508250825092</v>
      </c>
      <c r="AY266" s="28">
        <v>0.28646864686468648</v>
      </c>
      <c r="AZ266" s="25">
        <v>1.6</v>
      </c>
      <c r="BA266" s="25">
        <v>3.44</v>
      </c>
      <c r="BB266" s="25">
        <v>1.84</v>
      </c>
      <c r="BC266" s="25">
        <v>2.9004285714285709</v>
      </c>
      <c r="BD266">
        <v>2.9004285714285718</v>
      </c>
      <c r="BE266">
        <v>6.2640899342857157</v>
      </c>
    </row>
    <row r="267" spans="1:57" x14ac:dyDescent="0.3">
      <c r="A267" s="2" t="s">
        <v>25</v>
      </c>
      <c r="B267" s="13" t="s">
        <v>708</v>
      </c>
      <c r="C267" s="13"/>
      <c r="D267" s="2"/>
      <c r="E267" s="2"/>
      <c r="F267" s="2">
        <v>2.88</v>
      </c>
      <c r="G267" s="2" t="s">
        <v>213</v>
      </c>
      <c r="H267" s="9" t="s">
        <v>541</v>
      </c>
      <c r="I267" t="s">
        <v>621</v>
      </c>
      <c r="K267" s="2"/>
      <c r="L267" s="2"/>
      <c r="M267" s="2"/>
      <c r="N267" s="23">
        <v>1</v>
      </c>
      <c r="O267" s="2">
        <v>5.4960000000000004</v>
      </c>
      <c r="P267" s="2">
        <v>5.4960000000000004</v>
      </c>
      <c r="Q267" s="2">
        <v>25.55</v>
      </c>
      <c r="R267" s="2" t="s">
        <v>450</v>
      </c>
      <c r="S267" s="2"/>
      <c r="T267" s="23">
        <v>12.868820120000001</v>
      </c>
      <c r="U267" s="23">
        <v>12.868820120000001</v>
      </c>
      <c r="V267" s="23">
        <v>12.868820120000001</v>
      </c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O267">
        <v>18</v>
      </c>
      <c r="AP267" s="21">
        <v>197.4403766939285</v>
      </c>
      <c r="AQ267" s="21">
        <v>9.1166762854710051E-2</v>
      </c>
      <c r="AR267" s="28">
        <v>1.857142857142857</v>
      </c>
      <c r="AS267" s="28">
        <v>3.1428571428571428</v>
      </c>
      <c r="AT267" s="28">
        <v>2.714285714285714</v>
      </c>
      <c r="AU267" s="28">
        <v>3</v>
      </c>
      <c r="AV267" s="28">
        <v>0.17333333333333331</v>
      </c>
      <c r="AW267" s="28">
        <v>0.29333333333333328</v>
      </c>
      <c r="AX267" s="28">
        <v>0.25333333333333341</v>
      </c>
      <c r="AY267" s="28">
        <v>0.28000000000000003</v>
      </c>
      <c r="AZ267" s="25">
        <v>1.6</v>
      </c>
      <c r="BA267" s="25">
        <v>3.44</v>
      </c>
      <c r="BB267" s="25">
        <v>1.84</v>
      </c>
      <c r="BC267" s="25">
        <v>2.895</v>
      </c>
      <c r="BD267">
        <v>2.895</v>
      </c>
      <c r="BE267">
        <v>6.260504073571429</v>
      </c>
    </row>
    <row r="268" spans="1:57" x14ac:dyDescent="0.3">
      <c r="A268" s="2" t="s">
        <v>26</v>
      </c>
      <c r="B268" s="17" t="s">
        <v>879</v>
      </c>
      <c r="C268" s="13"/>
      <c r="D268" s="2"/>
      <c r="E268" s="2"/>
      <c r="F268" s="2">
        <v>2.91</v>
      </c>
      <c r="G268" s="2" t="s">
        <v>213</v>
      </c>
      <c r="H268" s="32" t="s">
        <v>541</v>
      </c>
      <c r="I268" s="1" t="s">
        <v>621</v>
      </c>
      <c r="J268" s="1"/>
      <c r="K268" s="1"/>
      <c r="L268" s="1"/>
      <c r="M268" s="1"/>
      <c r="N268" s="36">
        <v>0</v>
      </c>
      <c r="O268" s="1">
        <v>5.4960000000000004</v>
      </c>
      <c r="P268" s="1">
        <v>5.4960000000000004</v>
      </c>
      <c r="Q268" s="1">
        <v>25.55</v>
      </c>
      <c r="R268" s="1" t="s">
        <v>450</v>
      </c>
      <c r="S268" s="2"/>
      <c r="T268" s="23">
        <v>0</v>
      </c>
      <c r="U268" s="23"/>
      <c r="V268" s="23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O268">
        <v>18</v>
      </c>
      <c r="AP268" s="21">
        <v>0</v>
      </c>
      <c r="AQ268" s="21"/>
      <c r="AR268" s="28">
        <v>1.8642857142857141</v>
      </c>
      <c r="AS268" s="28">
        <v>3.1428571428571428</v>
      </c>
      <c r="AT268" s="28">
        <v>2.7</v>
      </c>
      <c r="AU268" s="28">
        <v>3</v>
      </c>
      <c r="AV268" s="28">
        <v>0.1741160773849233</v>
      </c>
      <c r="AW268" s="28">
        <v>0.29352901934623082</v>
      </c>
      <c r="AX268" s="28">
        <v>0.25216811207471651</v>
      </c>
      <c r="AY268" s="28">
        <v>0.28018679119412943</v>
      </c>
      <c r="AZ268" s="25">
        <v>1.54</v>
      </c>
      <c r="BA268" s="25">
        <v>3.44</v>
      </c>
      <c r="BB268" s="25">
        <v>1.9</v>
      </c>
      <c r="BC268" s="25">
        <v>2.894571428571429</v>
      </c>
      <c r="BD268">
        <v>2.894571428571429</v>
      </c>
      <c r="BE268">
        <v>6.2577448164285716</v>
      </c>
    </row>
    <row r="269" spans="1:57" x14ac:dyDescent="0.3">
      <c r="A269" s="2" t="s">
        <v>107</v>
      </c>
      <c r="B269" s="13" t="s">
        <v>727</v>
      </c>
      <c r="C269" s="13"/>
      <c r="D269" s="2"/>
      <c r="E269" s="2"/>
      <c r="F269" s="2">
        <v>3.08</v>
      </c>
      <c r="G269" s="2" t="s">
        <v>214</v>
      </c>
      <c r="H269" s="9" t="s">
        <v>555</v>
      </c>
      <c r="I269" t="s">
        <v>632</v>
      </c>
      <c r="K269" s="2"/>
      <c r="L269" s="2"/>
      <c r="M269" s="2"/>
      <c r="N269" s="23">
        <v>1</v>
      </c>
      <c r="O269" s="2"/>
      <c r="P269" s="2"/>
      <c r="Q269" s="2"/>
      <c r="R269" s="2"/>
      <c r="S269" s="2"/>
      <c r="T269" s="23">
        <v>3.86469438</v>
      </c>
      <c r="U269" s="23">
        <v>3.86469438</v>
      </c>
      <c r="V269" s="23">
        <v>16.978874730000001</v>
      </c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O269">
        <v>24</v>
      </c>
      <c r="AP269" s="21">
        <v>251.01098912285789</v>
      </c>
      <c r="AQ269" s="21">
        <v>9.5613343797681868E-2</v>
      </c>
      <c r="AR269" s="28">
        <v>2</v>
      </c>
      <c r="AS269" s="28">
        <v>3.1578947368421049</v>
      </c>
      <c r="AT269" s="28">
        <v>2.4210526315789469</v>
      </c>
      <c r="AU269" s="28">
        <v>2.947368421052631</v>
      </c>
      <c r="AV269" s="28">
        <v>0.19</v>
      </c>
      <c r="AW269" s="28">
        <v>0.3</v>
      </c>
      <c r="AX269" s="28">
        <v>0.23</v>
      </c>
      <c r="AY269" s="28">
        <v>0.28000000000000003</v>
      </c>
      <c r="AZ269" s="25">
        <v>1.54</v>
      </c>
      <c r="BA269" s="25">
        <v>3.44</v>
      </c>
      <c r="BB269" s="25">
        <v>1.9</v>
      </c>
      <c r="BC269" s="25">
        <v>2.8410526315789468</v>
      </c>
      <c r="BD269">
        <v>2.8410526315789468</v>
      </c>
      <c r="BE269">
        <v>6.1729587136842099</v>
      </c>
    </row>
    <row r="270" spans="1:57" x14ac:dyDescent="0.3">
      <c r="A270" s="2" t="s">
        <v>215</v>
      </c>
      <c r="B270" s="13" t="s">
        <v>734</v>
      </c>
      <c r="C270" s="13"/>
      <c r="D270" s="2"/>
      <c r="E270" s="2"/>
      <c r="F270" s="2">
        <v>3.8</v>
      </c>
      <c r="G270" s="2" t="s">
        <v>216</v>
      </c>
      <c r="H270" s="9" t="s">
        <v>587</v>
      </c>
      <c r="I270" t="s">
        <v>636</v>
      </c>
      <c r="K270" s="2"/>
      <c r="L270" s="2"/>
      <c r="M270" s="2"/>
      <c r="N270" s="23">
        <v>1</v>
      </c>
      <c r="O270" s="2"/>
      <c r="P270" s="2"/>
      <c r="Q270" s="2"/>
      <c r="R270" s="2"/>
      <c r="S270" s="2"/>
      <c r="T270" s="23">
        <v>3.950634</v>
      </c>
      <c r="U270" s="23">
        <v>3.950634</v>
      </c>
      <c r="V270" s="23">
        <v>15.513552000000001</v>
      </c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O270">
        <v>20</v>
      </c>
      <c r="AP270" s="21">
        <v>242.1279024923125</v>
      </c>
      <c r="AQ270" s="21">
        <v>8.2600971611006269E-2</v>
      </c>
      <c r="AR270" s="28">
        <v>1.9375</v>
      </c>
      <c r="AS270" s="28">
        <v>2.5</v>
      </c>
      <c r="AT270" s="28">
        <v>0.5625</v>
      </c>
      <c r="AU270" s="28">
        <v>2.625</v>
      </c>
      <c r="AV270" s="28">
        <v>0.25409836065573771</v>
      </c>
      <c r="AW270" s="28">
        <v>0.32786885245901642</v>
      </c>
      <c r="AX270" s="28">
        <v>7.3770491803278687E-2</v>
      </c>
      <c r="AY270" s="28">
        <v>0.34426229508196721</v>
      </c>
      <c r="AZ270" s="25">
        <v>0.79</v>
      </c>
      <c r="BA270" s="25">
        <v>3.44</v>
      </c>
      <c r="BB270" s="25">
        <v>2.65</v>
      </c>
      <c r="BC270" s="25">
        <v>2.6056249999999999</v>
      </c>
      <c r="BD270">
        <v>2.6056249999999999</v>
      </c>
      <c r="BE270">
        <v>5.9703320286696879</v>
      </c>
    </row>
    <row r="271" spans="1:57" x14ac:dyDescent="0.3">
      <c r="A271" s="2" t="s">
        <v>215</v>
      </c>
      <c r="B271" s="13" t="s">
        <v>734</v>
      </c>
      <c r="C271" s="13"/>
      <c r="D271" s="2" t="s">
        <v>676</v>
      </c>
      <c r="E271" s="2">
        <v>0.44</v>
      </c>
      <c r="F271" s="2">
        <v>2</v>
      </c>
      <c r="G271" s="2" t="s">
        <v>216</v>
      </c>
      <c r="H271" s="9" t="s">
        <v>587</v>
      </c>
      <c r="I271" t="s">
        <v>636</v>
      </c>
      <c r="K271" s="2"/>
      <c r="L271" s="2"/>
      <c r="M271" s="2"/>
      <c r="N271" s="23">
        <v>1</v>
      </c>
      <c r="O271" s="2"/>
      <c r="P271" s="2"/>
      <c r="Q271" s="2"/>
      <c r="R271" s="2"/>
      <c r="S271" s="2"/>
      <c r="T271" s="23">
        <v>3.950634</v>
      </c>
      <c r="U271" s="23">
        <v>3.950634</v>
      </c>
      <c r="V271" s="23">
        <v>15.513552000000001</v>
      </c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O271">
        <v>20</v>
      </c>
      <c r="AP271" s="21">
        <v>242.1279024923125</v>
      </c>
      <c r="AQ271" s="21">
        <v>8.2600971611006269E-2</v>
      </c>
      <c r="AR271" s="28">
        <v>1.9375</v>
      </c>
      <c r="AS271" s="28">
        <v>2.5</v>
      </c>
      <c r="AT271" s="28">
        <v>0.5625</v>
      </c>
      <c r="AU271" s="28">
        <v>2.625</v>
      </c>
      <c r="AV271" s="28">
        <v>0.25409836065573771</v>
      </c>
      <c r="AW271" s="28">
        <v>0.32786885245901642</v>
      </c>
      <c r="AX271" s="28">
        <v>7.3770491803278687E-2</v>
      </c>
      <c r="AY271" s="28">
        <v>0.34426229508196721</v>
      </c>
      <c r="AZ271" s="25">
        <v>0.79</v>
      </c>
      <c r="BA271" s="25">
        <v>3.44</v>
      </c>
      <c r="BB271" s="25">
        <v>2.65</v>
      </c>
      <c r="BC271" s="25">
        <v>2.6056249999999999</v>
      </c>
      <c r="BD271">
        <v>2.6056249999999999</v>
      </c>
      <c r="BE271">
        <v>5.9703320286696879</v>
      </c>
    </row>
    <row r="272" spans="1:57" x14ac:dyDescent="0.3">
      <c r="A272" s="2" t="s">
        <v>217</v>
      </c>
      <c r="B272" s="13" t="s">
        <v>806</v>
      </c>
      <c r="C272" s="13"/>
      <c r="D272" s="2"/>
      <c r="E272" s="2"/>
      <c r="F272" s="2">
        <v>2.58</v>
      </c>
      <c r="G272" s="2" t="s">
        <v>218</v>
      </c>
      <c r="H272" s="9">
        <v>-1</v>
      </c>
      <c r="I272">
        <v>-1</v>
      </c>
      <c r="K272" s="2"/>
      <c r="L272" s="2"/>
      <c r="M272" s="2"/>
      <c r="N272" s="23">
        <v>0</v>
      </c>
      <c r="O272" s="2">
        <v>3.93</v>
      </c>
      <c r="P272" s="2">
        <v>3.93</v>
      </c>
      <c r="Q272" s="2">
        <v>15.3</v>
      </c>
      <c r="R272" s="2"/>
      <c r="S272" s="2"/>
      <c r="T272" s="23">
        <v>0</v>
      </c>
      <c r="U272" s="23"/>
      <c r="V272" s="23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O272">
        <v>20</v>
      </c>
      <c r="AP272" s="21">
        <v>0</v>
      </c>
      <c r="AQ272" s="21"/>
      <c r="AR272" s="28">
        <v>1.75</v>
      </c>
      <c r="AS272" s="28">
        <v>2.75</v>
      </c>
      <c r="AT272" s="28">
        <v>2</v>
      </c>
      <c r="AU272" s="28">
        <v>1.75</v>
      </c>
      <c r="AV272" s="28">
        <v>0.2121212121212121</v>
      </c>
      <c r="AW272" s="28">
        <v>0.33333333333333331</v>
      </c>
      <c r="AX272" s="28">
        <v>0.2424242424242424</v>
      </c>
      <c r="AY272" s="28">
        <v>0.2121212121212121</v>
      </c>
      <c r="AZ272" s="25">
        <v>1.6</v>
      </c>
      <c r="BA272" s="25">
        <v>3.44</v>
      </c>
      <c r="BB272" s="25">
        <v>1.84</v>
      </c>
      <c r="BC272" s="25">
        <v>2.8787500000000001</v>
      </c>
      <c r="BD272">
        <v>2.8787500000000001</v>
      </c>
      <c r="BE272">
        <v>6.3662565249906873</v>
      </c>
    </row>
    <row r="273" spans="1:57" x14ac:dyDescent="0.3">
      <c r="A273" s="2" t="s">
        <v>873</v>
      </c>
      <c r="B273" s="13" t="s">
        <v>874</v>
      </c>
      <c r="C273" s="13"/>
      <c r="D273" s="2"/>
      <c r="E273" s="2"/>
      <c r="F273" s="2">
        <v>2.29</v>
      </c>
      <c r="G273" s="2" t="s">
        <v>218</v>
      </c>
      <c r="H273" s="9">
        <v>-1</v>
      </c>
      <c r="I273">
        <v>-1</v>
      </c>
      <c r="K273" s="2"/>
      <c r="L273" s="2"/>
      <c r="M273" s="2"/>
      <c r="N273" s="23">
        <v>0</v>
      </c>
      <c r="O273" s="2">
        <v>3.93</v>
      </c>
      <c r="P273" s="2">
        <v>3.93</v>
      </c>
      <c r="Q273" s="2">
        <v>15.3</v>
      </c>
      <c r="R273" s="2"/>
      <c r="S273" s="2"/>
      <c r="T273" s="23">
        <v>0</v>
      </c>
      <c r="U273" s="23"/>
      <c r="V273" s="23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O273">
        <v>20</v>
      </c>
      <c r="AP273" s="21">
        <v>0</v>
      </c>
      <c r="AQ273" s="21"/>
      <c r="AR273" s="28">
        <v>1.714285714285714</v>
      </c>
      <c r="AS273" s="28">
        <v>2.6190476190476191</v>
      </c>
      <c r="AT273" s="28">
        <v>1.9285714285714279</v>
      </c>
      <c r="AU273" s="28">
        <v>1.666666666666667</v>
      </c>
      <c r="AV273" s="28">
        <v>0.2162162162162162</v>
      </c>
      <c r="AW273" s="28">
        <v>0.33033033033033038</v>
      </c>
      <c r="AX273" s="28">
        <v>0.2432432432432432</v>
      </c>
      <c r="AY273" s="28">
        <v>0.21021021021021019</v>
      </c>
      <c r="AZ273" s="25">
        <v>1.6</v>
      </c>
      <c r="BA273" s="25">
        <v>3.44</v>
      </c>
      <c r="BB273" s="25">
        <v>1.84</v>
      </c>
      <c r="BC273" s="25">
        <v>2.847857142857142</v>
      </c>
      <c r="BD273">
        <v>2.8478571428571429</v>
      </c>
      <c r="BE273">
        <v>6.402055730936417</v>
      </c>
    </row>
    <row r="274" spans="1:57" x14ac:dyDescent="0.3">
      <c r="A274" s="2" t="s">
        <v>220</v>
      </c>
      <c r="B274" s="13" t="s">
        <v>807</v>
      </c>
      <c r="C274" s="13"/>
      <c r="D274" s="2"/>
      <c r="E274" s="2"/>
      <c r="F274" s="2">
        <v>4.05</v>
      </c>
      <c r="G274" s="2" t="s">
        <v>219</v>
      </c>
      <c r="H274" s="9" t="s">
        <v>588</v>
      </c>
      <c r="I274" t="s">
        <v>661</v>
      </c>
      <c r="K274" s="2"/>
      <c r="L274" s="2"/>
      <c r="M274" s="2"/>
      <c r="N274" s="23">
        <v>1</v>
      </c>
      <c r="O274" s="2"/>
      <c r="P274" s="2"/>
      <c r="Q274" s="2"/>
      <c r="R274" s="2"/>
      <c r="S274" s="2"/>
      <c r="T274" s="23">
        <v>5.81978595</v>
      </c>
      <c r="U274" s="23">
        <v>5.81978595</v>
      </c>
      <c r="V274" s="23">
        <v>11.88463337</v>
      </c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O274">
        <v>30</v>
      </c>
      <c r="AP274" s="21">
        <v>348.60249769877402</v>
      </c>
      <c r="AQ274" s="21">
        <v>8.6057903193576313E-2</v>
      </c>
      <c r="AR274" s="28">
        <v>2</v>
      </c>
      <c r="AS274" s="28">
        <v>2.5</v>
      </c>
      <c r="AT274" s="28">
        <v>0.5</v>
      </c>
      <c r="AU274" s="28">
        <v>2.333333333333333</v>
      </c>
      <c r="AV274" s="28">
        <v>0.27272727272727282</v>
      </c>
      <c r="AW274" s="28">
        <v>0.34090909090909088</v>
      </c>
      <c r="AX274" s="28">
        <v>6.8181818181818191E-2</v>
      </c>
      <c r="AY274" s="28">
        <v>0.31818181818181818</v>
      </c>
      <c r="AZ274" s="25">
        <v>0.89</v>
      </c>
      <c r="BA274" s="25">
        <v>3.44</v>
      </c>
      <c r="BB274" s="25">
        <v>2.5499999999999998</v>
      </c>
      <c r="BC274" s="25">
        <v>2.5854166666666671</v>
      </c>
      <c r="BD274">
        <v>2.5854166666666671</v>
      </c>
      <c r="BE274">
        <v>5.9262421145833333</v>
      </c>
    </row>
    <row r="275" spans="1:57" x14ac:dyDescent="0.3">
      <c r="A275" s="2" t="s">
        <v>220</v>
      </c>
      <c r="B275" s="13" t="s">
        <v>807</v>
      </c>
      <c r="C275" s="13"/>
      <c r="D275" s="2" t="s">
        <v>676</v>
      </c>
      <c r="E275" s="2">
        <v>0.3</v>
      </c>
      <c r="F275" s="2">
        <v>1.75</v>
      </c>
      <c r="G275" s="2" t="s">
        <v>219</v>
      </c>
      <c r="H275" s="9" t="s">
        <v>588</v>
      </c>
      <c r="I275" t="s">
        <v>661</v>
      </c>
      <c r="K275" s="2"/>
      <c r="L275" s="2"/>
      <c r="M275" s="2"/>
      <c r="N275" s="23">
        <v>1</v>
      </c>
      <c r="O275" s="2"/>
      <c r="P275" s="2"/>
      <c r="Q275" s="2"/>
      <c r="R275" s="2"/>
      <c r="S275" s="2"/>
      <c r="T275" s="23">
        <v>5.81978595</v>
      </c>
      <c r="U275" s="23">
        <v>5.81978595</v>
      </c>
      <c r="V275" s="23">
        <v>11.88463337</v>
      </c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O275">
        <v>30</v>
      </c>
      <c r="AP275" s="21">
        <v>348.60249769877402</v>
      </c>
      <c r="AQ275" s="21">
        <v>8.6057903193576313E-2</v>
      </c>
      <c r="AR275" s="28">
        <v>2</v>
      </c>
      <c r="AS275" s="28">
        <v>2.5</v>
      </c>
      <c r="AT275" s="28">
        <v>0.5</v>
      </c>
      <c r="AU275" s="28">
        <v>2.333333333333333</v>
      </c>
      <c r="AV275" s="28">
        <v>0.27272727272727282</v>
      </c>
      <c r="AW275" s="28">
        <v>0.34090909090909088</v>
      </c>
      <c r="AX275" s="28">
        <v>6.8181818181818191E-2</v>
      </c>
      <c r="AY275" s="28">
        <v>0.31818181818181818</v>
      </c>
      <c r="AZ275" s="25">
        <v>0.89</v>
      </c>
      <c r="BA275" s="25">
        <v>3.44</v>
      </c>
      <c r="BB275" s="25">
        <v>2.5499999999999998</v>
      </c>
      <c r="BC275" s="25">
        <v>2.5854166666666671</v>
      </c>
      <c r="BD275">
        <v>2.5854166666666671</v>
      </c>
      <c r="BE275">
        <v>5.9262421145833333</v>
      </c>
    </row>
    <row r="276" spans="1:57" x14ac:dyDescent="0.3">
      <c r="A276" s="2" t="s">
        <v>221</v>
      </c>
      <c r="B276" s="13" t="s">
        <v>808</v>
      </c>
      <c r="C276" s="13"/>
      <c r="D276" s="2"/>
      <c r="E276" s="2"/>
      <c r="F276" s="2">
        <v>4.51</v>
      </c>
      <c r="G276" s="2" t="s">
        <v>222</v>
      </c>
      <c r="H276" s="9" t="s">
        <v>589</v>
      </c>
      <c r="I276">
        <v>-1</v>
      </c>
      <c r="K276" s="2"/>
      <c r="L276" s="2"/>
      <c r="M276" s="2"/>
      <c r="N276" s="23">
        <v>1</v>
      </c>
      <c r="O276" s="2"/>
      <c r="P276" s="2"/>
      <c r="Q276" s="2"/>
      <c r="R276" s="2"/>
      <c r="S276" s="2"/>
      <c r="T276" s="23">
        <v>5.6694849300000003</v>
      </c>
      <c r="U276" s="23">
        <v>5.6694842000000003</v>
      </c>
      <c r="V276" s="23">
        <v>11.54266629</v>
      </c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O276">
        <v>30</v>
      </c>
      <c r="AP276" s="21">
        <v>321.30962315738361</v>
      </c>
      <c r="AQ276" s="21">
        <v>9.3367885173191417E-2</v>
      </c>
      <c r="AR276" s="28">
        <v>2</v>
      </c>
      <c r="AS276" s="28">
        <v>2.5</v>
      </c>
      <c r="AT276" s="28">
        <v>0.5</v>
      </c>
      <c r="AU276" s="28">
        <v>2.333333333333333</v>
      </c>
      <c r="AV276" s="28">
        <v>0.27272727272727282</v>
      </c>
      <c r="AW276" s="28">
        <v>0.34090909090909088</v>
      </c>
      <c r="AX276" s="28">
        <v>6.8181818181818191E-2</v>
      </c>
      <c r="AY276" s="28">
        <v>0.31818181818181818</v>
      </c>
      <c r="AZ276" s="25">
        <v>0.95</v>
      </c>
      <c r="BA276" s="25">
        <v>3.44</v>
      </c>
      <c r="BB276" s="25">
        <v>2.4900000000000002</v>
      </c>
      <c r="BC276" s="25">
        <v>2.5979166666666669</v>
      </c>
      <c r="BD276">
        <v>2.597916666666666</v>
      </c>
      <c r="BE276">
        <v>5.966934078125</v>
      </c>
    </row>
    <row r="277" spans="1:57" x14ac:dyDescent="0.3">
      <c r="A277" s="2" t="s">
        <v>221</v>
      </c>
      <c r="B277" s="13" t="s">
        <v>808</v>
      </c>
      <c r="C277" s="13"/>
      <c r="D277" s="2" t="s">
        <v>676</v>
      </c>
      <c r="E277" s="2">
        <v>0.63</v>
      </c>
      <c r="F277" s="2">
        <v>2.2000000000000002</v>
      </c>
      <c r="G277" s="2" t="s">
        <v>222</v>
      </c>
      <c r="H277" s="9" t="s">
        <v>589</v>
      </c>
      <c r="I277">
        <v>-1</v>
      </c>
      <c r="K277" s="2"/>
      <c r="L277" s="2"/>
      <c r="M277" s="2"/>
      <c r="N277" s="23">
        <v>1</v>
      </c>
      <c r="O277" s="2"/>
      <c r="P277" s="2"/>
      <c r="Q277" s="2"/>
      <c r="R277" s="2"/>
      <c r="S277" s="2"/>
      <c r="T277" s="23">
        <v>5.6694849300000003</v>
      </c>
      <c r="U277" s="23">
        <v>5.6694842000000003</v>
      </c>
      <c r="V277" s="23">
        <v>11.54266629</v>
      </c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O277">
        <v>30</v>
      </c>
      <c r="AP277" s="21">
        <v>321.30962315738361</v>
      </c>
      <c r="AQ277" s="21">
        <v>9.3367885173191417E-2</v>
      </c>
      <c r="AR277" s="28">
        <v>2</v>
      </c>
      <c r="AS277" s="28">
        <v>2.5</v>
      </c>
      <c r="AT277" s="28">
        <v>0.5</v>
      </c>
      <c r="AU277" s="28">
        <v>2.333333333333333</v>
      </c>
      <c r="AV277" s="28">
        <v>0.27272727272727282</v>
      </c>
      <c r="AW277" s="28">
        <v>0.34090909090909088</v>
      </c>
      <c r="AX277" s="28">
        <v>6.8181818181818191E-2</v>
      </c>
      <c r="AY277" s="28">
        <v>0.31818181818181818</v>
      </c>
      <c r="AZ277" s="25">
        <v>0.95</v>
      </c>
      <c r="BA277" s="25">
        <v>3.44</v>
      </c>
      <c r="BB277" s="25">
        <v>2.4900000000000002</v>
      </c>
      <c r="BC277" s="25">
        <v>2.5979166666666669</v>
      </c>
      <c r="BD277">
        <v>2.597916666666666</v>
      </c>
      <c r="BE277">
        <v>5.966934078125</v>
      </c>
    </row>
    <row r="278" spans="1:57" x14ac:dyDescent="0.3">
      <c r="A278" s="2" t="s">
        <v>185</v>
      </c>
      <c r="B278" s="13" t="s">
        <v>729</v>
      </c>
      <c r="C278" s="13"/>
      <c r="D278" s="2"/>
      <c r="E278" s="2"/>
      <c r="F278" s="2">
        <v>4.2</v>
      </c>
      <c r="G278" s="2" t="s">
        <v>223</v>
      </c>
      <c r="H278" s="9" t="s">
        <v>556</v>
      </c>
      <c r="I278" t="s">
        <v>633</v>
      </c>
      <c r="K278" s="2"/>
      <c r="L278" s="2"/>
      <c r="M278" s="2"/>
      <c r="N278" s="23">
        <v>2</v>
      </c>
      <c r="O278" s="2"/>
      <c r="P278" s="2"/>
      <c r="Q278" s="2"/>
      <c r="R278" s="2"/>
      <c r="S278" s="2"/>
      <c r="T278" s="23">
        <v>13.81974189</v>
      </c>
      <c r="U278" s="23">
        <v>13.81974189</v>
      </c>
      <c r="V278" s="23">
        <v>5.7110870199999999</v>
      </c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O278">
        <v>14</v>
      </c>
      <c r="AP278" s="21">
        <v>309.44138863753989</v>
      </c>
      <c r="AQ278" s="21">
        <v>9.0485633235046756E-2</v>
      </c>
      <c r="AR278" s="28">
        <v>2</v>
      </c>
      <c r="AS278" s="28">
        <v>2.545454545454545</v>
      </c>
      <c r="AT278" s="28">
        <v>0.54545454545454541</v>
      </c>
      <c r="AU278" s="28">
        <v>2.545454545454545</v>
      </c>
      <c r="AV278" s="28">
        <v>0.26190476190476192</v>
      </c>
      <c r="AW278" s="28">
        <v>0.33333333333333331</v>
      </c>
      <c r="AX278" s="28">
        <v>7.1428571428571425E-2</v>
      </c>
      <c r="AY278" s="28">
        <v>0.33333333333333331</v>
      </c>
      <c r="AZ278" s="25">
        <v>0.95</v>
      </c>
      <c r="BA278" s="25">
        <v>3.44</v>
      </c>
      <c r="BB278" s="25">
        <v>2.4900000000000002</v>
      </c>
      <c r="BC278" s="25">
        <v>2.6345454545454539</v>
      </c>
      <c r="BD278">
        <v>2.6345454545454552</v>
      </c>
      <c r="BE278">
        <v>6.036062318181818</v>
      </c>
    </row>
    <row r="279" spans="1:57" x14ac:dyDescent="0.3">
      <c r="A279" s="2" t="s">
        <v>185</v>
      </c>
      <c r="B279" s="13" t="s">
        <v>729</v>
      </c>
      <c r="C279" s="13"/>
      <c r="D279" s="2" t="s">
        <v>676</v>
      </c>
      <c r="E279" s="2">
        <v>0.90500000000000003</v>
      </c>
      <c r="F279" s="2">
        <v>2.2999999999999998</v>
      </c>
      <c r="G279" s="2" t="s">
        <v>223</v>
      </c>
      <c r="H279" s="9" t="s">
        <v>556</v>
      </c>
      <c r="I279" t="s">
        <v>633</v>
      </c>
      <c r="K279" s="2"/>
      <c r="L279" s="2"/>
      <c r="M279" s="2"/>
      <c r="N279" s="23">
        <v>2</v>
      </c>
      <c r="O279" s="2"/>
      <c r="P279" s="2"/>
      <c r="Q279" s="2"/>
      <c r="R279" s="2"/>
      <c r="S279" s="2"/>
      <c r="T279" s="23">
        <v>13.81974189</v>
      </c>
      <c r="U279" s="23">
        <v>13.81974189</v>
      </c>
      <c r="V279" s="23">
        <v>5.7110870199999999</v>
      </c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O279">
        <v>14</v>
      </c>
      <c r="AP279" s="21">
        <v>309.44138863753989</v>
      </c>
      <c r="AQ279" s="21">
        <v>9.0485633235046756E-2</v>
      </c>
      <c r="AR279" s="28">
        <v>2</v>
      </c>
      <c r="AS279" s="28">
        <v>2.545454545454545</v>
      </c>
      <c r="AT279" s="28">
        <v>0.54545454545454541</v>
      </c>
      <c r="AU279" s="28">
        <v>2.545454545454545</v>
      </c>
      <c r="AV279" s="28">
        <v>0.26190476190476192</v>
      </c>
      <c r="AW279" s="28">
        <v>0.33333333333333331</v>
      </c>
      <c r="AX279" s="28">
        <v>7.1428571428571425E-2</v>
      </c>
      <c r="AY279" s="28">
        <v>0.33333333333333331</v>
      </c>
      <c r="AZ279" s="25">
        <v>0.95</v>
      </c>
      <c r="BA279" s="25">
        <v>3.44</v>
      </c>
      <c r="BB279" s="25">
        <v>2.4900000000000002</v>
      </c>
      <c r="BC279" s="25">
        <v>2.6345454545454539</v>
      </c>
      <c r="BD279">
        <v>2.6345454545454552</v>
      </c>
      <c r="BE279">
        <v>6.036062318181818</v>
      </c>
    </row>
    <row r="280" spans="1:57" x14ac:dyDescent="0.3">
      <c r="A280" s="2" t="s">
        <v>46</v>
      </c>
      <c r="B280" s="13" t="s">
        <v>722</v>
      </c>
      <c r="C280" s="13"/>
      <c r="D280" s="2"/>
      <c r="E280" s="2"/>
      <c r="F280" s="2">
        <v>3.82</v>
      </c>
      <c r="G280" s="2" t="s">
        <v>224</v>
      </c>
      <c r="H280" s="9" t="s">
        <v>551</v>
      </c>
      <c r="I280" t="s">
        <v>629</v>
      </c>
      <c r="K280" s="2"/>
      <c r="L280" s="2"/>
      <c r="M280" s="2"/>
      <c r="N280" s="23">
        <v>2</v>
      </c>
      <c r="O280" s="2"/>
      <c r="P280" s="2"/>
      <c r="Q280" s="2"/>
      <c r="R280" s="2"/>
      <c r="S280" s="2"/>
      <c r="T280" s="23">
        <v>7.41544296</v>
      </c>
      <c r="U280" s="23">
        <v>7.4154429599999991</v>
      </c>
      <c r="V280" s="23">
        <v>7.41544296</v>
      </c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O280">
        <v>14</v>
      </c>
      <c r="AP280" s="21">
        <v>288.33429290182369</v>
      </c>
      <c r="AQ280" s="21">
        <v>9.7109503410799117E-2</v>
      </c>
      <c r="AR280" s="28">
        <v>2</v>
      </c>
      <c r="AS280" s="28">
        <v>2.545454545454545</v>
      </c>
      <c r="AT280" s="28">
        <v>0.54545454545454541</v>
      </c>
      <c r="AU280" s="28">
        <v>0</v>
      </c>
      <c r="AV280" s="28">
        <v>0.39285714285714279</v>
      </c>
      <c r="AW280" s="28">
        <v>0.5</v>
      </c>
      <c r="AX280" s="28">
        <v>0.1071428571428571</v>
      </c>
      <c r="AY280" s="28">
        <v>0</v>
      </c>
      <c r="AZ280" s="25">
        <v>1.1000000000000001</v>
      </c>
      <c r="BA280" s="25">
        <v>3.44</v>
      </c>
      <c r="BB280" s="25">
        <v>2.34</v>
      </c>
      <c r="BC280" s="25">
        <v>2.669090909090909</v>
      </c>
      <c r="BD280">
        <v>2.669090909090909</v>
      </c>
      <c r="BE280">
        <v>5.9831974772727277</v>
      </c>
    </row>
    <row r="281" spans="1:57" x14ac:dyDescent="0.3">
      <c r="A281" s="2" t="s">
        <v>46</v>
      </c>
      <c r="B281" s="13" t="s">
        <v>722</v>
      </c>
      <c r="C281" s="13"/>
      <c r="D281" s="2"/>
      <c r="E281" s="2"/>
      <c r="F281" s="2">
        <v>3.82</v>
      </c>
      <c r="G281" s="2" t="s">
        <v>225</v>
      </c>
      <c r="H281" s="9" t="s">
        <v>551</v>
      </c>
      <c r="I281" t="s">
        <v>629</v>
      </c>
      <c r="K281" s="2"/>
      <c r="L281" s="2"/>
      <c r="M281" s="2"/>
      <c r="N281" s="23">
        <v>2</v>
      </c>
      <c r="O281" s="2"/>
      <c r="P281" s="2"/>
      <c r="Q281" s="2"/>
      <c r="R281" s="2"/>
      <c r="S281" s="2"/>
      <c r="T281" s="23">
        <v>7.41544296</v>
      </c>
      <c r="U281" s="23">
        <v>7.4154429599999991</v>
      </c>
      <c r="V281" s="23">
        <v>7.41544296</v>
      </c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O281">
        <v>14</v>
      </c>
      <c r="AP281" s="21">
        <v>288.33429290182369</v>
      </c>
      <c r="AQ281" s="21">
        <v>9.7109503410799117E-2</v>
      </c>
      <c r="AR281" s="28">
        <v>2</v>
      </c>
      <c r="AS281" s="28">
        <v>2.545454545454545</v>
      </c>
      <c r="AT281" s="28">
        <v>0.54545454545454541</v>
      </c>
      <c r="AU281" s="28">
        <v>0</v>
      </c>
      <c r="AV281" s="28">
        <v>0.39285714285714279</v>
      </c>
      <c r="AW281" s="28">
        <v>0.5</v>
      </c>
      <c r="AX281" s="28">
        <v>0.1071428571428571</v>
      </c>
      <c r="AY281" s="28">
        <v>0</v>
      </c>
      <c r="AZ281" s="25">
        <v>1.1000000000000001</v>
      </c>
      <c r="BA281" s="25">
        <v>3.44</v>
      </c>
      <c r="BB281" s="25">
        <v>2.34</v>
      </c>
      <c r="BC281" s="25">
        <v>2.669090909090909</v>
      </c>
      <c r="BD281">
        <v>2.669090909090909</v>
      </c>
      <c r="BE281">
        <v>5.9831974772727277</v>
      </c>
    </row>
    <row r="282" spans="1:57" x14ac:dyDescent="0.3">
      <c r="A282" s="2" t="s">
        <v>226</v>
      </c>
      <c r="B282" s="37" t="s">
        <v>938</v>
      </c>
      <c r="C282" s="13"/>
      <c r="D282" s="2"/>
      <c r="E282" s="2"/>
      <c r="F282" s="2">
        <v>2.6</v>
      </c>
      <c r="G282" s="2" t="s">
        <v>225</v>
      </c>
      <c r="H282" s="32" t="s">
        <v>551</v>
      </c>
      <c r="I282" s="1" t="s">
        <v>629</v>
      </c>
      <c r="K282" s="2"/>
      <c r="L282" s="2"/>
      <c r="M282" s="2"/>
      <c r="N282" s="23">
        <v>0</v>
      </c>
      <c r="O282" s="2">
        <v>-1</v>
      </c>
      <c r="P282" s="2"/>
      <c r="Q282" s="2"/>
      <c r="R282" s="2"/>
      <c r="S282" s="2"/>
      <c r="T282" s="23">
        <v>0</v>
      </c>
      <c r="U282" s="25"/>
      <c r="V282" s="25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O282">
        <v>14</v>
      </c>
      <c r="AP282" s="21">
        <v>0</v>
      </c>
      <c r="AQ282" s="25"/>
      <c r="AR282" s="28">
        <v>2</v>
      </c>
      <c r="AS282" s="28">
        <v>2.545454545454545</v>
      </c>
      <c r="AT282" s="28">
        <v>0.55454545454545456</v>
      </c>
      <c r="AU282" s="28">
        <v>0</v>
      </c>
      <c r="AV282" s="28">
        <v>0.39215686274509798</v>
      </c>
      <c r="AW282" s="28">
        <v>0.49910873440285197</v>
      </c>
      <c r="AX282" s="28">
        <v>0.1087344028520499</v>
      </c>
      <c r="AY282" s="28">
        <v>0</v>
      </c>
      <c r="AZ282" s="25">
        <v>1.1000000000000001</v>
      </c>
      <c r="BA282" s="25">
        <v>3.44</v>
      </c>
      <c r="BB282" s="25">
        <v>2.34</v>
      </c>
      <c r="BC282" s="25">
        <v>2.670418181818182</v>
      </c>
      <c r="BD282">
        <v>2.670418181818182</v>
      </c>
      <c r="BE282">
        <v>5.9849440756727272</v>
      </c>
    </row>
    <row r="283" spans="1:57" x14ac:dyDescent="0.3">
      <c r="A283" s="2" t="s">
        <v>227</v>
      </c>
      <c r="B283" s="17" t="s">
        <v>939</v>
      </c>
      <c r="C283" s="13"/>
      <c r="D283" s="2"/>
      <c r="E283" s="2"/>
      <c r="F283" s="2">
        <v>2.2000000000000002</v>
      </c>
      <c r="G283" s="2" t="s">
        <v>225</v>
      </c>
      <c r="H283" s="32" t="s">
        <v>551</v>
      </c>
      <c r="I283" s="1" t="s">
        <v>629</v>
      </c>
      <c r="K283" s="2"/>
      <c r="L283" s="2"/>
      <c r="M283" s="2"/>
      <c r="N283" s="23">
        <v>0</v>
      </c>
      <c r="O283" s="2">
        <v>-1</v>
      </c>
      <c r="P283" s="2"/>
      <c r="Q283" s="2"/>
      <c r="R283" s="2"/>
      <c r="S283" s="2"/>
      <c r="T283" s="23">
        <v>0</v>
      </c>
      <c r="U283" s="25"/>
      <c r="V283" s="25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O283">
        <v>14</v>
      </c>
      <c r="AP283" s="21">
        <v>0</v>
      </c>
      <c r="AQ283" s="25"/>
      <c r="AR283" s="28">
        <v>1.9981818181818181</v>
      </c>
      <c r="AS283" s="28">
        <v>2.545454545454545</v>
      </c>
      <c r="AT283" s="28">
        <v>0.55272727272727273</v>
      </c>
      <c r="AU283" s="28">
        <v>0</v>
      </c>
      <c r="AV283" s="28">
        <v>0.39207991437745271</v>
      </c>
      <c r="AW283" s="28">
        <v>0.49946485907955762</v>
      </c>
      <c r="AX283" s="28">
        <v>0.1084552265429897</v>
      </c>
      <c r="AY283" s="28">
        <v>0</v>
      </c>
      <c r="AZ283" s="25">
        <v>1.1000000000000001</v>
      </c>
      <c r="BA283" s="25">
        <v>3.44</v>
      </c>
      <c r="BB283" s="25">
        <v>2.34</v>
      </c>
      <c r="BC283" s="25">
        <v>2.670109090909091</v>
      </c>
      <c r="BD283">
        <v>2.670109090909091</v>
      </c>
      <c r="BE283">
        <v>5.9843864818181816</v>
      </c>
    </row>
    <row r="284" spans="1:57" x14ac:dyDescent="0.3">
      <c r="A284" s="2" t="s">
        <v>49</v>
      </c>
      <c r="B284" s="13" t="s">
        <v>725</v>
      </c>
      <c r="C284" s="13"/>
      <c r="D284" s="2"/>
      <c r="E284" s="2"/>
      <c r="F284" s="2">
        <v>4</v>
      </c>
      <c r="G284" s="2" t="s">
        <v>228</v>
      </c>
      <c r="H284" s="9" t="s">
        <v>553</v>
      </c>
      <c r="I284" t="s">
        <v>631</v>
      </c>
      <c r="K284" s="2"/>
      <c r="L284" s="2"/>
      <c r="M284" s="2"/>
      <c r="N284" s="23">
        <v>8</v>
      </c>
      <c r="O284" s="2"/>
      <c r="P284" s="2"/>
      <c r="Q284" s="2"/>
      <c r="R284" s="2"/>
      <c r="S284" s="2"/>
      <c r="T284" s="23">
        <v>5.8017180100000001</v>
      </c>
      <c r="U284" s="25">
        <v>7.9756520899999996</v>
      </c>
      <c r="V284" s="25">
        <v>27.352093400000001</v>
      </c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O284">
        <v>14</v>
      </c>
      <c r="AP284" s="21">
        <v>1265.6493143942739</v>
      </c>
      <c r="AQ284" s="25">
        <v>8.8492127105210025E-2</v>
      </c>
      <c r="AR284" s="28">
        <v>1.8181818181818179</v>
      </c>
      <c r="AS284" s="28">
        <v>2.545454545454545</v>
      </c>
      <c r="AT284" s="28">
        <v>0.72727272727272729</v>
      </c>
      <c r="AU284" s="28">
        <v>0</v>
      </c>
      <c r="AV284" s="28">
        <v>0.35714285714285721</v>
      </c>
      <c r="AW284" s="28">
        <v>0.5</v>
      </c>
      <c r="AX284" s="28">
        <v>0.1428571428571429</v>
      </c>
      <c r="AY284" s="28">
        <v>0</v>
      </c>
      <c r="AZ284" s="25">
        <v>0.95</v>
      </c>
      <c r="BA284" s="25">
        <v>3.44</v>
      </c>
      <c r="BB284" s="25">
        <v>2.4900000000000002</v>
      </c>
      <c r="BC284" s="25">
        <v>2.6527272727272719</v>
      </c>
      <c r="BD284">
        <v>2.6527272727272728</v>
      </c>
      <c r="BE284">
        <v>6.0182046818181814</v>
      </c>
    </row>
    <row r="285" spans="1:57" x14ac:dyDescent="0.3">
      <c r="A285" s="2" t="s">
        <v>46</v>
      </c>
      <c r="B285" s="13" t="s">
        <v>722</v>
      </c>
      <c r="C285" s="13"/>
      <c r="D285" s="2"/>
      <c r="E285" s="2"/>
      <c r="F285" s="2">
        <v>3.9</v>
      </c>
      <c r="G285" s="2" t="s">
        <v>229</v>
      </c>
      <c r="H285" s="12" t="s">
        <v>551</v>
      </c>
      <c r="I285" t="s">
        <v>629</v>
      </c>
      <c r="K285" s="2"/>
      <c r="L285" s="2"/>
      <c r="M285" s="2"/>
      <c r="N285" s="23">
        <v>2</v>
      </c>
      <c r="O285" s="2"/>
      <c r="P285" s="2"/>
      <c r="Q285" s="2"/>
      <c r="R285" s="2"/>
      <c r="S285" s="2"/>
      <c r="T285" s="23">
        <v>7.41544296</v>
      </c>
      <c r="U285" s="25">
        <v>7.4154429599999991</v>
      </c>
      <c r="V285" s="25">
        <v>7.41544296</v>
      </c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O285">
        <v>14</v>
      </c>
      <c r="AP285" s="21">
        <v>288.33429290182369</v>
      </c>
      <c r="AQ285" s="25">
        <v>9.7109503410799117E-2</v>
      </c>
      <c r="AR285" s="28">
        <v>2</v>
      </c>
      <c r="AS285" s="28">
        <v>2.545454545454545</v>
      </c>
      <c r="AT285" s="28">
        <v>0.54545454545454541</v>
      </c>
      <c r="AU285" s="28">
        <v>0</v>
      </c>
      <c r="AV285" s="28">
        <v>0.39285714285714279</v>
      </c>
      <c r="AW285" s="28">
        <v>0.5</v>
      </c>
      <c r="AX285" s="28">
        <v>0.1071428571428571</v>
      </c>
      <c r="AY285" s="28">
        <v>0</v>
      </c>
      <c r="AZ285" s="25">
        <v>1.1000000000000001</v>
      </c>
      <c r="BA285" s="25">
        <v>3.44</v>
      </c>
      <c r="BB285" s="25">
        <v>2.34</v>
      </c>
      <c r="BC285" s="25">
        <v>2.669090909090909</v>
      </c>
      <c r="BD285">
        <v>2.669090909090909</v>
      </c>
      <c r="BE285">
        <v>5.9831974772727277</v>
      </c>
    </row>
    <row r="286" spans="1:57" x14ac:dyDescent="0.3">
      <c r="A286" s="2" t="s">
        <v>46</v>
      </c>
      <c r="B286" s="13" t="s">
        <v>722</v>
      </c>
      <c r="C286" s="13"/>
      <c r="D286" s="2" t="s">
        <v>890</v>
      </c>
      <c r="E286" s="2">
        <v>0.42</v>
      </c>
      <c r="F286" s="2">
        <v>3.78</v>
      </c>
      <c r="G286" s="2" t="s">
        <v>229</v>
      </c>
      <c r="H286" s="12" t="s">
        <v>551</v>
      </c>
      <c r="I286" t="s">
        <v>629</v>
      </c>
      <c r="K286" s="2"/>
      <c r="L286" s="2"/>
      <c r="M286" s="2"/>
      <c r="N286" s="23">
        <v>2</v>
      </c>
      <c r="O286" s="2"/>
      <c r="P286" s="2"/>
      <c r="Q286" s="2"/>
      <c r="R286" s="2"/>
      <c r="S286" s="2"/>
      <c r="T286" s="23">
        <v>7.41544296</v>
      </c>
      <c r="U286" s="25">
        <v>7.4154429599999991</v>
      </c>
      <c r="V286" s="25">
        <v>7.41544296</v>
      </c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O286">
        <v>14</v>
      </c>
      <c r="AP286" s="21">
        <v>288.33429290182369</v>
      </c>
      <c r="AQ286" s="25">
        <v>9.7109503410799117E-2</v>
      </c>
      <c r="AR286" s="28">
        <v>2</v>
      </c>
      <c r="AS286" s="28">
        <v>2.545454545454545</v>
      </c>
      <c r="AT286" s="28">
        <v>0.54545454545454541</v>
      </c>
      <c r="AU286" s="28">
        <v>0</v>
      </c>
      <c r="AV286" s="28">
        <v>0.39285714285714279</v>
      </c>
      <c r="AW286" s="28">
        <v>0.5</v>
      </c>
      <c r="AX286" s="28">
        <v>0.1071428571428571</v>
      </c>
      <c r="AY286" s="28">
        <v>0</v>
      </c>
      <c r="AZ286" s="25">
        <v>1.1000000000000001</v>
      </c>
      <c r="BA286" s="25">
        <v>3.44</v>
      </c>
      <c r="BB286" s="25">
        <v>2.34</v>
      </c>
      <c r="BC286" s="25">
        <v>2.669090909090909</v>
      </c>
      <c r="BD286">
        <v>2.669090909090909</v>
      </c>
      <c r="BE286">
        <v>5.9831974772727277</v>
      </c>
    </row>
    <row r="287" spans="1:57" x14ac:dyDescent="0.3">
      <c r="A287" s="2" t="s">
        <v>44</v>
      </c>
      <c r="B287" s="13" t="s">
        <v>720</v>
      </c>
      <c r="C287" s="13"/>
      <c r="D287" s="2"/>
      <c r="E287" s="2"/>
      <c r="F287" s="2">
        <v>3.5</v>
      </c>
      <c r="G287" s="7" t="s">
        <v>230</v>
      </c>
      <c r="H287" s="12" t="s">
        <v>549</v>
      </c>
      <c r="I287">
        <v>-1</v>
      </c>
      <c r="K287" s="7"/>
      <c r="L287" s="7"/>
      <c r="M287" s="7"/>
      <c r="N287" s="23">
        <v>1</v>
      </c>
      <c r="O287" s="2"/>
      <c r="P287" s="2"/>
      <c r="Q287" s="2"/>
      <c r="R287" s="2"/>
      <c r="S287" s="2"/>
      <c r="T287" s="23">
        <v>15.28115725</v>
      </c>
      <c r="U287" s="25">
        <v>15.28115725</v>
      </c>
      <c r="V287" s="25">
        <v>15.28115725</v>
      </c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O287">
        <v>20</v>
      </c>
      <c r="AP287" s="21">
        <v>229.90248606119221</v>
      </c>
      <c r="AQ287" s="25">
        <v>8.6993404650164072E-2</v>
      </c>
      <c r="AR287" s="28">
        <v>1.882352941176471</v>
      </c>
      <c r="AS287" s="28">
        <v>2.3529411764705879</v>
      </c>
      <c r="AT287" s="28">
        <v>0.47058823529411759</v>
      </c>
      <c r="AU287" s="28">
        <v>0</v>
      </c>
      <c r="AV287" s="28">
        <v>0.4</v>
      </c>
      <c r="AW287" s="28">
        <v>0.5</v>
      </c>
      <c r="AX287" s="28">
        <v>9.9999999999999992E-2</v>
      </c>
      <c r="AY287" s="28">
        <v>0</v>
      </c>
      <c r="AZ287" s="25">
        <v>0.82</v>
      </c>
      <c r="BA287" s="25">
        <v>3.44</v>
      </c>
      <c r="BB287" s="25">
        <v>2.62</v>
      </c>
      <c r="BC287" s="25">
        <v>2.5211764705882351</v>
      </c>
      <c r="BD287">
        <v>2.521176470588236</v>
      </c>
      <c r="BE287">
        <v>5.6898745917647062</v>
      </c>
    </row>
    <row r="288" spans="1:57" x14ac:dyDescent="0.3">
      <c r="A288" s="2" t="s">
        <v>44</v>
      </c>
      <c r="B288" s="13" t="s">
        <v>720</v>
      </c>
      <c r="C288" s="13"/>
      <c r="D288" s="2" t="s">
        <v>875</v>
      </c>
      <c r="E288" s="2" t="s">
        <v>1067</v>
      </c>
      <c r="F288" s="2">
        <v>3.06</v>
      </c>
      <c r="G288" s="7" t="s">
        <v>230</v>
      </c>
      <c r="H288" s="12" t="s">
        <v>549</v>
      </c>
      <c r="I288">
        <v>-1</v>
      </c>
      <c r="K288" s="7"/>
      <c r="L288" s="7"/>
      <c r="M288" s="7"/>
      <c r="N288" s="23">
        <v>1</v>
      </c>
      <c r="O288" s="2"/>
      <c r="P288" s="2"/>
      <c r="Q288" s="2"/>
      <c r="R288" s="2"/>
      <c r="S288" s="2"/>
      <c r="T288" s="23">
        <v>15.28115725</v>
      </c>
      <c r="U288" s="25">
        <v>15.28115725</v>
      </c>
      <c r="V288" s="25">
        <v>15.28115725</v>
      </c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O288">
        <v>20</v>
      </c>
      <c r="AP288" s="21">
        <v>229.90248606119221</v>
      </c>
      <c r="AQ288" s="25">
        <v>8.6993404650164072E-2</v>
      </c>
      <c r="AR288" s="28">
        <v>1.882352941176471</v>
      </c>
      <c r="AS288" s="28">
        <v>2.3529411764705879</v>
      </c>
      <c r="AT288" s="28">
        <v>0.47058823529411759</v>
      </c>
      <c r="AU288" s="28">
        <v>0</v>
      </c>
      <c r="AV288" s="28">
        <v>0.4</v>
      </c>
      <c r="AW288" s="28">
        <v>0.5</v>
      </c>
      <c r="AX288" s="28">
        <v>9.9999999999999992E-2</v>
      </c>
      <c r="AY288" s="28">
        <v>0</v>
      </c>
      <c r="AZ288" s="25">
        <v>0.82</v>
      </c>
      <c r="BA288" s="25">
        <v>3.44</v>
      </c>
      <c r="BB288" s="25">
        <v>2.62</v>
      </c>
      <c r="BC288" s="25">
        <v>2.5211764705882351</v>
      </c>
      <c r="BD288">
        <v>2.521176470588236</v>
      </c>
      <c r="BE288">
        <v>5.6898745917647062</v>
      </c>
    </row>
    <row r="289" spans="1:57" x14ac:dyDescent="0.3">
      <c r="A289" s="2" t="s">
        <v>8</v>
      </c>
      <c r="B289" s="13" t="s">
        <v>694</v>
      </c>
      <c r="C289" s="13"/>
      <c r="D289" s="2"/>
      <c r="E289" s="2"/>
      <c r="F289" s="2">
        <v>3.26</v>
      </c>
      <c r="G289" s="2" t="s">
        <v>231</v>
      </c>
      <c r="H289" s="9" t="s">
        <v>530</v>
      </c>
      <c r="I289" t="s">
        <v>612</v>
      </c>
      <c r="K289" s="2"/>
      <c r="L289" s="2"/>
      <c r="M289" s="2"/>
      <c r="N289" s="23">
        <v>30</v>
      </c>
      <c r="O289" s="2"/>
      <c r="P289" s="2"/>
      <c r="Q289" s="2"/>
      <c r="R289" s="2"/>
      <c r="S289" s="2"/>
      <c r="T289" s="23">
        <v>10.59112378</v>
      </c>
      <c r="U289" s="25">
        <v>10.784736629999999</v>
      </c>
      <c r="V289" s="25">
        <v>10.486176179999999</v>
      </c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O289">
        <v>4</v>
      </c>
      <c r="AP289" s="21">
        <v>1182.741260108548</v>
      </c>
      <c r="AQ289" s="25">
        <v>0.1014592151701775</v>
      </c>
      <c r="AR289" s="28">
        <v>2</v>
      </c>
      <c r="AS289" s="28">
        <v>2.666666666666667</v>
      </c>
      <c r="AT289" s="28">
        <v>0.66666666666666663</v>
      </c>
      <c r="AU289" s="28">
        <v>0</v>
      </c>
      <c r="AV289" s="28">
        <v>0.375</v>
      </c>
      <c r="AW289" s="28">
        <v>0.5</v>
      </c>
      <c r="AX289" s="28">
        <v>0.125</v>
      </c>
      <c r="AY289" s="28">
        <v>0</v>
      </c>
      <c r="AZ289" s="25">
        <v>1.54</v>
      </c>
      <c r="BA289" s="25">
        <v>3.44</v>
      </c>
      <c r="BB289" s="25">
        <v>1.9</v>
      </c>
      <c r="BC289" s="25">
        <v>2.8066666666666671</v>
      </c>
      <c r="BD289">
        <v>2.8066666666666662</v>
      </c>
      <c r="BE289">
        <v>6.1769976</v>
      </c>
    </row>
    <row r="290" spans="1:57" x14ac:dyDescent="0.3">
      <c r="A290" s="2" t="s">
        <v>153</v>
      </c>
      <c r="B290" s="13" t="s">
        <v>775</v>
      </c>
      <c r="C290" s="13"/>
      <c r="D290" s="2"/>
      <c r="E290" s="2"/>
      <c r="F290" s="2">
        <v>3.1</v>
      </c>
      <c r="G290" s="2" t="s">
        <v>231</v>
      </c>
      <c r="H290" s="9" t="s">
        <v>578</v>
      </c>
      <c r="I290">
        <v>-1</v>
      </c>
      <c r="K290" s="2"/>
      <c r="L290" s="2"/>
      <c r="M290" s="2"/>
      <c r="N290" s="23">
        <v>1</v>
      </c>
      <c r="O290" s="2"/>
      <c r="P290" s="2"/>
      <c r="Q290" s="2"/>
      <c r="R290" s="2"/>
      <c r="S290" s="2"/>
      <c r="T290" s="23">
        <v>3.9263319999999999</v>
      </c>
      <c r="U290" s="23">
        <v>3.9263319999999999</v>
      </c>
      <c r="V290" s="23">
        <v>10.74639</v>
      </c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O290">
        <v>14</v>
      </c>
      <c r="AP290" s="21">
        <v>165.66723991337099</v>
      </c>
      <c r="AQ290" s="21">
        <v>8.4506749839743392E-2</v>
      </c>
      <c r="AR290" s="28">
        <v>1.7272727272727271</v>
      </c>
      <c r="AS290" s="28">
        <v>2.545454545454545</v>
      </c>
      <c r="AT290" s="28">
        <v>0.81818181818181823</v>
      </c>
      <c r="AU290" s="28">
        <v>0</v>
      </c>
      <c r="AV290" s="28">
        <v>0.3392857142857143</v>
      </c>
      <c r="AW290" s="28">
        <v>0.5</v>
      </c>
      <c r="AX290" s="28">
        <v>0.1607142857142857</v>
      </c>
      <c r="AY290" s="28">
        <v>0</v>
      </c>
      <c r="AZ290" s="25">
        <v>1.1000000000000001</v>
      </c>
      <c r="BA290" s="25">
        <v>3.44</v>
      </c>
      <c r="BB290" s="25">
        <v>2.34</v>
      </c>
      <c r="BC290" s="25">
        <v>2.78</v>
      </c>
      <c r="BD290">
        <v>2.78</v>
      </c>
      <c r="BE290">
        <v>6.4270052227137269</v>
      </c>
    </row>
    <row r="291" spans="1:57" x14ac:dyDescent="0.3">
      <c r="A291" s="2" t="s">
        <v>153</v>
      </c>
      <c r="B291" s="13" t="s">
        <v>775</v>
      </c>
      <c r="C291" s="13"/>
      <c r="D291" s="2" t="s">
        <v>863</v>
      </c>
      <c r="E291" s="2">
        <v>0.8</v>
      </c>
      <c r="F291" s="2">
        <v>3.1</v>
      </c>
      <c r="G291" s="2" t="s">
        <v>231</v>
      </c>
      <c r="H291" s="9" t="s">
        <v>578</v>
      </c>
      <c r="I291">
        <v>-1</v>
      </c>
      <c r="K291" s="2"/>
      <c r="L291" s="2"/>
      <c r="M291" s="2"/>
      <c r="N291" s="23">
        <v>1</v>
      </c>
      <c r="O291" s="2"/>
      <c r="P291" s="2"/>
      <c r="Q291" s="2"/>
      <c r="R291" s="2"/>
      <c r="S291" s="2"/>
      <c r="T291" s="23">
        <v>3.9263319999999999</v>
      </c>
      <c r="U291" s="23">
        <v>3.9263319999999999</v>
      </c>
      <c r="V291" s="23">
        <v>10.74639</v>
      </c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O291">
        <v>14</v>
      </c>
      <c r="AP291" s="21">
        <v>165.66723991337099</v>
      </c>
      <c r="AQ291" s="21">
        <v>8.4506749839743392E-2</v>
      </c>
      <c r="AR291" s="28">
        <v>1.7272727272727271</v>
      </c>
      <c r="AS291" s="28">
        <v>2.545454545454545</v>
      </c>
      <c r="AT291" s="28">
        <v>0.81818181818181823</v>
      </c>
      <c r="AU291" s="28">
        <v>0</v>
      </c>
      <c r="AV291" s="28">
        <v>0.3392857142857143</v>
      </c>
      <c r="AW291" s="28">
        <v>0.5</v>
      </c>
      <c r="AX291" s="28">
        <v>0.1607142857142857</v>
      </c>
      <c r="AY291" s="28">
        <v>0</v>
      </c>
      <c r="AZ291" s="25">
        <v>1.1000000000000001</v>
      </c>
      <c r="BA291" s="25">
        <v>3.44</v>
      </c>
      <c r="BB291" s="25">
        <v>2.34</v>
      </c>
      <c r="BC291" s="25">
        <v>2.78</v>
      </c>
      <c r="BD291">
        <v>2.78</v>
      </c>
      <c r="BE291">
        <v>6.4270052227137269</v>
      </c>
    </row>
    <row r="292" spans="1:57" x14ac:dyDescent="0.3">
      <c r="A292" s="2" t="s">
        <v>153</v>
      </c>
      <c r="B292" s="13" t="s">
        <v>775</v>
      </c>
      <c r="C292" s="13"/>
      <c r="D292" s="2" t="s">
        <v>8</v>
      </c>
      <c r="E292" s="2">
        <v>4.3</v>
      </c>
      <c r="F292" s="2">
        <v>3.1</v>
      </c>
      <c r="G292" s="2" t="s">
        <v>231</v>
      </c>
      <c r="H292" s="9" t="s">
        <v>578</v>
      </c>
      <c r="I292">
        <v>-1</v>
      </c>
      <c r="K292" s="2"/>
      <c r="L292" s="2"/>
      <c r="M292" s="2"/>
      <c r="N292" s="23">
        <v>1</v>
      </c>
      <c r="O292" s="2"/>
      <c r="P292" s="2"/>
      <c r="Q292" s="2"/>
      <c r="R292" s="2"/>
      <c r="S292" s="2"/>
      <c r="T292" s="23">
        <v>3.9263319999999999</v>
      </c>
      <c r="U292" s="23">
        <v>3.9263319999999999</v>
      </c>
      <c r="V292" s="23">
        <v>10.74639</v>
      </c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O292">
        <v>14</v>
      </c>
      <c r="AP292" s="21">
        <v>165.66723991337099</v>
      </c>
      <c r="AQ292" s="21">
        <v>8.4506749839743392E-2</v>
      </c>
      <c r="AR292" s="28">
        <v>1.7272727272727271</v>
      </c>
      <c r="AS292" s="28">
        <v>2.545454545454545</v>
      </c>
      <c r="AT292" s="28">
        <v>0.81818181818181823</v>
      </c>
      <c r="AU292" s="28">
        <v>0</v>
      </c>
      <c r="AV292" s="28">
        <v>0.3392857142857143</v>
      </c>
      <c r="AW292" s="28">
        <v>0.5</v>
      </c>
      <c r="AX292" s="28">
        <v>0.1607142857142857</v>
      </c>
      <c r="AY292" s="28">
        <v>0</v>
      </c>
      <c r="AZ292" s="25">
        <v>1.1000000000000001</v>
      </c>
      <c r="BA292" s="25">
        <v>3.44</v>
      </c>
      <c r="BB292" s="25">
        <v>2.34</v>
      </c>
      <c r="BC292" s="25">
        <v>2.78</v>
      </c>
      <c r="BD292">
        <v>2.78</v>
      </c>
      <c r="BE292">
        <v>6.4270052227137269</v>
      </c>
    </row>
    <row r="293" spans="1:57" x14ac:dyDescent="0.3">
      <c r="A293" s="2" t="s">
        <v>63</v>
      </c>
      <c r="B293" s="13" t="s">
        <v>773</v>
      </c>
      <c r="C293" s="13"/>
      <c r="D293" s="2"/>
      <c r="E293" s="2"/>
      <c r="F293" s="2">
        <v>3.66</v>
      </c>
      <c r="G293" s="2" t="s">
        <v>233</v>
      </c>
      <c r="H293" s="9">
        <v>-1</v>
      </c>
      <c r="I293">
        <v>-1</v>
      </c>
      <c r="K293" s="2"/>
      <c r="L293" s="2"/>
      <c r="M293" s="2"/>
      <c r="N293" s="23">
        <v>0</v>
      </c>
      <c r="O293" s="2">
        <v>3.85</v>
      </c>
      <c r="P293" s="2">
        <v>3.85</v>
      </c>
      <c r="Q293" s="2">
        <v>14.379</v>
      </c>
      <c r="R293" s="2"/>
      <c r="S293" s="2"/>
      <c r="T293" s="23">
        <v>0</v>
      </c>
      <c r="U293" s="23"/>
      <c r="V293" s="23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O293">
        <v>20</v>
      </c>
      <c r="AP293" s="21">
        <v>0</v>
      </c>
      <c r="AQ293" s="21"/>
      <c r="AR293" s="28">
        <v>1.75</v>
      </c>
      <c r="AS293" s="28">
        <v>2.5</v>
      </c>
      <c r="AT293" s="28">
        <v>0.75</v>
      </c>
      <c r="AU293" s="28">
        <v>0</v>
      </c>
      <c r="AV293" s="28">
        <v>0.35</v>
      </c>
      <c r="AW293" s="28">
        <v>0.5</v>
      </c>
      <c r="AX293" s="28">
        <v>0.15</v>
      </c>
      <c r="AY293" s="28">
        <v>0</v>
      </c>
      <c r="AZ293" s="25">
        <v>1</v>
      </c>
      <c r="BA293" s="25">
        <v>3.44</v>
      </c>
      <c r="BB293" s="25">
        <v>2.44</v>
      </c>
      <c r="BC293" s="25">
        <v>2.7124999999999999</v>
      </c>
      <c r="BD293">
        <v>2.7124999999999999</v>
      </c>
      <c r="BE293">
        <v>6.264025610615688</v>
      </c>
    </row>
    <row r="294" spans="1:57" x14ac:dyDescent="0.3">
      <c r="A294" s="2" t="s">
        <v>232</v>
      </c>
      <c r="B294" s="13" t="s">
        <v>809</v>
      </c>
      <c r="C294" s="13"/>
      <c r="D294" s="2"/>
      <c r="E294" s="2"/>
      <c r="F294" s="2">
        <v>3.65</v>
      </c>
      <c r="G294" s="2" t="s">
        <v>233</v>
      </c>
      <c r="H294" s="9">
        <v>-1</v>
      </c>
      <c r="I294">
        <v>-1</v>
      </c>
      <c r="K294" s="2"/>
      <c r="L294" s="2"/>
      <c r="M294" s="2"/>
      <c r="N294" s="23">
        <v>0</v>
      </c>
      <c r="O294" s="1">
        <v>3.85</v>
      </c>
      <c r="P294" s="1">
        <v>3.85</v>
      </c>
      <c r="Q294" s="1">
        <v>14.379</v>
      </c>
      <c r="R294" s="2"/>
      <c r="S294" s="2"/>
      <c r="T294" s="23">
        <v>0</v>
      </c>
      <c r="U294" s="23"/>
      <c r="V294" s="23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O294">
        <v>20</v>
      </c>
      <c r="AP294" s="21">
        <v>0</v>
      </c>
      <c r="AQ294" s="21"/>
      <c r="AR294" s="28">
        <v>1.8125</v>
      </c>
      <c r="AS294" s="28">
        <v>2.5</v>
      </c>
      <c r="AT294" s="28">
        <v>0.6875</v>
      </c>
      <c r="AU294" s="28">
        <v>0.875</v>
      </c>
      <c r="AV294" s="28">
        <v>0.30851063829787229</v>
      </c>
      <c r="AW294" s="28">
        <v>0.42553191489361702</v>
      </c>
      <c r="AX294" s="28">
        <v>0.1170212765957447</v>
      </c>
      <c r="AY294" s="28">
        <v>0.14893617021276601</v>
      </c>
      <c r="AZ294" s="25">
        <v>1</v>
      </c>
      <c r="BA294" s="25">
        <v>3.44</v>
      </c>
      <c r="BB294" s="25">
        <v>2.44</v>
      </c>
      <c r="BC294" s="25">
        <v>2.7062499999999998</v>
      </c>
      <c r="BD294">
        <v>2.7062499999999998</v>
      </c>
      <c r="BE294">
        <v>6.2701641731156874</v>
      </c>
    </row>
    <row r="295" spans="1:57" x14ac:dyDescent="0.3">
      <c r="A295" s="2" t="s">
        <v>63</v>
      </c>
      <c r="B295" s="13" t="s">
        <v>773</v>
      </c>
      <c r="C295" s="13"/>
      <c r="D295" s="2" t="s">
        <v>887</v>
      </c>
      <c r="E295" s="2" t="s">
        <v>1067</v>
      </c>
      <c r="F295" s="2">
        <v>3.54</v>
      </c>
      <c r="G295" s="2" t="s">
        <v>233</v>
      </c>
      <c r="H295" s="9">
        <v>-1</v>
      </c>
      <c r="I295">
        <v>-1</v>
      </c>
      <c r="K295" s="2"/>
      <c r="L295" s="2"/>
      <c r="M295" s="2"/>
      <c r="N295" s="23">
        <v>0</v>
      </c>
      <c r="O295" s="1">
        <v>3.85</v>
      </c>
      <c r="P295" s="1">
        <v>3.85</v>
      </c>
      <c r="Q295" s="1">
        <v>14.379</v>
      </c>
      <c r="R295" s="2"/>
      <c r="S295" s="2"/>
      <c r="T295" s="23">
        <v>0</v>
      </c>
      <c r="U295" s="23"/>
      <c r="V295" s="23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O295">
        <v>20</v>
      </c>
      <c r="AP295" s="21">
        <v>0</v>
      </c>
      <c r="AQ295" s="21"/>
      <c r="AR295" s="28">
        <v>1.75</v>
      </c>
      <c r="AS295" s="28">
        <v>2.5</v>
      </c>
      <c r="AT295" s="28">
        <v>0.75</v>
      </c>
      <c r="AU295" s="28">
        <v>0</v>
      </c>
      <c r="AV295" s="28">
        <v>0.35</v>
      </c>
      <c r="AW295" s="28">
        <v>0.5</v>
      </c>
      <c r="AX295" s="28">
        <v>0.15</v>
      </c>
      <c r="AY295" s="28">
        <v>0</v>
      </c>
      <c r="AZ295" s="25">
        <v>1</v>
      </c>
      <c r="BA295" s="25">
        <v>3.44</v>
      </c>
      <c r="BB295" s="25">
        <v>2.44</v>
      </c>
      <c r="BC295" s="25">
        <v>2.7124999999999999</v>
      </c>
      <c r="BD295">
        <v>2.7124999999999999</v>
      </c>
      <c r="BE295">
        <v>6.264025610615688</v>
      </c>
    </row>
    <row r="296" spans="1:57" x14ac:dyDescent="0.3">
      <c r="A296" s="2" t="s">
        <v>232</v>
      </c>
      <c r="B296" s="13" t="s">
        <v>809</v>
      </c>
      <c r="C296" s="13"/>
      <c r="D296" s="2" t="s">
        <v>887</v>
      </c>
      <c r="E296" s="2" t="s">
        <v>1067</v>
      </c>
      <c r="F296" s="2">
        <v>3.54</v>
      </c>
      <c r="G296" s="2" t="s">
        <v>233</v>
      </c>
      <c r="H296" s="9">
        <v>-1</v>
      </c>
      <c r="I296">
        <v>-1</v>
      </c>
      <c r="K296" s="2"/>
      <c r="L296" s="2"/>
      <c r="M296" s="2"/>
      <c r="N296" s="23">
        <v>0</v>
      </c>
      <c r="O296" s="1">
        <v>3.85</v>
      </c>
      <c r="P296" s="1">
        <v>3.85</v>
      </c>
      <c r="Q296" s="1">
        <v>14.379</v>
      </c>
      <c r="R296" s="2"/>
      <c r="S296" s="2"/>
      <c r="T296" s="23">
        <v>0</v>
      </c>
      <c r="U296" s="23"/>
      <c r="V296" s="23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O296">
        <v>20</v>
      </c>
      <c r="AP296" s="21">
        <v>0</v>
      </c>
      <c r="AQ296" s="21"/>
      <c r="AR296" s="28">
        <v>1.8125</v>
      </c>
      <c r="AS296" s="28">
        <v>2.5</v>
      </c>
      <c r="AT296" s="28">
        <v>0.6875</v>
      </c>
      <c r="AU296" s="28">
        <v>0.875</v>
      </c>
      <c r="AV296" s="28">
        <v>0.30851063829787229</v>
      </c>
      <c r="AW296" s="28">
        <v>0.42553191489361702</v>
      </c>
      <c r="AX296" s="28">
        <v>0.1170212765957447</v>
      </c>
      <c r="AY296" s="28">
        <v>0.14893617021276601</v>
      </c>
      <c r="AZ296" s="25">
        <v>1</v>
      </c>
      <c r="BA296" s="25">
        <v>3.44</v>
      </c>
      <c r="BB296" s="25">
        <v>2.44</v>
      </c>
      <c r="BC296" s="25">
        <v>2.7062499999999998</v>
      </c>
      <c r="BD296">
        <v>2.7062499999999998</v>
      </c>
      <c r="BE296">
        <v>6.2701641731156874</v>
      </c>
    </row>
    <row r="297" spans="1:57" x14ac:dyDescent="0.3">
      <c r="A297" s="2" t="s">
        <v>46</v>
      </c>
      <c r="B297" s="13" t="s">
        <v>722</v>
      </c>
      <c r="C297" s="13"/>
      <c r="D297" s="2"/>
      <c r="E297" s="2"/>
      <c r="F297" s="2">
        <v>3.87</v>
      </c>
      <c r="G297" s="2" t="s">
        <v>234</v>
      </c>
      <c r="H297" s="9" t="s">
        <v>551</v>
      </c>
      <c r="I297" t="s">
        <v>629</v>
      </c>
      <c r="K297" s="2"/>
      <c r="L297" s="2"/>
      <c r="M297" s="2"/>
      <c r="N297" s="23">
        <v>2</v>
      </c>
      <c r="O297" s="2"/>
      <c r="P297" s="2"/>
      <c r="Q297" s="2"/>
      <c r="R297" s="2"/>
      <c r="S297" s="2"/>
      <c r="T297" s="23">
        <v>7.41544296</v>
      </c>
      <c r="U297" s="23">
        <v>7.4154429599999991</v>
      </c>
      <c r="V297" s="23">
        <v>7.41544296</v>
      </c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O297">
        <v>14</v>
      </c>
      <c r="AP297" s="21">
        <v>288.33429290182369</v>
      </c>
      <c r="AQ297" s="21">
        <v>9.7109503410799117E-2</v>
      </c>
      <c r="AR297" s="28">
        <v>2</v>
      </c>
      <c r="AS297" s="28">
        <v>2.545454545454545</v>
      </c>
      <c r="AT297" s="28">
        <v>0.54545454545454541</v>
      </c>
      <c r="AU297" s="28">
        <v>0</v>
      </c>
      <c r="AV297" s="28">
        <v>0.39285714285714279</v>
      </c>
      <c r="AW297" s="28">
        <v>0.5</v>
      </c>
      <c r="AX297" s="28">
        <v>0.1071428571428571</v>
      </c>
      <c r="AY297" s="28">
        <v>0</v>
      </c>
      <c r="AZ297" s="25">
        <v>1.1000000000000001</v>
      </c>
      <c r="BA297" s="25">
        <v>3.44</v>
      </c>
      <c r="BB297" s="25">
        <v>2.34</v>
      </c>
      <c r="BC297" s="25">
        <v>2.669090909090909</v>
      </c>
      <c r="BD297">
        <v>2.669090909090909</v>
      </c>
      <c r="BE297">
        <v>5.9831974772727277</v>
      </c>
    </row>
    <row r="298" spans="1:57" s="5" customFormat="1" x14ac:dyDescent="0.3">
      <c r="A298" s="5" t="s">
        <v>19</v>
      </c>
      <c r="B298" s="38" t="s">
        <v>705</v>
      </c>
      <c r="C298" s="39"/>
      <c r="F298" s="5">
        <v>3.53</v>
      </c>
      <c r="G298" s="5" t="s">
        <v>235</v>
      </c>
      <c r="H298" s="40">
        <v>-2</v>
      </c>
      <c r="I298" s="5" t="s">
        <v>1167</v>
      </c>
      <c r="L298" s="5" t="s">
        <v>1099</v>
      </c>
      <c r="N298" s="41">
        <v>0</v>
      </c>
      <c r="R298" s="5" t="s">
        <v>450</v>
      </c>
      <c r="T298" s="41">
        <v>0</v>
      </c>
      <c r="U298" s="41"/>
      <c r="V298" s="41"/>
      <c r="AO298" s="5">
        <v>18</v>
      </c>
      <c r="AP298" s="41">
        <v>0</v>
      </c>
      <c r="AQ298" s="41"/>
      <c r="AR298" s="5">
        <v>1.8666666666666669</v>
      </c>
      <c r="AS298" s="5">
        <v>2.8</v>
      </c>
      <c r="AT298" s="5">
        <v>1.8666666666666669</v>
      </c>
      <c r="AU298" s="5">
        <v>1.8666666666666669</v>
      </c>
      <c r="AV298" s="5">
        <v>0.22222222222222221</v>
      </c>
      <c r="AW298" s="5">
        <v>0.33333333333333331</v>
      </c>
      <c r="AX298" s="5">
        <v>0.22222222222222221</v>
      </c>
      <c r="AY298" s="5">
        <v>0.22222222222222221</v>
      </c>
      <c r="AZ298" s="41">
        <v>1</v>
      </c>
      <c r="BA298" s="41">
        <v>3.44</v>
      </c>
      <c r="BB298" s="41">
        <v>2.44</v>
      </c>
      <c r="BC298" s="41">
        <v>2.68</v>
      </c>
      <c r="BD298" s="5">
        <v>2.68</v>
      </c>
      <c r="BE298" s="5">
        <v>5.9932041966666656</v>
      </c>
    </row>
    <row r="299" spans="1:57" s="5" customFormat="1" x14ac:dyDescent="0.3">
      <c r="A299" s="5" t="s">
        <v>20</v>
      </c>
      <c r="B299" s="38" t="s">
        <v>706</v>
      </c>
      <c r="C299" s="39"/>
      <c r="F299" s="5">
        <v>3.42</v>
      </c>
      <c r="G299" s="5" t="s">
        <v>235</v>
      </c>
      <c r="H299" s="40">
        <v>-2</v>
      </c>
      <c r="I299" s="5" t="s">
        <v>1168</v>
      </c>
      <c r="L299" s="5" t="s">
        <v>1100</v>
      </c>
      <c r="N299" s="41">
        <v>0</v>
      </c>
      <c r="R299" s="5" t="s">
        <v>450</v>
      </c>
      <c r="T299" s="41">
        <v>0</v>
      </c>
      <c r="U299" s="41"/>
      <c r="V299" s="41"/>
      <c r="AO299" s="5">
        <v>18</v>
      </c>
      <c r="AP299" s="41">
        <v>0</v>
      </c>
      <c r="AQ299" s="41"/>
      <c r="AR299" s="5">
        <v>1.8666666666666669</v>
      </c>
      <c r="AS299" s="5">
        <v>2.8</v>
      </c>
      <c r="AT299" s="5">
        <v>1.8666666666666669</v>
      </c>
      <c r="AU299" s="5">
        <v>1.8666666666666669</v>
      </c>
      <c r="AV299" s="5">
        <v>0.22222222222222221</v>
      </c>
      <c r="AW299" s="5">
        <v>0.33333333333333331</v>
      </c>
      <c r="AX299" s="5">
        <v>0.22222222222222221</v>
      </c>
      <c r="AY299" s="5">
        <v>0.22222222222222221</v>
      </c>
      <c r="AZ299" s="41">
        <v>0.95</v>
      </c>
      <c r="BA299" s="41">
        <v>3.44</v>
      </c>
      <c r="BB299" s="41">
        <v>2.4900000000000002</v>
      </c>
      <c r="BC299" s="41">
        <v>2.6733333333333329</v>
      </c>
      <c r="BD299" s="5">
        <v>2.6733333333333329</v>
      </c>
      <c r="BE299" s="5">
        <v>5.9671526619999993</v>
      </c>
    </row>
    <row r="300" spans="1:57" s="5" customFormat="1" x14ac:dyDescent="0.3">
      <c r="A300" s="5" t="s">
        <v>21</v>
      </c>
      <c r="B300" s="38" t="s">
        <v>707</v>
      </c>
      <c r="C300" s="39"/>
      <c r="F300" s="5">
        <v>2.82</v>
      </c>
      <c r="G300" s="5" t="s">
        <v>235</v>
      </c>
      <c r="H300" s="40">
        <v>-2</v>
      </c>
      <c r="I300" s="5" t="s">
        <v>1169</v>
      </c>
      <c r="L300" s="5" t="s">
        <v>1098</v>
      </c>
      <c r="N300" s="41">
        <v>0</v>
      </c>
      <c r="R300" s="5" t="s">
        <v>440</v>
      </c>
      <c r="T300" s="41">
        <v>0</v>
      </c>
      <c r="U300" s="41"/>
      <c r="V300" s="41"/>
      <c r="AO300" s="5">
        <v>18</v>
      </c>
      <c r="AP300" s="41">
        <v>0</v>
      </c>
      <c r="AQ300" s="41"/>
      <c r="AR300" s="5">
        <v>1.8666666666666669</v>
      </c>
      <c r="AS300" s="5">
        <v>2.8</v>
      </c>
      <c r="AT300" s="5">
        <v>1.8666666666666669</v>
      </c>
      <c r="AU300" s="5">
        <v>1.8666666666666669</v>
      </c>
      <c r="AV300" s="5">
        <v>0.22222222222222221</v>
      </c>
      <c r="AW300" s="5">
        <v>0.33333333333333331</v>
      </c>
      <c r="AX300" s="5">
        <v>0.22222222222222221</v>
      </c>
      <c r="AY300" s="5">
        <v>0.22222222222222221</v>
      </c>
      <c r="AZ300" s="41">
        <v>0.89</v>
      </c>
      <c r="BA300" s="41">
        <v>3.44</v>
      </c>
      <c r="BB300" s="41">
        <v>2.5499999999999998</v>
      </c>
      <c r="BC300" s="41">
        <v>2.6653333333333342</v>
      </c>
      <c r="BD300" s="5">
        <v>2.6653333333333329</v>
      </c>
      <c r="BE300" s="5">
        <v>5.9411098053333333</v>
      </c>
    </row>
    <row r="301" spans="1:57" x14ac:dyDescent="0.3">
      <c r="A301" s="2" t="s">
        <v>19</v>
      </c>
      <c r="B301" s="37" t="s">
        <v>705</v>
      </c>
      <c r="C301" s="13"/>
      <c r="D301" s="2"/>
      <c r="E301" s="2"/>
      <c r="F301" s="2">
        <v>3.51</v>
      </c>
      <c r="G301" s="2" t="s">
        <v>235</v>
      </c>
      <c r="H301" s="9">
        <v>-1</v>
      </c>
      <c r="I301" t="s">
        <v>1167</v>
      </c>
      <c r="K301" s="2"/>
      <c r="L301" t="s">
        <v>1099</v>
      </c>
      <c r="M301" s="2"/>
      <c r="N301" s="23">
        <v>0</v>
      </c>
      <c r="O301" s="2"/>
      <c r="P301" s="2"/>
      <c r="Q301" s="2"/>
      <c r="R301" s="2" t="s">
        <v>450</v>
      </c>
      <c r="S301" s="2"/>
      <c r="T301" s="23">
        <v>0</v>
      </c>
      <c r="U301" s="23"/>
      <c r="V301" s="23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O301">
        <v>18</v>
      </c>
      <c r="AP301" s="21">
        <v>0</v>
      </c>
      <c r="AQ301" s="21"/>
      <c r="AR301" s="28">
        <v>1.8666666666666669</v>
      </c>
      <c r="AS301" s="28">
        <v>2.8</v>
      </c>
      <c r="AT301" s="28">
        <v>1.8666666666666669</v>
      </c>
      <c r="AU301" s="28">
        <v>1.8666666666666669</v>
      </c>
      <c r="AV301" s="28">
        <v>0.22222222222222221</v>
      </c>
      <c r="AW301" s="28">
        <v>0.33333333333333331</v>
      </c>
      <c r="AX301" s="28">
        <v>0.22222222222222221</v>
      </c>
      <c r="AY301" s="28">
        <v>0.22222222222222221</v>
      </c>
      <c r="AZ301" s="25">
        <v>1</v>
      </c>
      <c r="BA301" s="25">
        <v>3.44</v>
      </c>
      <c r="BB301" s="25">
        <v>2.44</v>
      </c>
      <c r="BC301" s="25">
        <v>2.68</v>
      </c>
      <c r="BD301">
        <v>2.68</v>
      </c>
      <c r="BE301">
        <v>5.9932041966666656</v>
      </c>
    </row>
    <row r="302" spans="1:57" x14ac:dyDescent="0.3">
      <c r="A302" s="2" t="s">
        <v>20</v>
      </c>
      <c r="B302" s="37" t="s">
        <v>706</v>
      </c>
      <c r="C302" s="13"/>
      <c r="D302" s="2"/>
      <c r="E302" s="2"/>
      <c r="F302" s="2">
        <v>3.48</v>
      </c>
      <c r="G302" s="2" t="s">
        <v>235</v>
      </c>
      <c r="H302" s="9">
        <v>-1</v>
      </c>
      <c r="I302" t="s">
        <v>1168</v>
      </c>
      <c r="K302" s="2"/>
      <c r="L302" t="s">
        <v>1100</v>
      </c>
      <c r="M302" s="2"/>
      <c r="N302" s="23">
        <v>0</v>
      </c>
      <c r="O302" s="2"/>
      <c r="P302" s="2"/>
      <c r="Q302" s="2"/>
      <c r="R302" s="2" t="s">
        <v>450</v>
      </c>
      <c r="S302" s="2"/>
      <c r="T302" s="23">
        <v>0</v>
      </c>
      <c r="U302" s="23"/>
      <c r="V302" s="23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O302">
        <v>18</v>
      </c>
      <c r="AP302" s="21">
        <v>0</v>
      </c>
      <c r="AQ302" s="21"/>
      <c r="AR302" s="28">
        <v>1.8666666666666669</v>
      </c>
      <c r="AS302" s="28">
        <v>2.8</v>
      </c>
      <c r="AT302" s="28">
        <v>1.8666666666666669</v>
      </c>
      <c r="AU302" s="28">
        <v>1.8666666666666669</v>
      </c>
      <c r="AV302" s="28">
        <v>0.22222222222222221</v>
      </c>
      <c r="AW302" s="28">
        <v>0.33333333333333331</v>
      </c>
      <c r="AX302" s="28">
        <v>0.22222222222222221</v>
      </c>
      <c r="AY302" s="28">
        <v>0.22222222222222221</v>
      </c>
      <c r="AZ302" s="25">
        <v>0.95</v>
      </c>
      <c r="BA302" s="25">
        <v>3.44</v>
      </c>
      <c r="BB302" s="25">
        <v>2.4900000000000002</v>
      </c>
      <c r="BC302" s="25">
        <v>2.6733333333333329</v>
      </c>
      <c r="BD302">
        <v>2.6733333333333329</v>
      </c>
      <c r="BE302">
        <v>5.9671526619999993</v>
      </c>
    </row>
    <row r="303" spans="1:57" x14ac:dyDescent="0.3">
      <c r="A303" s="2" t="s">
        <v>21</v>
      </c>
      <c r="B303" s="37" t="s">
        <v>707</v>
      </c>
      <c r="C303" s="13"/>
      <c r="D303" s="2"/>
      <c r="E303" s="2"/>
      <c r="F303" s="2">
        <v>3.08</v>
      </c>
      <c r="G303" s="2" t="s">
        <v>235</v>
      </c>
      <c r="H303" s="9">
        <v>-1</v>
      </c>
      <c r="I303" t="s">
        <v>1169</v>
      </c>
      <c r="K303" s="2"/>
      <c r="L303" t="s">
        <v>1098</v>
      </c>
      <c r="M303" s="2"/>
      <c r="N303" s="23">
        <v>0</v>
      </c>
      <c r="O303" s="2"/>
      <c r="P303" s="2"/>
      <c r="Q303" s="2"/>
      <c r="R303" s="2" t="s">
        <v>440</v>
      </c>
      <c r="S303" s="2"/>
      <c r="T303" s="23">
        <v>0</v>
      </c>
      <c r="U303" s="23"/>
      <c r="V303" s="23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O303">
        <v>18</v>
      </c>
      <c r="AP303" s="21">
        <v>0</v>
      </c>
      <c r="AQ303" s="21"/>
      <c r="AR303" s="28">
        <v>1.8666666666666669</v>
      </c>
      <c r="AS303" s="28">
        <v>2.8</v>
      </c>
      <c r="AT303" s="28">
        <v>1.8666666666666669</v>
      </c>
      <c r="AU303" s="28">
        <v>1.8666666666666669</v>
      </c>
      <c r="AV303" s="28">
        <v>0.22222222222222221</v>
      </c>
      <c r="AW303" s="28">
        <v>0.33333333333333331</v>
      </c>
      <c r="AX303" s="28">
        <v>0.22222222222222221</v>
      </c>
      <c r="AY303" s="28">
        <v>0.22222222222222221</v>
      </c>
      <c r="AZ303" s="25">
        <v>0.89</v>
      </c>
      <c r="BA303" s="25">
        <v>3.44</v>
      </c>
      <c r="BB303" s="25">
        <v>2.5499999999999998</v>
      </c>
      <c r="BC303" s="25">
        <v>2.6653333333333342</v>
      </c>
      <c r="BD303">
        <v>2.6653333333333329</v>
      </c>
      <c r="BE303">
        <v>5.9411098053333333</v>
      </c>
    </row>
    <row r="304" spans="1:57" x14ac:dyDescent="0.3">
      <c r="A304" s="2" t="s">
        <v>236</v>
      </c>
      <c r="B304" s="13" t="s">
        <v>810</v>
      </c>
      <c r="C304" s="13"/>
      <c r="D304" s="2"/>
      <c r="E304" s="2"/>
      <c r="F304" s="2">
        <v>4.5999999999999996</v>
      </c>
      <c r="G304" s="2" t="s">
        <v>238</v>
      </c>
      <c r="H304" s="9" t="s">
        <v>586</v>
      </c>
      <c r="I304" t="s">
        <v>662</v>
      </c>
      <c r="K304" s="2"/>
      <c r="L304" s="2"/>
      <c r="M304" s="2"/>
      <c r="N304" s="23">
        <v>8</v>
      </c>
      <c r="O304" s="2"/>
      <c r="P304" s="2"/>
      <c r="Q304" s="2"/>
      <c r="R304" s="2"/>
      <c r="S304" s="2"/>
      <c r="T304" s="23">
        <v>7.5714817599999993</v>
      </c>
      <c r="U304" s="23">
        <v>7.4441355800000002</v>
      </c>
      <c r="V304" s="23">
        <v>14.785262019999999</v>
      </c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O304">
        <v>12</v>
      </c>
      <c r="AP304" s="21">
        <v>583.54908217201648</v>
      </c>
      <c r="AQ304" s="21">
        <v>0.1645105834845636</v>
      </c>
      <c r="AR304" s="28">
        <v>1.8</v>
      </c>
      <c r="AS304" s="28">
        <v>2.4</v>
      </c>
      <c r="AT304" s="28">
        <v>0.6</v>
      </c>
      <c r="AU304" s="28">
        <v>2.8</v>
      </c>
      <c r="AV304" s="28">
        <v>0.23684210526315791</v>
      </c>
      <c r="AW304" s="28">
        <v>0.31578947368421051</v>
      </c>
      <c r="AX304" s="28">
        <v>7.8947368421052627E-2</v>
      </c>
      <c r="AY304" s="28">
        <v>0.36842105263157893</v>
      </c>
      <c r="AZ304" s="25">
        <v>0.93</v>
      </c>
      <c r="BA304" s="25">
        <v>3.44</v>
      </c>
      <c r="BB304" s="25">
        <v>2.5099999999999998</v>
      </c>
      <c r="BC304" s="25">
        <v>2.5499999999999998</v>
      </c>
      <c r="BD304">
        <v>2.5499999999999998</v>
      </c>
      <c r="BE304">
        <v>5.8797175109999991</v>
      </c>
    </row>
    <row r="305" spans="1:57" x14ac:dyDescent="0.3">
      <c r="A305" s="2" t="s">
        <v>237</v>
      </c>
      <c r="B305" s="13" t="s">
        <v>811</v>
      </c>
      <c r="C305" s="13"/>
      <c r="D305" s="2"/>
      <c r="E305" s="2"/>
      <c r="F305" s="2">
        <v>4.5</v>
      </c>
      <c r="G305" s="2" t="s">
        <v>238</v>
      </c>
      <c r="H305" s="9" t="s">
        <v>563</v>
      </c>
      <c r="I305">
        <v>-1</v>
      </c>
      <c r="K305" s="2"/>
      <c r="L305" s="2"/>
      <c r="M305" s="2"/>
      <c r="N305" s="23">
        <v>1</v>
      </c>
      <c r="O305" s="2"/>
      <c r="P305" s="2"/>
      <c r="Q305" s="2"/>
      <c r="R305" s="2"/>
      <c r="S305" s="2"/>
      <c r="T305" s="23">
        <v>3.9948813699999999</v>
      </c>
      <c r="U305" s="23">
        <v>3.9948813699999999</v>
      </c>
      <c r="V305" s="23">
        <v>3.9948813699999999</v>
      </c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O305">
        <v>12</v>
      </c>
      <c r="AP305" s="21">
        <v>63.754620030366901</v>
      </c>
      <c r="AQ305" s="21">
        <v>0.18822165349404149</v>
      </c>
      <c r="AR305" s="28">
        <v>1.8</v>
      </c>
      <c r="AS305" s="28">
        <v>2.4</v>
      </c>
      <c r="AT305" s="28">
        <v>0.6</v>
      </c>
      <c r="AU305" s="28">
        <v>2.8</v>
      </c>
      <c r="AV305" s="28">
        <v>0.23684210526315791</v>
      </c>
      <c r="AW305" s="28">
        <v>0.31578947368421051</v>
      </c>
      <c r="AX305" s="28">
        <v>7.8947368421052627E-2</v>
      </c>
      <c r="AY305" s="28">
        <v>0.36842105263157893</v>
      </c>
      <c r="AZ305" s="25">
        <v>0.82</v>
      </c>
      <c r="BA305" s="25">
        <v>3.44</v>
      </c>
      <c r="BB305" s="25">
        <v>2.62</v>
      </c>
      <c r="BC305" s="25">
        <v>2.528</v>
      </c>
      <c r="BD305">
        <v>2.528</v>
      </c>
      <c r="BE305">
        <v>5.7952294759999994</v>
      </c>
    </row>
    <row r="306" spans="1:57" x14ac:dyDescent="0.3">
      <c r="A306" s="2" t="s">
        <v>239</v>
      </c>
      <c r="B306" s="13" t="s">
        <v>812</v>
      </c>
      <c r="C306" s="13"/>
      <c r="D306" s="2"/>
      <c r="E306" s="2"/>
      <c r="F306" s="2">
        <v>4.4000000000000004</v>
      </c>
      <c r="G306" s="2" t="s">
        <v>238</v>
      </c>
      <c r="H306" s="9" t="s">
        <v>590</v>
      </c>
      <c r="I306" t="s">
        <v>663</v>
      </c>
      <c r="K306" s="2"/>
      <c r="L306" s="2"/>
      <c r="M306" s="2"/>
      <c r="N306" s="23">
        <v>16</v>
      </c>
      <c r="O306" s="2"/>
      <c r="P306" s="2"/>
      <c r="Q306" s="2"/>
      <c r="R306" s="2"/>
      <c r="S306" s="2"/>
      <c r="T306" s="23">
        <v>7.4248940299999999</v>
      </c>
      <c r="U306" s="23">
        <v>7.4248940300000008</v>
      </c>
      <c r="V306" s="23">
        <v>48.809404000000001</v>
      </c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O306">
        <v>14</v>
      </c>
      <c r="AP306" s="21">
        <v>2333.5692942103669</v>
      </c>
      <c r="AQ306" s="21">
        <v>9.5990292876988306E-2</v>
      </c>
      <c r="AR306" s="28">
        <v>2</v>
      </c>
      <c r="AS306" s="28">
        <v>2.545454545454545</v>
      </c>
      <c r="AT306" s="28">
        <v>0.54545454545454541</v>
      </c>
      <c r="AU306" s="28">
        <v>2.545454545454545</v>
      </c>
      <c r="AV306" s="28">
        <v>0.26190476190476192</v>
      </c>
      <c r="AW306" s="28">
        <v>0.33333333333333331</v>
      </c>
      <c r="AX306" s="28">
        <v>7.1428571428571425E-2</v>
      </c>
      <c r="AY306" s="28">
        <v>0.33333333333333331</v>
      </c>
      <c r="AZ306" s="25">
        <v>1</v>
      </c>
      <c r="BA306" s="25">
        <v>3.44</v>
      </c>
      <c r="BB306" s="25">
        <v>2.44</v>
      </c>
      <c r="BC306" s="25">
        <v>2.643636363636364</v>
      </c>
      <c r="BD306">
        <v>2.643636363636364</v>
      </c>
      <c r="BE306">
        <v>6.0715871381818181</v>
      </c>
    </row>
    <row r="307" spans="1:57" x14ac:dyDescent="0.3">
      <c r="A307" s="2" t="s">
        <v>48</v>
      </c>
      <c r="B307" s="13" t="s">
        <v>724</v>
      </c>
      <c r="C307" s="13"/>
      <c r="D307" s="2"/>
      <c r="E307" s="2"/>
      <c r="F307" s="2">
        <v>4.0999999999999996</v>
      </c>
      <c r="G307" s="2" t="s">
        <v>238</v>
      </c>
      <c r="H307" s="9" t="s">
        <v>552</v>
      </c>
      <c r="I307" t="s">
        <v>630</v>
      </c>
      <c r="K307" s="2"/>
      <c r="L307" s="2"/>
      <c r="M307" s="2"/>
      <c r="N307" s="23">
        <v>2</v>
      </c>
      <c r="O307" s="2"/>
      <c r="P307" s="2"/>
      <c r="Q307" s="2"/>
      <c r="R307" s="2"/>
      <c r="S307" s="2"/>
      <c r="T307" s="23">
        <v>7.4836094600000003</v>
      </c>
      <c r="U307" s="23">
        <v>7.4836094600000003</v>
      </c>
      <c r="V307" s="23">
        <v>7.4836094600000003</v>
      </c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O307">
        <v>14</v>
      </c>
      <c r="AP307" s="21">
        <v>296.35915518228359</v>
      </c>
      <c r="AQ307" s="21">
        <v>9.4479956196318104E-2</v>
      </c>
      <c r="AR307" s="28">
        <v>1.8181818181818179</v>
      </c>
      <c r="AS307" s="28">
        <v>2.545454545454545</v>
      </c>
      <c r="AT307" s="28">
        <v>0.72727272727272729</v>
      </c>
      <c r="AU307" s="28">
        <v>0</v>
      </c>
      <c r="AV307" s="28">
        <v>0.35714285714285721</v>
      </c>
      <c r="AW307" s="28">
        <v>0.5</v>
      </c>
      <c r="AX307" s="28">
        <v>0.1428571428571429</v>
      </c>
      <c r="AY307" s="28">
        <v>0</v>
      </c>
      <c r="AZ307" s="25">
        <v>1</v>
      </c>
      <c r="BA307" s="25">
        <v>3.44</v>
      </c>
      <c r="BB307" s="25">
        <v>2.44</v>
      </c>
      <c r="BC307" s="25">
        <v>2.6618181818181821</v>
      </c>
      <c r="BD307">
        <v>2.6618181818181821</v>
      </c>
      <c r="BE307">
        <v>6.0537295018181814</v>
      </c>
    </row>
    <row r="308" spans="1:57" x14ac:dyDescent="0.3">
      <c r="A308" s="2" t="s">
        <v>46</v>
      </c>
      <c r="B308" s="13" t="s">
        <v>722</v>
      </c>
      <c r="C308" s="13"/>
      <c r="D308" s="2"/>
      <c r="E308" s="2"/>
      <c r="F308" s="2">
        <v>3.31</v>
      </c>
      <c r="G308" s="2" t="s">
        <v>240</v>
      </c>
      <c r="H308" s="9" t="s">
        <v>551</v>
      </c>
      <c r="I308" t="s">
        <v>629</v>
      </c>
      <c r="K308" s="2"/>
      <c r="L308" s="2"/>
      <c r="M308" s="2"/>
      <c r="N308" s="23">
        <v>2</v>
      </c>
      <c r="O308" s="2"/>
      <c r="P308" s="2"/>
      <c r="Q308" s="2"/>
      <c r="R308" s="2"/>
      <c r="S308" s="2"/>
      <c r="T308" s="23">
        <v>7.41544296</v>
      </c>
      <c r="U308" s="23">
        <v>7.4154429599999991</v>
      </c>
      <c r="V308" s="23">
        <v>7.41544296</v>
      </c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O308">
        <v>14</v>
      </c>
      <c r="AP308" s="21">
        <v>288.33429290182369</v>
      </c>
      <c r="AQ308" s="21">
        <v>9.7109503410799117E-2</v>
      </c>
      <c r="AR308" s="28">
        <v>2</v>
      </c>
      <c r="AS308" s="28">
        <v>2.545454545454545</v>
      </c>
      <c r="AT308" s="28">
        <v>0.54545454545454541</v>
      </c>
      <c r="AU308" s="28">
        <v>0</v>
      </c>
      <c r="AV308" s="28">
        <v>0.39285714285714279</v>
      </c>
      <c r="AW308" s="28">
        <v>0.5</v>
      </c>
      <c r="AX308" s="28">
        <v>0.1071428571428571</v>
      </c>
      <c r="AY308" s="28">
        <v>0</v>
      </c>
      <c r="AZ308" s="25">
        <v>1.1000000000000001</v>
      </c>
      <c r="BA308" s="25">
        <v>3.44</v>
      </c>
      <c r="BB308" s="25">
        <v>2.34</v>
      </c>
      <c r="BC308" s="25">
        <v>2.669090909090909</v>
      </c>
      <c r="BD308">
        <v>2.669090909090909</v>
      </c>
      <c r="BE308">
        <v>5.9831974772727277</v>
      </c>
    </row>
    <row r="309" spans="1:57" x14ac:dyDescent="0.3">
      <c r="A309" s="2" t="s">
        <v>220</v>
      </c>
      <c r="B309" s="13" t="s">
        <v>807</v>
      </c>
      <c r="C309" s="13"/>
      <c r="D309" s="2"/>
      <c r="E309" s="2"/>
      <c r="F309" s="2">
        <v>4.5</v>
      </c>
      <c r="G309" s="2" t="s">
        <v>242</v>
      </c>
      <c r="H309" s="9" t="s">
        <v>588</v>
      </c>
      <c r="I309" t="s">
        <v>661</v>
      </c>
      <c r="K309" s="2"/>
      <c r="L309" t="s">
        <v>1101</v>
      </c>
      <c r="M309" s="2"/>
      <c r="N309" s="23">
        <v>1</v>
      </c>
      <c r="O309" s="2"/>
      <c r="P309" s="2"/>
      <c r="Q309" s="2"/>
      <c r="R309" s="2"/>
      <c r="S309" s="2"/>
      <c r="T309" s="23">
        <v>5.81978595</v>
      </c>
      <c r="U309" s="23">
        <v>5.81978595</v>
      </c>
      <c r="V309" s="23">
        <v>11.88463337</v>
      </c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O309">
        <v>30</v>
      </c>
      <c r="AP309" s="21">
        <v>348.60249769877402</v>
      </c>
      <c r="AQ309" s="21">
        <v>8.6057903193576313E-2</v>
      </c>
      <c r="AR309" s="28">
        <v>2</v>
      </c>
      <c r="AS309" s="28">
        <v>2.5</v>
      </c>
      <c r="AT309" s="28">
        <v>0.5</v>
      </c>
      <c r="AU309" s="28">
        <v>2.333333333333333</v>
      </c>
      <c r="AV309" s="28">
        <v>0.27272727272727282</v>
      </c>
      <c r="AW309" s="28">
        <v>0.34090909090909088</v>
      </c>
      <c r="AX309" s="28">
        <v>6.8181818181818191E-2</v>
      </c>
      <c r="AY309" s="28">
        <v>0.31818181818181818</v>
      </c>
      <c r="AZ309" s="25">
        <v>0.89</v>
      </c>
      <c r="BA309" s="25">
        <v>3.44</v>
      </c>
      <c r="BB309" s="25">
        <v>2.5499999999999998</v>
      </c>
      <c r="BC309" s="25">
        <v>2.5854166666666671</v>
      </c>
      <c r="BD309">
        <v>2.5854166666666671</v>
      </c>
      <c r="BE309">
        <v>5.9262421145833333</v>
      </c>
    </row>
    <row r="310" spans="1:57" x14ac:dyDescent="0.3">
      <c r="A310" s="2" t="s">
        <v>241</v>
      </c>
      <c r="B310" s="13" t="s">
        <v>813</v>
      </c>
      <c r="C310" s="13"/>
      <c r="D310" s="2"/>
      <c r="E310" s="2"/>
      <c r="F310" s="2">
        <v>4.2</v>
      </c>
      <c r="G310" s="2" t="s">
        <v>242</v>
      </c>
      <c r="H310" s="9">
        <v>-1</v>
      </c>
      <c r="I310" t="s">
        <v>664</v>
      </c>
      <c r="J310" t="s">
        <v>1170</v>
      </c>
      <c r="K310" s="2"/>
      <c r="L310" s="2"/>
      <c r="M310" s="2"/>
      <c r="N310" s="23">
        <v>0</v>
      </c>
      <c r="O310" s="2">
        <v>-1</v>
      </c>
      <c r="P310" s="2"/>
      <c r="Q310" s="2"/>
      <c r="R310" s="2"/>
      <c r="S310" s="2"/>
      <c r="T310" s="23">
        <v>0</v>
      </c>
      <c r="U310" s="23"/>
      <c r="V310" s="23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O310">
        <v>30</v>
      </c>
      <c r="AP310" s="21">
        <v>0</v>
      </c>
      <c r="AQ310" s="21"/>
      <c r="AR310" s="28">
        <v>1.916666666666667</v>
      </c>
      <c r="AS310" s="28">
        <v>2.5</v>
      </c>
      <c r="AT310" s="28">
        <v>0.58333333333333337</v>
      </c>
      <c r="AU310" s="28">
        <v>1.166666666666667</v>
      </c>
      <c r="AV310" s="28">
        <v>0.3108108108108108</v>
      </c>
      <c r="AW310" s="28">
        <v>0.40540540540540537</v>
      </c>
      <c r="AX310" s="28">
        <v>9.45945945945946E-2</v>
      </c>
      <c r="AY310" s="28">
        <v>0.1891891891891892</v>
      </c>
      <c r="AZ310" s="25">
        <v>0.89</v>
      </c>
      <c r="BA310" s="25">
        <v>3.44</v>
      </c>
      <c r="BB310" s="25">
        <v>2.5499999999999998</v>
      </c>
      <c r="BC310" s="25">
        <v>2.59375</v>
      </c>
      <c r="BD310">
        <v>2.59375</v>
      </c>
      <c r="BE310">
        <v>5.9180573645833334</v>
      </c>
    </row>
    <row r="311" spans="1:57" x14ac:dyDescent="0.3">
      <c r="A311" s="2" t="s">
        <v>38</v>
      </c>
      <c r="B311" s="13" t="s">
        <v>714</v>
      </c>
      <c r="C311" s="13"/>
      <c r="D311" s="2"/>
      <c r="E311" s="2"/>
      <c r="F311" s="2">
        <v>3.9</v>
      </c>
      <c r="G311" s="2" t="s">
        <v>242</v>
      </c>
      <c r="H311" s="9" t="s">
        <v>545</v>
      </c>
      <c r="I311" t="s">
        <v>626</v>
      </c>
      <c r="K311" s="2"/>
      <c r="L311" t="s">
        <v>1102</v>
      </c>
      <c r="M311" s="2"/>
      <c r="N311" s="23">
        <v>1</v>
      </c>
      <c r="O311" s="2"/>
      <c r="P311" s="2"/>
      <c r="Q311" s="2"/>
      <c r="R311" s="2"/>
      <c r="S311" s="2"/>
      <c r="T311" s="23">
        <v>5.8532381300000003</v>
      </c>
      <c r="U311" s="23">
        <v>5.8532371599999999</v>
      </c>
      <c r="V311" s="23">
        <v>11.912811489999999</v>
      </c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O311">
        <v>30</v>
      </c>
      <c r="AP311" s="21">
        <v>353.45760058531442</v>
      </c>
      <c r="AQ311" s="21">
        <v>8.487580957467307E-2</v>
      </c>
      <c r="AR311" s="28">
        <v>1.833333333333333</v>
      </c>
      <c r="AS311" s="28">
        <v>2.5</v>
      </c>
      <c r="AT311" s="28">
        <v>0.66666666666666663</v>
      </c>
      <c r="AU311" s="28">
        <v>0</v>
      </c>
      <c r="AV311" s="28">
        <v>0.36666666666666659</v>
      </c>
      <c r="AW311" s="28">
        <v>0.5</v>
      </c>
      <c r="AX311" s="28">
        <v>0.1333333333333333</v>
      </c>
      <c r="AY311" s="28">
        <v>0</v>
      </c>
      <c r="AZ311" s="25">
        <v>0.89</v>
      </c>
      <c r="BA311" s="25">
        <v>3.44</v>
      </c>
      <c r="BB311" s="25">
        <v>2.5499999999999998</v>
      </c>
      <c r="BC311" s="25">
        <v>2.6020833333333329</v>
      </c>
      <c r="BD311">
        <v>2.6020833333333329</v>
      </c>
      <c r="BE311">
        <v>5.9098726145833336</v>
      </c>
    </row>
    <row r="312" spans="1:57" x14ac:dyDescent="0.3">
      <c r="A312" s="2" t="s">
        <v>244</v>
      </c>
      <c r="B312" s="13" t="s">
        <v>814</v>
      </c>
      <c r="C312" s="13"/>
      <c r="D312" s="2"/>
      <c r="E312" s="2"/>
      <c r="F312" s="2">
        <v>3.03</v>
      </c>
      <c r="G312" s="2" t="s">
        <v>243</v>
      </c>
      <c r="H312" s="9" t="s">
        <v>591</v>
      </c>
      <c r="I312" t="s">
        <v>665</v>
      </c>
      <c r="K312" s="2"/>
      <c r="L312" s="2"/>
      <c r="M312" s="2"/>
      <c r="N312" s="23">
        <v>40</v>
      </c>
      <c r="O312" s="2"/>
      <c r="P312" s="2"/>
      <c r="Q312" s="2"/>
      <c r="R312" s="2"/>
      <c r="S312" s="2"/>
      <c r="T312" s="23">
        <v>10.442762460000001</v>
      </c>
      <c r="U312" s="23">
        <v>9.9768317300000007</v>
      </c>
      <c r="V312" s="23">
        <v>10.791803529999999</v>
      </c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O312">
        <v>2</v>
      </c>
      <c r="AP312" s="21">
        <v>1118.3380703947059</v>
      </c>
      <c r="AQ312" s="21">
        <v>7.1534719346328615E-2</v>
      </c>
      <c r="AR312" s="28">
        <v>2</v>
      </c>
      <c r="AS312" s="28">
        <v>2</v>
      </c>
      <c r="AT312" s="28">
        <v>5</v>
      </c>
      <c r="AU312" s="28">
        <v>0</v>
      </c>
      <c r="AV312" s="28">
        <v>0.22222222222222221</v>
      </c>
      <c r="AW312" s="28">
        <v>0.22222222222222221</v>
      </c>
      <c r="AX312" s="28">
        <v>0.55555555555555558</v>
      </c>
      <c r="AY312" s="28">
        <v>0</v>
      </c>
      <c r="AZ312" s="25">
        <v>1.65</v>
      </c>
      <c r="BA312" s="25">
        <v>3.44</v>
      </c>
      <c r="BB312" s="25">
        <v>1.79</v>
      </c>
      <c r="BC312" s="25">
        <v>2.5449999999999999</v>
      </c>
      <c r="BD312">
        <v>2.5449999999999999</v>
      </c>
      <c r="BE312">
        <v>5.9633393249999997</v>
      </c>
    </row>
    <row r="313" spans="1:57" x14ac:dyDescent="0.3">
      <c r="A313" s="2" t="s">
        <v>244</v>
      </c>
      <c r="B313" s="13" t="s">
        <v>814</v>
      </c>
      <c r="C313" s="13"/>
      <c r="D313" s="2" t="s">
        <v>888</v>
      </c>
      <c r="E313" s="2">
        <v>1</v>
      </c>
      <c r="F313" s="2">
        <v>2.96</v>
      </c>
      <c r="G313" s="2" t="s">
        <v>243</v>
      </c>
      <c r="H313" s="9" t="s">
        <v>591</v>
      </c>
      <c r="I313" t="s">
        <v>665</v>
      </c>
      <c r="K313" s="2"/>
      <c r="L313" s="2"/>
      <c r="M313" s="2"/>
      <c r="N313" s="23">
        <v>40</v>
      </c>
      <c r="O313" s="2"/>
      <c r="P313" s="2"/>
      <c r="Q313" s="2"/>
      <c r="R313" s="2"/>
      <c r="S313" s="2"/>
      <c r="T313" s="23">
        <v>10.442762460000001</v>
      </c>
      <c r="U313" s="23">
        <v>9.9768317300000007</v>
      </c>
      <c r="V313" s="23">
        <v>10.791803529999999</v>
      </c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O313">
        <v>2</v>
      </c>
      <c r="AP313" s="21">
        <v>1118.3380703947059</v>
      </c>
      <c r="AQ313" s="21">
        <v>7.1534719346328615E-2</v>
      </c>
      <c r="AR313" s="28">
        <v>2</v>
      </c>
      <c r="AS313" s="28">
        <v>2</v>
      </c>
      <c r="AT313" s="28">
        <v>5</v>
      </c>
      <c r="AU313" s="28">
        <v>0</v>
      </c>
      <c r="AV313" s="28">
        <v>0.22222222222222221</v>
      </c>
      <c r="AW313" s="28">
        <v>0.22222222222222221</v>
      </c>
      <c r="AX313" s="28">
        <v>0.55555555555555558</v>
      </c>
      <c r="AY313" s="28">
        <v>0</v>
      </c>
      <c r="AZ313" s="25">
        <v>1.65</v>
      </c>
      <c r="BA313" s="25">
        <v>3.44</v>
      </c>
      <c r="BB313" s="25">
        <v>1.79</v>
      </c>
      <c r="BC313" s="25">
        <v>2.5449999999999999</v>
      </c>
      <c r="BD313">
        <v>2.5449999999999999</v>
      </c>
      <c r="BE313">
        <v>5.9633393249999997</v>
      </c>
    </row>
    <row r="314" spans="1:57" x14ac:dyDescent="0.3">
      <c r="A314" s="2" t="s">
        <v>244</v>
      </c>
      <c r="B314" s="13" t="s">
        <v>814</v>
      </c>
      <c r="C314" s="13"/>
      <c r="D314" s="2" t="s">
        <v>888</v>
      </c>
      <c r="E314" s="2">
        <v>3</v>
      </c>
      <c r="F314" s="2">
        <v>3.14</v>
      </c>
      <c r="G314" s="2" t="s">
        <v>243</v>
      </c>
      <c r="H314" s="9" t="s">
        <v>591</v>
      </c>
      <c r="I314" t="s">
        <v>665</v>
      </c>
      <c r="K314" s="2"/>
      <c r="L314" s="2"/>
      <c r="M314" s="2"/>
      <c r="N314" s="23">
        <v>40</v>
      </c>
      <c r="O314" s="2"/>
      <c r="P314" s="2"/>
      <c r="Q314" s="2"/>
      <c r="R314" s="2"/>
      <c r="S314" s="2"/>
      <c r="T314" s="23">
        <v>10.442762460000001</v>
      </c>
      <c r="U314" s="23">
        <v>9.9768317300000007</v>
      </c>
      <c r="V314" s="23">
        <v>10.791803529999999</v>
      </c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O314">
        <v>2</v>
      </c>
      <c r="AP314" s="21">
        <v>1118.3380703947059</v>
      </c>
      <c r="AQ314" s="21">
        <v>7.1534719346328615E-2</v>
      </c>
      <c r="AR314" s="28">
        <v>2</v>
      </c>
      <c r="AS314" s="28">
        <v>2</v>
      </c>
      <c r="AT314" s="28">
        <v>5</v>
      </c>
      <c r="AU314" s="28">
        <v>0</v>
      </c>
      <c r="AV314" s="28">
        <v>0.22222222222222221</v>
      </c>
      <c r="AW314" s="28">
        <v>0.22222222222222221</v>
      </c>
      <c r="AX314" s="28">
        <v>0.55555555555555558</v>
      </c>
      <c r="AY314" s="28">
        <v>0</v>
      </c>
      <c r="AZ314" s="25">
        <v>1.65</v>
      </c>
      <c r="BA314" s="25">
        <v>3.44</v>
      </c>
      <c r="BB314" s="25">
        <v>1.79</v>
      </c>
      <c r="BC314" s="25">
        <v>2.5449999999999999</v>
      </c>
      <c r="BD314">
        <v>2.5449999999999999</v>
      </c>
      <c r="BE314">
        <v>5.9633393249999997</v>
      </c>
    </row>
    <row r="315" spans="1:57" x14ac:dyDescent="0.3">
      <c r="A315" s="2" t="s">
        <v>246</v>
      </c>
      <c r="B315" s="13" t="s">
        <v>815</v>
      </c>
      <c r="C315" s="13"/>
      <c r="D315" s="2"/>
      <c r="E315" s="2"/>
      <c r="F315" s="2">
        <v>2.3199999999999998</v>
      </c>
      <c r="G315" s="2" t="s">
        <v>245</v>
      </c>
      <c r="H315" s="9" t="s">
        <v>592</v>
      </c>
      <c r="I315" t="s">
        <v>666</v>
      </c>
      <c r="J315" t="s">
        <v>1173</v>
      </c>
      <c r="K315" s="2"/>
      <c r="L315" s="2"/>
      <c r="M315" s="2"/>
      <c r="N315" s="23">
        <v>1</v>
      </c>
      <c r="O315" s="2"/>
      <c r="P315" s="2"/>
      <c r="Q315" s="2"/>
      <c r="R315" s="2"/>
      <c r="S315" s="2"/>
      <c r="T315" s="23">
        <v>4.2561477500000002</v>
      </c>
      <c r="U315" s="23">
        <v>4.2561477500000002</v>
      </c>
      <c r="V315" s="23">
        <v>5.9211799999999997</v>
      </c>
      <c r="W315" s="2" t="s">
        <v>518</v>
      </c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O315">
        <v>0</v>
      </c>
      <c r="AP315" s="21">
        <v>92.890714642371009</v>
      </c>
      <c r="AQ315" s="21">
        <v>0</v>
      </c>
      <c r="AR315" s="28">
        <v>2</v>
      </c>
      <c r="AS315" s="28">
        <v>2</v>
      </c>
      <c r="AT315" s="28">
        <v>5</v>
      </c>
      <c r="AU315" s="28">
        <v>0</v>
      </c>
      <c r="AV315" s="28">
        <v>0.22222222222222221</v>
      </c>
      <c r="AW315" s="28">
        <v>0.22222222222222221</v>
      </c>
      <c r="AX315" s="28">
        <v>0.55555555555555558</v>
      </c>
      <c r="AY315" s="28">
        <v>0</v>
      </c>
      <c r="AZ315" s="25">
        <v>1.69</v>
      </c>
      <c r="BA315" s="25">
        <v>2.58</v>
      </c>
      <c r="BB315" s="25">
        <v>0.89000000000000012</v>
      </c>
      <c r="BC315" s="25">
        <v>2.1349999999999998</v>
      </c>
      <c r="BD315">
        <v>2.1349999999999998</v>
      </c>
      <c r="BE315">
        <v>5.1777336280000004</v>
      </c>
    </row>
    <row r="316" spans="1:57" s="5" customFormat="1" x14ac:dyDescent="0.3">
      <c r="A316" s="5" t="s">
        <v>247</v>
      </c>
      <c r="B316" s="46" t="s">
        <v>940</v>
      </c>
      <c r="C316" s="39"/>
      <c r="F316" s="5">
        <v>2.41</v>
      </c>
      <c r="G316" s="5" t="s">
        <v>245</v>
      </c>
      <c r="H316" s="40">
        <v>-2</v>
      </c>
      <c r="I316" s="5">
        <v>-1</v>
      </c>
      <c r="N316" s="41">
        <v>0</v>
      </c>
      <c r="O316" s="5">
        <v>-1</v>
      </c>
      <c r="T316" s="41">
        <v>0</v>
      </c>
      <c r="U316" s="41"/>
      <c r="V316" s="41"/>
      <c r="AO316" s="5">
        <v>0</v>
      </c>
      <c r="AP316" s="41">
        <v>0</v>
      </c>
      <c r="AQ316" s="41"/>
      <c r="AR316" s="5">
        <v>2</v>
      </c>
      <c r="AS316" s="5">
        <v>0</v>
      </c>
      <c r="AT316" s="5">
        <v>10</v>
      </c>
      <c r="AU316" s="5">
        <v>0</v>
      </c>
      <c r="AV316" s="5">
        <v>0.16666666666666671</v>
      </c>
      <c r="AW316" s="5">
        <v>0</v>
      </c>
      <c r="AX316" s="5">
        <v>0.83333333333333337</v>
      </c>
      <c r="AY316" s="5">
        <v>0</v>
      </c>
      <c r="AZ316" s="41">
        <v>1.65</v>
      </c>
      <c r="BA316" s="41">
        <v>1.69</v>
      </c>
      <c r="BB316" s="41">
        <v>4.0000000000000042E-2</v>
      </c>
      <c r="BC316" s="41">
        <v>1.6859999999999999</v>
      </c>
      <c r="BD316" s="5">
        <v>1.6859999999999999</v>
      </c>
      <c r="BE316" s="5">
        <v>4.1619288499999998</v>
      </c>
    </row>
    <row r="317" spans="1:57" s="5" customFormat="1" x14ac:dyDescent="0.3">
      <c r="A317" s="5" t="s">
        <v>252</v>
      </c>
      <c r="B317" s="46" t="s">
        <v>941</v>
      </c>
      <c r="C317" s="39"/>
      <c r="F317" s="5">
        <v>2.54</v>
      </c>
      <c r="G317" s="5" t="s">
        <v>245</v>
      </c>
      <c r="H317" s="40">
        <v>-2</v>
      </c>
      <c r="I317" s="5">
        <v>-1</v>
      </c>
      <c r="N317" s="41">
        <v>0</v>
      </c>
      <c r="O317" s="5">
        <v>-1</v>
      </c>
      <c r="T317" s="41">
        <v>0</v>
      </c>
      <c r="U317" s="41"/>
      <c r="V317" s="41"/>
      <c r="AO317" s="5">
        <v>0</v>
      </c>
      <c r="AP317" s="41">
        <v>0</v>
      </c>
      <c r="AQ317" s="41"/>
      <c r="AR317" s="5">
        <v>2</v>
      </c>
      <c r="AS317" s="5">
        <v>0</v>
      </c>
      <c r="AT317" s="5">
        <v>10</v>
      </c>
      <c r="AU317" s="5">
        <v>0</v>
      </c>
      <c r="AV317" s="5">
        <v>0.16666666666666671</v>
      </c>
      <c r="AW317" s="5">
        <v>0</v>
      </c>
      <c r="AX317" s="5">
        <v>0.83333333333333348</v>
      </c>
      <c r="AY317" s="5">
        <v>0</v>
      </c>
      <c r="AZ317" s="41">
        <v>1.65</v>
      </c>
      <c r="BA317" s="41">
        <v>1.69</v>
      </c>
      <c r="BB317" s="41">
        <v>4.0000000000000042E-2</v>
      </c>
      <c r="BC317" s="41">
        <v>1.6779999999999999</v>
      </c>
      <c r="BD317" s="5">
        <v>1.6779999999999999</v>
      </c>
      <c r="BE317" s="5">
        <v>4.2119665499999996</v>
      </c>
    </row>
    <row r="318" spans="1:57" s="5" customFormat="1" x14ac:dyDescent="0.3">
      <c r="A318" s="5" t="s">
        <v>251</v>
      </c>
      <c r="B318" s="46" t="s">
        <v>942</v>
      </c>
      <c r="C318" s="39"/>
      <c r="F318" s="5">
        <v>2.68</v>
      </c>
      <c r="G318" s="5" t="s">
        <v>245</v>
      </c>
      <c r="H318" s="40">
        <v>-2</v>
      </c>
      <c r="I318" s="5">
        <v>-1</v>
      </c>
      <c r="N318" s="41">
        <v>0</v>
      </c>
      <c r="O318" s="5">
        <v>-1</v>
      </c>
      <c r="T318" s="41">
        <v>0</v>
      </c>
      <c r="U318" s="41"/>
      <c r="V318" s="41"/>
      <c r="AO318" s="5">
        <v>0</v>
      </c>
      <c r="AP318" s="41">
        <v>0</v>
      </c>
      <c r="AQ318" s="41"/>
      <c r="AR318" s="5">
        <v>2</v>
      </c>
      <c r="AS318" s="5">
        <v>0</v>
      </c>
      <c r="AT318" s="5">
        <v>10</v>
      </c>
      <c r="AU318" s="5">
        <v>0</v>
      </c>
      <c r="AV318" s="5">
        <v>0.16666666666666671</v>
      </c>
      <c r="AW318" s="5">
        <v>0</v>
      </c>
      <c r="AX318" s="5">
        <v>0.83333333333333337</v>
      </c>
      <c r="AY318" s="5">
        <v>0</v>
      </c>
      <c r="AZ318" s="41">
        <v>1.65</v>
      </c>
      <c r="BA318" s="41">
        <v>1.69</v>
      </c>
      <c r="BB318" s="41">
        <v>4.0000000000000042E-2</v>
      </c>
      <c r="BC318" s="41">
        <v>1.67</v>
      </c>
      <c r="BD318" s="5">
        <v>1.67</v>
      </c>
      <c r="BE318" s="5">
        <v>4.2620042500000004</v>
      </c>
    </row>
    <row r="319" spans="1:57" s="5" customFormat="1" x14ac:dyDescent="0.3">
      <c r="A319" s="5" t="s">
        <v>250</v>
      </c>
      <c r="B319" s="46" t="s">
        <v>943</v>
      </c>
      <c r="C319" s="39"/>
      <c r="F319" s="5">
        <v>2.91</v>
      </c>
      <c r="G319" s="5" t="s">
        <v>245</v>
      </c>
      <c r="H319" s="40">
        <v>-2</v>
      </c>
      <c r="I319" s="5">
        <v>-1</v>
      </c>
      <c r="N319" s="41">
        <v>0</v>
      </c>
      <c r="O319" s="5">
        <v>-1</v>
      </c>
      <c r="T319" s="41">
        <v>0</v>
      </c>
      <c r="U319" s="41"/>
      <c r="V319" s="41"/>
      <c r="AO319" s="5">
        <v>0</v>
      </c>
      <c r="AP319" s="41">
        <v>0</v>
      </c>
      <c r="AQ319" s="41"/>
      <c r="AR319" s="5">
        <v>2</v>
      </c>
      <c r="AS319" s="5">
        <v>0</v>
      </c>
      <c r="AT319" s="5">
        <v>10</v>
      </c>
      <c r="AU319" s="5">
        <v>0</v>
      </c>
      <c r="AV319" s="5">
        <v>0.16666666666666671</v>
      </c>
      <c r="AW319" s="5">
        <v>0</v>
      </c>
      <c r="AX319" s="5">
        <v>0.83333333333333348</v>
      </c>
      <c r="AY319" s="5">
        <v>0</v>
      </c>
      <c r="AZ319" s="41">
        <v>1.65</v>
      </c>
      <c r="BA319" s="41">
        <v>1.69</v>
      </c>
      <c r="BB319" s="41">
        <v>4.0000000000000042E-2</v>
      </c>
      <c r="BC319" s="41">
        <v>1.6619999999999999</v>
      </c>
      <c r="BD319" s="5">
        <v>1.6619999999999999</v>
      </c>
      <c r="BE319" s="5">
        <v>4.3120419500000002</v>
      </c>
    </row>
    <row r="320" spans="1:57" s="5" customFormat="1" x14ac:dyDescent="0.3">
      <c r="A320" s="5" t="s">
        <v>249</v>
      </c>
      <c r="B320" s="46" t="s">
        <v>944</v>
      </c>
      <c r="C320" s="39"/>
      <c r="F320" s="5">
        <v>3.36</v>
      </c>
      <c r="G320" s="5" t="s">
        <v>245</v>
      </c>
      <c r="H320" s="40">
        <v>-2</v>
      </c>
      <c r="I320" s="5">
        <v>-1</v>
      </c>
      <c r="N320" s="41">
        <v>0</v>
      </c>
      <c r="O320" s="5">
        <v>-1</v>
      </c>
      <c r="T320" s="41">
        <v>0</v>
      </c>
      <c r="U320" s="41"/>
      <c r="V320" s="41"/>
      <c r="AO320" s="5">
        <v>0</v>
      </c>
      <c r="AP320" s="41">
        <v>0</v>
      </c>
      <c r="AQ320" s="41"/>
      <c r="AR320" s="5">
        <v>2</v>
      </c>
      <c r="AS320" s="5">
        <v>0</v>
      </c>
      <c r="AT320" s="5">
        <v>10</v>
      </c>
      <c r="AU320" s="5">
        <v>0</v>
      </c>
      <c r="AV320" s="5">
        <v>0.16666666666666671</v>
      </c>
      <c r="AW320" s="5">
        <v>0</v>
      </c>
      <c r="AX320" s="5">
        <v>0.83333333333333337</v>
      </c>
      <c r="AY320" s="5">
        <v>0</v>
      </c>
      <c r="AZ320" s="41">
        <v>1.65</v>
      </c>
      <c r="BA320" s="41">
        <v>1.69</v>
      </c>
      <c r="BB320" s="41">
        <v>4.0000000000000042E-2</v>
      </c>
      <c r="BC320" s="41">
        <v>1.6539999999999999</v>
      </c>
      <c r="BD320" s="5">
        <v>1.6539999999999999</v>
      </c>
      <c r="BE320" s="5">
        <v>4.3620796500000001</v>
      </c>
    </row>
    <row r="321" spans="1:57" x14ac:dyDescent="0.3">
      <c r="A321" s="2" t="s">
        <v>248</v>
      </c>
      <c r="B321" s="13" t="s">
        <v>816</v>
      </c>
      <c r="C321" s="13"/>
      <c r="D321" s="2"/>
      <c r="E321" s="2"/>
      <c r="F321" s="2">
        <v>3.6</v>
      </c>
      <c r="G321" s="2" t="s">
        <v>245</v>
      </c>
      <c r="H321" s="9" t="s">
        <v>593</v>
      </c>
      <c r="I321" t="s">
        <v>667</v>
      </c>
      <c r="J321" t="s">
        <v>1172</v>
      </c>
      <c r="K321" s="2"/>
      <c r="L321" s="2"/>
      <c r="M321" s="2"/>
      <c r="N321" s="23">
        <v>50</v>
      </c>
      <c r="O321" s="2"/>
      <c r="P321" s="2"/>
      <c r="Q321" s="2"/>
      <c r="R321" s="2"/>
      <c r="S321" s="2"/>
      <c r="T321" s="23">
        <v>12.345150759999999</v>
      </c>
      <c r="U321" s="23">
        <v>15.34169717</v>
      </c>
      <c r="V321" s="23">
        <v>13.410947439999999</v>
      </c>
      <c r="W321" s="2" t="s">
        <v>1171</v>
      </c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O321">
        <v>0</v>
      </c>
      <c r="AP321" s="21">
        <v>2502.9167389596269</v>
      </c>
      <c r="AQ321" s="21">
        <v>0</v>
      </c>
      <c r="AR321" s="28">
        <v>2</v>
      </c>
      <c r="AS321" s="28">
        <v>2</v>
      </c>
      <c r="AT321" s="28">
        <v>5</v>
      </c>
      <c r="AU321" s="28">
        <v>0</v>
      </c>
      <c r="AV321" s="28">
        <v>0.22222222222222221</v>
      </c>
      <c r="AW321" s="28">
        <v>0.22222222222222221</v>
      </c>
      <c r="AX321" s="28">
        <v>0.55555555555555558</v>
      </c>
      <c r="AY321" s="28">
        <v>0</v>
      </c>
      <c r="AZ321" s="25">
        <v>1.65</v>
      </c>
      <c r="BA321" s="25">
        <v>2.58</v>
      </c>
      <c r="BB321" s="25">
        <v>0.93000000000000016</v>
      </c>
      <c r="BC321" s="25">
        <v>2.1150000000000002</v>
      </c>
      <c r="BD321">
        <v>2.1150000000000002</v>
      </c>
      <c r="BE321">
        <v>5.3028278780000004</v>
      </c>
    </row>
    <row r="322" spans="1:57" x14ac:dyDescent="0.3">
      <c r="A322" s="2" t="s">
        <v>15</v>
      </c>
      <c r="B322" s="13" t="s">
        <v>700</v>
      </c>
      <c r="C322" s="13"/>
      <c r="D322" s="2"/>
      <c r="E322" s="2"/>
      <c r="F322" s="2">
        <v>4.49</v>
      </c>
      <c r="G322" s="2" t="s">
        <v>253</v>
      </c>
      <c r="H322" s="9" t="s">
        <v>533</v>
      </c>
      <c r="I322" t="s">
        <v>614</v>
      </c>
      <c r="K322" s="2"/>
      <c r="L322" s="2"/>
      <c r="M322" s="2"/>
      <c r="N322" s="23">
        <v>4</v>
      </c>
      <c r="O322" s="2"/>
      <c r="P322" s="2"/>
      <c r="Q322" s="2"/>
      <c r="R322" s="2"/>
      <c r="S322" s="2"/>
      <c r="T322" s="23">
        <v>5.63450966</v>
      </c>
      <c r="U322" s="23">
        <v>7.6422105</v>
      </c>
      <c r="V322" s="23">
        <v>11.066420430000001</v>
      </c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O322">
        <v>12</v>
      </c>
      <c r="AP322" s="21">
        <v>476.5212686940929</v>
      </c>
      <c r="AQ322" s="21">
        <v>0.1007300264509579</v>
      </c>
      <c r="AR322" s="28">
        <v>2</v>
      </c>
      <c r="AS322" s="28">
        <v>2.666666666666667</v>
      </c>
      <c r="AT322" s="28">
        <v>0.66666666666666663</v>
      </c>
      <c r="AU322" s="28">
        <v>3.1111111111111112</v>
      </c>
      <c r="AV322" s="28">
        <v>0.23684210526315791</v>
      </c>
      <c r="AW322" s="28">
        <v>0.31578947368421051</v>
      </c>
      <c r="AX322" s="28">
        <v>7.8947368421052627E-2</v>
      </c>
      <c r="AY322" s="28">
        <v>0.36842105263157893</v>
      </c>
      <c r="AZ322" s="25">
        <v>0.95</v>
      </c>
      <c r="BA322" s="25">
        <v>3.44</v>
      </c>
      <c r="BB322" s="25">
        <v>2.4900000000000002</v>
      </c>
      <c r="BC322" s="25">
        <v>2.7322222222222221</v>
      </c>
      <c r="BD322">
        <v>2.7322222222222221</v>
      </c>
      <c r="BE322">
        <v>6.2204042916666662</v>
      </c>
    </row>
    <row r="323" spans="1:57" x14ac:dyDescent="0.3">
      <c r="A323" s="2" t="s">
        <v>254</v>
      </c>
      <c r="B323" s="13" t="s">
        <v>817</v>
      </c>
      <c r="C323" s="13"/>
      <c r="D323" s="2"/>
      <c r="E323" s="2"/>
      <c r="F323" s="2">
        <v>4.8099999999999996</v>
      </c>
      <c r="G323" s="2" t="s">
        <v>253</v>
      </c>
      <c r="H323" s="9" t="s">
        <v>594</v>
      </c>
      <c r="I323">
        <v>-1</v>
      </c>
      <c r="K323" s="2"/>
      <c r="L323" s="2"/>
      <c r="M323" s="2"/>
      <c r="N323" s="23">
        <v>4</v>
      </c>
      <c r="O323" s="2"/>
      <c r="P323" s="2"/>
      <c r="Q323" s="2"/>
      <c r="R323" s="2"/>
      <c r="S323" s="2"/>
      <c r="T323" s="23">
        <v>5.8119930000000002</v>
      </c>
      <c r="U323" s="23">
        <v>10.228956</v>
      </c>
      <c r="V323" s="23">
        <v>17.904929589999998</v>
      </c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O323">
        <v>18</v>
      </c>
      <c r="AP323" s="21">
        <v>882.26177591634428</v>
      </c>
      <c r="AQ323" s="21">
        <v>8.1608431834438916E-2</v>
      </c>
      <c r="AR323" s="28">
        <v>2</v>
      </c>
      <c r="AS323" s="28">
        <v>2.4</v>
      </c>
      <c r="AT323" s="28">
        <v>0.4</v>
      </c>
      <c r="AU323" s="28">
        <v>1.8666666666666669</v>
      </c>
      <c r="AV323" s="28">
        <v>0.3</v>
      </c>
      <c r="AW323" s="28">
        <v>0.36</v>
      </c>
      <c r="AX323" s="28">
        <v>0.06</v>
      </c>
      <c r="AY323" s="28">
        <v>0.28000000000000003</v>
      </c>
      <c r="AZ323" s="25">
        <v>0.95</v>
      </c>
      <c r="BA323" s="25">
        <v>3.44</v>
      </c>
      <c r="BB323" s="25">
        <v>2.4900000000000002</v>
      </c>
      <c r="BC323" s="25">
        <v>2.5173333333333332</v>
      </c>
      <c r="BD323">
        <v>2.5173333333333341</v>
      </c>
      <c r="BE323">
        <v>5.8148519500000004</v>
      </c>
    </row>
    <row r="324" spans="1:57" x14ac:dyDescent="0.3">
      <c r="A324" s="2" t="s">
        <v>221</v>
      </c>
      <c r="B324" s="13" t="s">
        <v>808</v>
      </c>
      <c r="C324" s="13"/>
      <c r="D324" s="2"/>
      <c r="E324" s="2"/>
      <c r="F324" s="2">
        <v>4.75</v>
      </c>
      <c r="G324" s="2" t="s">
        <v>253</v>
      </c>
      <c r="H324" s="9" t="s">
        <v>589</v>
      </c>
      <c r="I324">
        <v>-1</v>
      </c>
      <c r="K324" s="2"/>
      <c r="L324" s="2"/>
      <c r="M324" s="2"/>
      <c r="N324" s="23">
        <v>1</v>
      </c>
      <c r="O324" s="2"/>
      <c r="P324" s="2"/>
      <c r="Q324" s="2"/>
      <c r="R324" s="2"/>
      <c r="S324" s="2"/>
      <c r="T324" s="23">
        <v>5.6694849300000003</v>
      </c>
      <c r="U324" s="23">
        <v>5.6694842000000003</v>
      </c>
      <c r="V324" s="23">
        <v>11.54266629</v>
      </c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O324">
        <v>30</v>
      </c>
      <c r="AP324" s="21">
        <v>321.30962315738361</v>
      </c>
      <c r="AQ324" s="21">
        <v>9.3367885173191417E-2</v>
      </c>
      <c r="AR324" s="28">
        <v>2</v>
      </c>
      <c r="AS324" s="28">
        <v>2.5</v>
      </c>
      <c r="AT324" s="28">
        <v>0.5</v>
      </c>
      <c r="AU324" s="28">
        <v>2.333333333333333</v>
      </c>
      <c r="AV324" s="28">
        <v>0.27272727272727282</v>
      </c>
      <c r="AW324" s="28">
        <v>0.34090909090909088</v>
      </c>
      <c r="AX324" s="28">
        <v>6.8181818181818191E-2</v>
      </c>
      <c r="AY324" s="28">
        <v>0.31818181818181818</v>
      </c>
      <c r="AZ324" s="25">
        <v>0.95</v>
      </c>
      <c r="BA324" s="25">
        <v>3.44</v>
      </c>
      <c r="BB324" s="25">
        <v>2.4900000000000002</v>
      </c>
      <c r="BC324" s="25">
        <v>2.5979166666666669</v>
      </c>
      <c r="BD324">
        <v>2.597916666666666</v>
      </c>
      <c r="BE324">
        <v>5.966934078125</v>
      </c>
    </row>
    <row r="325" spans="1:57" x14ac:dyDescent="0.3">
      <c r="A325" s="2" t="s">
        <v>255</v>
      </c>
      <c r="B325" s="13" t="s">
        <v>818</v>
      </c>
      <c r="C325" s="13"/>
      <c r="D325" s="2"/>
      <c r="E325" s="2"/>
      <c r="F325" s="2">
        <v>1.55</v>
      </c>
      <c r="G325" s="2" t="s">
        <v>256</v>
      </c>
      <c r="H325" s="9" t="s">
        <v>595</v>
      </c>
      <c r="I325" t="s">
        <v>668</v>
      </c>
      <c r="K325" s="2"/>
      <c r="L325" s="2"/>
      <c r="M325" s="2"/>
      <c r="N325" s="23">
        <v>2</v>
      </c>
      <c r="O325" s="2"/>
      <c r="P325" s="2"/>
      <c r="Q325" s="2"/>
      <c r="R325" s="2"/>
      <c r="S325" s="2"/>
      <c r="T325" s="23">
        <v>6.8866614799999999</v>
      </c>
      <c r="U325" s="23">
        <v>6.8866614799999999</v>
      </c>
      <c r="V325" s="23">
        <v>6.8866614799999999</v>
      </c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O325">
        <v>8</v>
      </c>
      <c r="AP325" s="21">
        <v>222.33131811857061</v>
      </c>
      <c r="AQ325" s="21">
        <v>7.1964670274059672E-2</v>
      </c>
      <c r="AR325" s="28">
        <v>1.857142857142857</v>
      </c>
      <c r="AS325" s="28">
        <v>3.1428571428571428</v>
      </c>
      <c r="AT325" s="28">
        <v>4.2857142857142856</v>
      </c>
      <c r="AU325" s="28">
        <v>4</v>
      </c>
      <c r="AV325" s="28">
        <v>0.1397849462365591</v>
      </c>
      <c r="AW325" s="28">
        <v>0.23655913978494619</v>
      </c>
      <c r="AX325" s="28">
        <v>0.32258064516129031</v>
      </c>
      <c r="AY325" s="28">
        <v>0.30107526881720431</v>
      </c>
      <c r="AZ325" s="25">
        <v>1.9</v>
      </c>
      <c r="BA325" s="25">
        <v>3.44</v>
      </c>
      <c r="BB325" s="25">
        <v>1.54</v>
      </c>
      <c r="BC325" s="25">
        <v>2.8142857142857141</v>
      </c>
      <c r="BD325">
        <v>2.8142857142857141</v>
      </c>
      <c r="BE325">
        <v>6.1238972471428568</v>
      </c>
    </row>
    <row r="326" spans="1:57" x14ac:dyDescent="0.3">
      <c r="A326" s="2" t="s">
        <v>0</v>
      </c>
      <c r="B326" s="13" t="s">
        <v>685</v>
      </c>
      <c r="C326" s="13"/>
      <c r="D326" s="2"/>
      <c r="E326" s="2"/>
      <c r="F326" s="2">
        <v>3.3</v>
      </c>
      <c r="G326" s="2" t="s">
        <v>257</v>
      </c>
      <c r="H326" s="9" t="s">
        <v>523</v>
      </c>
      <c r="I326" t="s">
        <v>606</v>
      </c>
      <c r="K326" s="2"/>
      <c r="L326" s="2"/>
      <c r="M326" s="2"/>
      <c r="N326" s="23">
        <v>4</v>
      </c>
      <c r="O326" s="2"/>
      <c r="P326" s="2"/>
      <c r="Q326" s="2"/>
      <c r="R326" s="2"/>
      <c r="S326" s="2"/>
      <c r="T326" s="23">
        <v>6.6040679999999998</v>
      </c>
      <c r="U326" s="23">
        <v>7.9389519999999996</v>
      </c>
      <c r="V326" s="23">
        <v>33.703336</v>
      </c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O326">
        <v>34</v>
      </c>
      <c r="AP326" s="21">
        <v>1767.0449718798691</v>
      </c>
      <c r="AQ326" s="21">
        <v>7.6964651247849417E-2</v>
      </c>
      <c r="AR326" s="28">
        <v>1.62962962962963</v>
      </c>
      <c r="AS326" s="28">
        <v>2.518518518518519</v>
      </c>
      <c r="AT326" s="28">
        <v>0.88888888888888884</v>
      </c>
      <c r="AU326" s="28">
        <v>0</v>
      </c>
      <c r="AV326" s="28">
        <v>0.32352941176470579</v>
      </c>
      <c r="AW326" s="28">
        <v>0.5</v>
      </c>
      <c r="AX326" s="28">
        <v>0.1764705882352941</v>
      </c>
      <c r="AY326" s="28">
        <v>0</v>
      </c>
      <c r="AZ326" s="25">
        <v>0.82</v>
      </c>
      <c r="BA326" s="25">
        <v>3.44</v>
      </c>
      <c r="BB326" s="25">
        <v>2.62</v>
      </c>
      <c r="BC326" s="25">
        <v>2.642962962962963</v>
      </c>
      <c r="BD326">
        <v>2.642962962962963</v>
      </c>
      <c r="BE326">
        <v>5.9587362692592576</v>
      </c>
    </row>
    <row r="327" spans="1:57" x14ac:dyDescent="0.3">
      <c r="A327" s="2" t="s">
        <v>215</v>
      </c>
      <c r="B327" s="13" t="s">
        <v>734</v>
      </c>
      <c r="C327" s="13"/>
      <c r="D327" s="2"/>
      <c r="E327" s="2"/>
      <c r="F327" s="2">
        <v>4.13</v>
      </c>
      <c r="G327" s="2" t="s">
        <v>258</v>
      </c>
      <c r="H327" s="9" t="s">
        <v>587</v>
      </c>
      <c r="I327" t="s">
        <v>636</v>
      </c>
      <c r="K327" s="2"/>
      <c r="L327" s="2"/>
      <c r="M327" s="2"/>
      <c r="N327" s="23">
        <v>1</v>
      </c>
      <c r="O327" s="2"/>
      <c r="P327" s="2"/>
      <c r="Q327" s="2"/>
      <c r="R327" s="2"/>
      <c r="S327" s="2"/>
      <c r="T327" s="23">
        <v>3.950634</v>
      </c>
      <c r="U327" s="23">
        <v>3.950634</v>
      </c>
      <c r="V327" s="23">
        <v>15.513552000000001</v>
      </c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O327">
        <v>20</v>
      </c>
      <c r="AP327" s="21">
        <v>242.1279024923125</v>
      </c>
      <c r="AQ327" s="21">
        <v>8.2600971611006269E-2</v>
      </c>
      <c r="AR327" s="28">
        <v>1.9375</v>
      </c>
      <c r="AS327" s="28">
        <v>2.5</v>
      </c>
      <c r="AT327" s="28">
        <v>0.5625</v>
      </c>
      <c r="AU327" s="28">
        <v>2.625</v>
      </c>
      <c r="AV327" s="28">
        <v>0.25409836065573771</v>
      </c>
      <c r="AW327" s="28">
        <v>0.32786885245901642</v>
      </c>
      <c r="AX327" s="28">
        <v>7.3770491803278687E-2</v>
      </c>
      <c r="AY327" s="28">
        <v>0.34426229508196721</v>
      </c>
      <c r="AZ327" s="25">
        <v>0.79</v>
      </c>
      <c r="BA327" s="25">
        <v>3.44</v>
      </c>
      <c r="BB327" s="25">
        <v>2.65</v>
      </c>
      <c r="BC327" s="25">
        <v>2.6056249999999999</v>
      </c>
      <c r="BD327">
        <v>2.6056249999999999</v>
      </c>
      <c r="BE327">
        <v>5.9703320286696879</v>
      </c>
    </row>
    <row r="328" spans="1:57" x14ac:dyDescent="0.3">
      <c r="A328" s="2" t="s">
        <v>259</v>
      </c>
      <c r="B328" s="17" t="s">
        <v>734</v>
      </c>
      <c r="C328" s="13"/>
      <c r="D328" s="2" t="s">
        <v>676</v>
      </c>
      <c r="E328" s="2">
        <v>0.3</v>
      </c>
      <c r="F328" s="2">
        <v>2.17</v>
      </c>
      <c r="G328" s="2" t="s">
        <v>258</v>
      </c>
      <c r="H328" s="9" t="s">
        <v>587</v>
      </c>
      <c r="I328" t="s">
        <v>636</v>
      </c>
      <c r="K328" s="2"/>
      <c r="L328" s="2"/>
      <c r="M328" s="2"/>
      <c r="N328" s="23">
        <v>1</v>
      </c>
      <c r="O328" s="2"/>
      <c r="P328" s="2"/>
      <c r="Q328" s="2"/>
      <c r="R328" s="2"/>
      <c r="S328" s="2"/>
      <c r="T328" s="23">
        <v>3.950634</v>
      </c>
      <c r="U328" s="23">
        <v>3.950634</v>
      </c>
      <c r="V328" s="23">
        <v>15.513552000000001</v>
      </c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O328">
        <v>20</v>
      </c>
      <c r="AP328" s="21">
        <v>242.1279024923125</v>
      </c>
      <c r="AQ328" s="21">
        <v>8.2600971611006269E-2</v>
      </c>
      <c r="AR328" s="28">
        <v>1.9375</v>
      </c>
      <c r="AS328" s="28">
        <v>2.5</v>
      </c>
      <c r="AT328" s="28">
        <v>0.5625</v>
      </c>
      <c r="AU328" s="28">
        <v>2.625</v>
      </c>
      <c r="AV328" s="28">
        <v>0.25409836065573771</v>
      </c>
      <c r="AW328" s="28">
        <v>0.32786885245901642</v>
      </c>
      <c r="AX328" s="28">
        <v>7.3770491803278687E-2</v>
      </c>
      <c r="AY328" s="28">
        <v>0.34426229508196721</v>
      </c>
      <c r="AZ328" s="25">
        <v>0.79</v>
      </c>
      <c r="BA328" s="25">
        <v>3.44</v>
      </c>
      <c r="BB328" s="25">
        <v>2.65</v>
      </c>
      <c r="BC328" s="25">
        <v>2.6056249999999999</v>
      </c>
      <c r="BD328">
        <v>2.6056249999999999</v>
      </c>
      <c r="BE328">
        <v>5.9703320286696879</v>
      </c>
    </row>
    <row r="329" spans="1:57" x14ac:dyDescent="0.3">
      <c r="A329" s="2" t="s">
        <v>4</v>
      </c>
      <c r="B329" s="13" t="s">
        <v>689</v>
      </c>
      <c r="C329" s="13"/>
      <c r="D329" s="2"/>
      <c r="E329" s="2"/>
      <c r="F329" s="2">
        <v>3.35</v>
      </c>
      <c r="G329" s="2" t="s">
        <v>260</v>
      </c>
      <c r="H329" s="9" t="s">
        <v>527</v>
      </c>
      <c r="I329" t="s">
        <v>609</v>
      </c>
      <c r="K329" s="2"/>
      <c r="L329" s="2"/>
      <c r="M329" s="2"/>
      <c r="N329" s="23">
        <v>4</v>
      </c>
      <c r="O329" s="2"/>
      <c r="P329" s="2"/>
      <c r="Q329" s="2"/>
      <c r="R329" s="2"/>
      <c r="S329" s="2"/>
      <c r="T329" s="23">
        <v>7.8084429999999996</v>
      </c>
      <c r="U329" s="23">
        <v>7.8548809999999998</v>
      </c>
      <c r="V329" s="23">
        <v>15.19056011</v>
      </c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O329">
        <v>20</v>
      </c>
      <c r="AP329" s="21">
        <v>924.74694800021894</v>
      </c>
      <c r="AQ329" s="21">
        <v>8.6510153045653584E-2</v>
      </c>
      <c r="AR329" s="28">
        <v>1.75</v>
      </c>
      <c r="AS329" s="28">
        <v>2.5</v>
      </c>
      <c r="AT329" s="28">
        <v>0.75</v>
      </c>
      <c r="AU329" s="28">
        <v>0</v>
      </c>
      <c r="AV329" s="28">
        <v>0.35</v>
      </c>
      <c r="AW329" s="28">
        <v>0.5</v>
      </c>
      <c r="AX329" s="28">
        <v>0.15</v>
      </c>
      <c r="AY329" s="28">
        <v>0</v>
      </c>
      <c r="AZ329" s="25">
        <v>0.82</v>
      </c>
      <c r="BA329" s="25">
        <v>3.44</v>
      </c>
      <c r="BB329" s="25">
        <v>2.62</v>
      </c>
      <c r="BC329" s="25">
        <v>2.6262500000000002</v>
      </c>
      <c r="BD329">
        <v>2.6262500000000002</v>
      </c>
      <c r="BE329">
        <v>5.96680968125</v>
      </c>
    </row>
    <row r="330" spans="1:57" x14ac:dyDescent="0.3">
      <c r="A330" s="2" t="s">
        <v>38</v>
      </c>
      <c r="B330" s="13" t="s">
        <v>714</v>
      </c>
      <c r="C330" s="13"/>
      <c r="D330" s="2"/>
      <c r="E330" s="2"/>
      <c r="F330" s="2">
        <v>3.92</v>
      </c>
      <c r="G330" s="2" t="s">
        <v>261</v>
      </c>
      <c r="H330" s="9" t="s">
        <v>545</v>
      </c>
      <c r="I330" t="s">
        <v>626</v>
      </c>
      <c r="K330" s="2"/>
      <c r="L330" s="2"/>
      <c r="M330" s="2"/>
      <c r="N330" s="23">
        <v>1</v>
      </c>
      <c r="O330" s="2"/>
      <c r="P330" s="2"/>
      <c r="Q330" s="2"/>
      <c r="R330" s="2"/>
      <c r="S330" s="2"/>
      <c r="T330" s="23">
        <v>5.8532381300000003</v>
      </c>
      <c r="U330" s="23">
        <v>5.8532371599999999</v>
      </c>
      <c r="V330" s="23">
        <v>11.912811489999999</v>
      </c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O330">
        <v>30</v>
      </c>
      <c r="AP330" s="21">
        <v>353.45760058531442</v>
      </c>
      <c r="AQ330" s="21">
        <v>8.487580957467307E-2</v>
      </c>
      <c r="AR330" s="28">
        <v>1.833333333333333</v>
      </c>
      <c r="AS330" s="28">
        <v>2.5</v>
      </c>
      <c r="AT330" s="28">
        <v>0.66666666666666663</v>
      </c>
      <c r="AU330" s="28">
        <v>0</v>
      </c>
      <c r="AV330" s="28">
        <v>0.36666666666666659</v>
      </c>
      <c r="AW330" s="28">
        <v>0.5</v>
      </c>
      <c r="AX330" s="28">
        <v>0.1333333333333333</v>
      </c>
      <c r="AY330" s="28">
        <v>0</v>
      </c>
      <c r="AZ330" s="25">
        <v>0.89</v>
      </c>
      <c r="BA330" s="25">
        <v>3.44</v>
      </c>
      <c r="BB330" s="25">
        <v>2.5499999999999998</v>
      </c>
      <c r="BC330" s="25">
        <v>2.6020833333333329</v>
      </c>
      <c r="BD330">
        <v>2.6020833333333329</v>
      </c>
      <c r="BE330">
        <v>5.9098726145833336</v>
      </c>
    </row>
    <row r="331" spans="1:57" x14ac:dyDescent="0.3">
      <c r="A331" s="2" t="s">
        <v>4</v>
      </c>
      <c r="B331" s="20" t="s">
        <v>689</v>
      </c>
      <c r="C331" s="13"/>
      <c r="D331" s="2"/>
      <c r="E331" s="2"/>
      <c r="F331" s="2">
        <v>3.55</v>
      </c>
      <c r="G331" s="2" t="s">
        <v>263</v>
      </c>
      <c r="H331" s="9">
        <v>-1</v>
      </c>
      <c r="I331">
        <v>-1</v>
      </c>
      <c r="K331" s="2"/>
      <c r="L331" s="2"/>
      <c r="M331" s="2"/>
      <c r="N331" s="23">
        <v>0</v>
      </c>
      <c r="O331" s="2">
        <v>3.8450000000000002</v>
      </c>
      <c r="P331" s="2">
        <v>29.35</v>
      </c>
      <c r="Q331" s="2">
        <v>7.6580000000000004</v>
      </c>
      <c r="R331" s="2" t="s">
        <v>472</v>
      </c>
      <c r="S331" s="2"/>
      <c r="T331" s="23">
        <v>0</v>
      </c>
      <c r="U331" s="23"/>
      <c r="V331" s="23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O331">
        <v>20</v>
      </c>
      <c r="AP331" s="21">
        <v>0</v>
      </c>
      <c r="AQ331" s="21"/>
      <c r="AR331" s="28">
        <v>1.75</v>
      </c>
      <c r="AS331" s="28">
        <v>2.5</v>
      </c>
      <c r="AT331" s="28">
        <v>0.75</v>
      </c>
      <c r="AU331" s="28">
        <v>0</v>
      </c>
      <c r="AV331" s="28">
        <v>0.35</v>
      </c>
      <c r="AW331" s="28">
        <v>0.5</v>
      </c>
      <c r="AX331" s="28">
        <v>0.15</v>
      </c>
      <c r="AY331" s="28">
        <v>0</v>
      </c>
      <c r="AZ331" s="25">
        <v>0.82</v>
      </c>
      <c r="BA331" s="25">
        <v>3.44</v>
      </c>
      <c r="BB331" s="25">
        <v>2.62</v>
      </c>
      <c r="BC331" s="25">
        <v>2.6262500000000002</v>
      </c>
      <c r="BD331">
        <v>2.7466666666666661</v>
      </c>
      <c r="BE331">
        <v>6.2031928980000002</v>
      </c>
    </row>
    <row r="332" spans="1:57" x14ac:dyDescent="0.3">
      <c r="A332" s="2" t="s">
        <v>4</v>
      </c>
      <c r="B332" s="20" t="s">
        <v>689</v>
      </c>
      <c r="C332" s="13"/>
      <c r="D332" s="2" t="s">
        <v>676</v>
      </c>
      <c r="E332" s="2">
        <v>1.37</v>
      </c>
      <c r="F332" s="2">
        <v>3.03</v>
      </c>
      <c r="G332" s="2" t="s">
        <v>263</v>
      </c>
      <c r="H332" s="9">
        <v>-1</v>
      </c>
      <c r="I332">
        <v>-1</v>
      </c>
      <c r="K332" s="2"/>
      <c r="L332" s="2"/>
      <c r="M332" s="2"/>
      <c r="N332" s="23">
        <v>0</v>
      </c>
      <c r="O332" s="2">
        <v>3.8490000000000002</v>
      </c>
      <c r="P332" s="2">
        <v>29.42</v>
      </c>
      <c r="Q332" s="2">
        <v>7.6680000000000001</v>
      </c>
      <c r="R332" s="2" t="s">
        <v>472</v>
      </c>
      <c r="S332" s="2"/>
      <c r="T332" s="23">
        <v>0</v>
      </c>
      <c r="U332" s="23"/>
      <c r="V332" s="23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O332">
        <v>20</v>
      </c>
      <c r="AP332" s="21">
        <v>0</v>
      </c>
      <c r="AQ332" s="21"/>
      <c r="AR332" s="28">
        <v>1.75</v>
      </c>
      <c r="AS332" s="28">
        <v>2.5</v>
      </c>
      <c r="AT332" s="28">
        <v>0.75</v>
      </c>
      <c r="AU332" s="28">
        <v>0</v>
      </c>
      <c r="AV332" s="28">
        <v>0.35</v>
      </c>
      <c r="AW332" s="28">
        <v>0.5</v>
      </c>
      <c r="AX332" s="28">
        <v>0.15</v>
      </c>
      <c r="AY332" s="28">
        <v>0</v>
      </c>
      <c r="AZ332" s="25">
        <v>0.82</v>
      </c>
      <c r="BA332" s="25">
        <v>3.44</v>
      </c>
      <c r="BB332" s="25">
        <v>2.62</v>
      </c>
      <c r="BC332" s="25">
        <v>2.6262500000000002</v>
      </c>
      <c r="BD332">
        <v>2.7466666666666661</v>
      </c>
      <c r="BE332">
        <v>6.2031928980000002</v>
      </c>
    </row>
    <row r="333" spans="1:57" x14ac:dyDescent="0.3">
      <c r="A333" s="2" t="s">
        <v>889</v>
      </c>
      <c r="B333" s="17" t="s">
        <v>945</v>
      </c>
      <c r="C333" s="13"/>
      <c r="D333" s="2" t="s">
        <v>676</v>
      </c>
      <c r="E333" s="2">
        <v>0.41</v>
      </c>
      <c r="F333" s="2">
        <v>2.1800000000000002</v>
      </c>
      <c r="G333" s="2" t="s">
        <v>264</v>
      </c>
      <c r="H333" s="9">
        <v>-1</v>
      </c>
      <c r="I333">
        <v>-1</v>
      </c>
      <c r="J333" t="s">
        <v>1174</v>
      </c>
      <c r="K333" s="2"/>
      <c r="L333" s="2"/>
      <c r="M333" s="2"/>
      <c r="N333" s="23">
        <v>0</v>
      </c>
      <c r="O333" s="2">
        <v>-1</v>
      </c>
      <c r="P333" s="2"/>
      <c r="Q333" s="2"/>
      <c r="R333" s="2"/>
      <c r="S333" s="2"/>
      <c r="T333" s="23">
        <v>0</v>
      </c>
      <c r="U333" s="23"/>
      <c r="V333" s="23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O333">
        <v>20</v>
      </c>
      <c r="AP333" s="21">
        <v>0</v>
      </c>
      <c r="AQ333" s="21"/>
      <c r="AR333" s="28">
        <v>1.9375</v>
      </c>
      <c r="AS333" s="28">
        <v>2.5</v>
      </c>
      <c r="AT333" s="28">
        <v>0.5625</v>
      </c>
      <c r="AU333" s="28">
        <v>2.625</v>
      </c>
      <c r="AV333" s="28">
        <v>0.25409836065573771</v>
      </c>
      <c r="AW333" s="28">
        <v>0.32786885245901642</v>
      </c>
      <c r="AX333" s="28">
        <v>7.3770491803278687E-2</v>
      </c>
      <c r="AY333" s="28">
        <v>0.34426229508196721</v>
      </c>
      <c r="AZ333" s="25">
        <v>0.79</v>
      </c>
      <c r="BA333" s="25">
        <v>3.44</v>
      </c>
      <c r="BB333" s="25">
        <v>2.65</v>
      </c>
      <c r="BC333" s="25">
        <v>2.5975000000000001</v>
      </c>
      <c r="BD333">
        <v>2.5975000000000001</v>
      </c>
      <c r="BE333">
        <v>5.9398049203884389</v>
      </c>
    </row>
    <row r="334" spans="1:57" x14ac:dyDescent="0.3">
      <c r="A334" s="2" t="s">
        <v>4</v>
      </c>
      <c r="B334" s="13" t="s">
        <v>689</v>
      </c>
      <c r="C334" s="13"/>
      <c r="D334" s="2" t="s">
        <v>890</v>
      </c>
      <c r="E334" s="2">
        <v>0.55000000000000004</v>
      </c>
      <c r="F334" s="2">
        <v>2.92</v>
      </c>
      <c r="G334" s="2" t="s">
        <v>265</v>
      </c>
      <c r="H334" s="9" t="s">
        <v>527</v>
      </c>
      <c r="I334" t="s">
        <v>609</v>
      </c>
      <c r="K334" s="2"/>
      <c r="L334" s="2"/>
      <c r="M334" s="2"/>
      <c r="N334" s="23">
        <v>4</v>
      </c>
      <c r="O334" s="2"/>
      <c r="P334" s="2"/>
      <c r="Q334" s="2"/>
      <c r="R334" s="2"/>
      <c r="S334" s="2"/>
      <c r="T334" s="23">
        <v>7.8084429999999996</v>
      </c>
      <c r="U334" s="23">
        <v>7.8548809999999998</v>
      </c>
      <c r="V334" s="23">
        <v>15.19056011</v>
      </c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O334">
        <v>20</v>
      </c>
      <c r="AP334" s="21">
        <v>924.74694800021894</v>
      </c>
      <c r="AQ334" s="21">
        <v>8.6510153045653584E-2</v>
      </c>
      <c r="AR334" s="28">
        <v>1.75</v>
      </c>
      <c r="AS334" s="28">
        <v>2.5</v>
      </c>
      <c r="AT334" s="28">
        <v>0.75</v>
      </c>
      <c r="AU334" s="28">
        <v>0</v>
      </c>
      <c r="AV334" s="28">
        <v>0.35</v>
      </c>
      <c r="AW334" s="28">
        <v>0.5</v>
      </c>
      <c r="AX334" s="28">
        <v>0.15</v>
      </c>
      <c r="AY334" s="28">
        <v>0</v>
      </c>
      <c r="AZ334" s="25">
        <v>0.82</v>
      </c>
      <c r="BA334" s="25">
        <v>3.44</v>
      </c>
      <c r="BB334" s="25">
        <v>2.62</v>
      </c>
      <c r="BC334" s="25">
        <v>2.6262500000000002</v>
      </c>
      <c r="BD334">
        <v>2.6262500000000002</v>
      </c>
      <c r="BE334">
        <v>5.96680968125</v>
      </c>
    </row>
    <row r="335" spans="1:57" x14ac:dyDescent="0.3">
      <c r="A335" s="2" t="s">
        <v>4</v>
      </c>
      <c r="B335" s="13" t="s">
        <v>689</v>
      </c>
      <c r="C335" s="13"/>
      <c r="D335" s="2"/>
      <c r="E335" s="2"/>
      <c r="F335" s="2">
        <v>3.55</v>
      </c>
      <c r="G335" s="2" t="s">
        <v>265</v>
      </c>
      <c r="H335" s="9" t="s">
        <v>527</v>
      </c>
      <c r="I335" t="s">
        <v>609</v>
      </c>
      <c r="K335" s="2"/>
      <c r="L335" s="2"/>
      <c r="M335" s="2"/>
      <c r="N335" s="23">
        <v>4</v>
      </c>
      <c r="O335" s="2"/>
      <c r="P335" s="2"/>
      <c r="Q335" s="2"/>
      <c r="R335" s="2"/>
      <c r="S335" s="2"/>
      <c r="T335" s="23">
        <v>7.8084429999999996</v>
      </c>
      <c r="U335" s="23">
        <v>7.8548809999999998</v>
      </c>
      <c r="V335" s="23">
        <v>15.19056011</v>
      </c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O335">
        <v>20</v>
      </c>
      <c r="AP335" s="21">
        <v>924.74694800021894</v>
      </c>
      <c r="AQ335" s="21">
        <v>8.6510153045653584E-2</v>
      </c>
      <c r="AR335" s="28">
        <v>1.75</v>
      </c>
      <c r="AS335" s="28">
        <v>2.5</v>
      </c>
      <c r="AT335" s="28">
        <v>0.75</v>
      </c>
      <c r="AU335" s="28">
        <v>0</v>
      </c>
      <c r="AV335" s="28">
        <v>0.35</v>
      </c>
      <c r="AW335" s="28">
        <v>0.5</v>
      </c>
      <c r="AX335" s="28">
        <v>0.15</v>
      </c>
      <c r="AY335" s="28">
        <v>0</v>
      </c>
      <c r="AZ335" s="25">
        <v>0.82</v>
      </c>
      <c r="BA335" s="25">
        <v>3.44</v>
      </c>
      <c r="BB335" s="25">
        <v>2.62</v>
      </c>
      <c r="BC335" s="25">
        <v>2.6262500000000002</v>
      </c>
      <c r="BD335">
        <v>2.6262500000000002</v>
      </c>
      <c r="BE335">
        <v>5.96680968125</v>
      </c>
    </row>
    <row r="336" spans="1:57" x14ac:dyDescent="0.3">
      <c r="A336" s="2" t="s">
        <v>266</v>
      </c>
      <c r="B336" s="13" t="s">
        <v>819</v>
      </c>
      <c r="C336" s="13"/>
      <c r="D336" s="2"/>
      <c r="E336" s="2"/>
      <c r="F336" s="2">
        <v>2.8</v>
      </c>
      <c r="G336" s="2" t="s">
        <v>267</v>
      </c>
      <c r="H336" s="9" t="s">
        <v>596</v>
      </c>
      <c r="I336" t="s">
        <v>669</v>
      </c>
      <c r="K336" s="2"/>
      <c r="L336" s="2"/>
      <c r="M336" s="2"/>
      <c r="N336" s="23">
        <v>1</v>
      </c>
      <c r="O336" s="2">
        <v>3.97</v>
      </c>
      <c r="P336" s="2">
        <v>3.97</v>
      </c>
      <c r="Q336" s="2">
        <v>15.56</v>
      </c>
      <c r="R336" s="2" t="s">
        <v>519</v>
      </c>
      <c r="S336" s="2"/>
      <c r="T336" s="23">
        <v>4.0290549999999996</v>
      </c>
      <c r="U336" s="23">
        <v>4.0290549999999996</v>
      </c>
      <c r="V336" s="23">
        <v>16.069894999999999</v>
      </c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O336">
        <v>20</v>
      </c>
      <c r="AP336" s="21">
        <v>260.8671724870714</v>
      </c>
      <c r="AQ336" s="21">
        <v>7.6667369869971663E-2</v>
      </c>
      <c r="AR336" s="28">
        <v>1.75</v>
      </c>
      <c r="AS336" s="28">
        <v>2.5</v>
      </c>
      <c r="AT336" s="28">
        <v>0.75</v>
      </c>
      <c r="AU336" s="28">
        <v>0</v>
      </c>
      <c r="AV336" s="28">
        <v>0.35</v>
      </c>
      <c r="AW336" s="28">
        <v>0.5</v>
      </c>
      <c r="AX336" s="28">
        <v>0.15</v>
      </c>
      <c r="AY336" s="28">
        <v>0</v>
      </c>
      <c r="AZ336" s="25">
        <v>0.79</v>
      </c>
      <c r="BA336" s="25">
        <v>3.44</v>
      </c>
      <c r="BB336" s="25">
        <v>2.65</v>
      </c>
      <c r="BC336" s="25">
        <v>2.6106250000000002</v>
      </c>
      <c r="BD336">
        <v>2.6106250000000002</v>
      </c>
      <c r="BE336">
        <v>5.9030778492946876</v>
      </c>
    </row>
    <row r="337" spans="1:57" x14ac:dyDescent="0.3">
      <c r="A337" s="2" t="s">
        <v>268</v>
      </c>
      <c r="B337" s="13" t="s">
        <v>820</v>
      </c>
      <c r="C337" s="13"/>
      <c r="D337" s="2"/>
      <c r="E337" s="2"/>
      <c r="F337" s="2">
        <v>2.8</v>
      </c>
      <c r="G337" s="2" t="s">
        <v>267</v>
      </c>
      <c r="H337" s="9">
        <v>-1</v>
      </c>
      <c r="I337">
        <v>-1</v>
      </c>
      <c r="K337" s="2"/>
      <c r="L337" s="2"/>
      <c r="M337" s="2"/>
      <c r="N337" s="23">
        <v>0</v>
      </c>
      <c r="O337" s="2">
        <v>3.97</v>
      </c>
      <c r="P337" s="2">
        <v>3.97</v>
      </c>
      <c r="Q337" s="2">
        <v>15.56</v>
      </c>
      <c r="R337" s="2" t="s">
        <v>519</v>
      </c>
      <c r="S337" s="2"/>
      <c r="T337" s="23">
        <v>0</v>
      </c>
      <c r="U337" s="23"/>
      <c r="V337" s="23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O337">
        <v>20</v>
      </c>
      <c r="AP337" s="21">
        <v>0</v>
      </c>
      <c r="AQ337" s="21"/>
      <c r="AR337" s="28">
        <v>1.75</v>
      </c>
      <c r="AS337" s="28">
        <v>2.5</v>
      </c>
      <c r="AT337" s="28">
        <v>0.75</v>
      </c>
      <c r="AU337" s="28">
        <v>0</v>
      </c>
      <c r="AV337" s="28">
        <v>0.35</v>
      </c>
      <c r="AW337" s="28">
        <v>0.5</v>
      </c>
      <c r="AX337" s="28">
        <v>0.15</v>
      </c>
      <c r="AY337" s="28">
        <v>0</v>
      </c>
      <c r="AZ337" s="25">
        <v>0.89</v>
      </c>
      <c r="BA337" s="25">
        <v>3.44</v>
      </c>
      <c r="BB337" s="25">
        <v>2.5499999999999998</v>
      </c>
      <c r="BC337" s="25">
        <v>2.69875</v>
      </c>
      <c r="BD337">
        <v>2.69875</v>
      </c>
      <c r="BE337">
        <v>6.2151871187406877</v>
      </c>
    </row>
    <row r="338" spans="1:57" x14ac:dyDescent="0.3">
      <c r="A338" s="2" t="s">
        <v>270</v>
      </c>
      <c r="B338" s="18" t="s">
        <v>977</v>
      </c>
      <c r="C338" s="13"/>
      <c r="D338" s="2"/>
      <c r="E338" s="2"/>
      <c r="F338" s="2">
        <v>3.29</v>
      </c>
      <c r="G338" s="2" t="s">
        <v>269</v>
      </c>
      <c r="H338" s="9">
        <v>-1</v>
      </c>
      <c r="I338">
        <v>-1</v>
      </c>
      <c r="K338" s="2"/>
      <c r="L338" s="2"/>
      <c r="M338" s="2"/>
      <c r="N338" s="23">
        <v>0</v>
      </c>
      <c r="O338" s="2">
        <v>3.89</v>
      </c>
      <c r="P338" s="2">
        <v>3.89</v>
      </c>
      <c r="Q338" s="2">
        <v>16.43</v>
      </c>
      <c r="R338" s="2" t="s">
        <v>519</v>
      </c>
      <c r="S338" s="2"/>
      <c r="T338" s="23">
        <v>0</v>
      </c>
      <c r="U338" s="23"/>
      <c r="V338" s="23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O338">
        <v>38</v>
      </c>
      <c r="AP338" s="21">
        <v>0</v>
      </c>
      <c r="AQ338" s="21"/>
      <c r="AR338" s="28">
        <v>1.84</v>
      </c>
      <c r="AS338" s="28">
        <v>3.04</v>
      </c>
      <c r="AT338" s="28">
        <v>0.48</v>
      </c>
      <c r="AU338" s="28">
        <v>0</v>
      </c>
      <c r="AV338" s="28">
        <v>0.34328358208955218</v>
      </c>
      <c r="AW338" s="28">
        <v>0.56716417910447758</v>
      </c>
      <c r="AX338" s="28">
        <v>8.9552238805970144E-2</v>
      </c>
      <c r="AY338" s="28">
        <v>0</v>
      </c>
      <c r="AZ338" s="25">
        <v>0.95</v>
      </c>
      <c r="BA338" s="25">
        <v>3.44</v>
      </c>
      <c r="BB338" s="25">
        <v>2.4900000000000002</v>
      </c>
      <c r="BC338" s="25">
        <v>2.9704000000000002</v>
      </c>
      <c r="BD338">
        <v>2.9704000000000002</v>
      </c>
      <c r="BE338">
        <v>6.7075943239940399</v>
      </c>
    </row>
    <row r="339" spans="1:57" x14ac:dyDescent="0.3">
      <c r="A339" s="2" t="s">
        <v>271</v>
      </c>
      <c r="B339" s="18" t="s">
        <v>978</v>
      </c>
      <c r="C339" s="13"/>
      <c r="D339" s="2"/>
      <c r="E339" s="2"/>
      <c r="F339" s="2">
        <v>3.29</v>
      </c>
      <c r="G339" s="2" t="s">
        <v>269</v>
      </c>
      <c r="H339" s="9">
        <v>-1</v>
      </c>
      <c r="I339">
        <v>-1</v>
      </c>
      <c r="K339" s="2"/>
      <c r="L339" s="2"/>
      <c r="M339" s="2"/>
      <c r="N339" s="23">
        <v>0</v>
      </c>
      <c r="O339" s="2">
        <v>3.9</v>
      </c>
      <c r="P339" s="2">
        <v>3.9</v>
      </c>
      <c r="Q339" s="2">
        <v>16.54</v>
      </c>
      <c r="R339" s="2" t="s">
        <v>519</v>
      </c>
      <c r="S339" s="2"/>
      <c r="T339" s="23">
        <v>0</v>
      </c>
      <c r="U339" s="23"/>
      <c r="V339" s="23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O339">
        <v>38</v>
      </c>
      <c r="AP339" s="21">
        <v>0</v>
      </c>
      <c r="AQ339" s="21"/>
      <c r="AR339" s="28">
        <v>1.71875</v>
      </c>
      <c r="AS339" s="28">
        <v>2.53125</v>
      </c>
      <c r="AT339" s="28">
        <v>0.375</v>
      </c>
      <c r="AU339" s="28">
        <v>0</v>
      </c>
      <c r="AV339" s="28">
        <v>0.3716216216216216</v>
      </c>
      <c r="AW339" s="28">
        <v>0.54729729729729726</v>
      </c>
      <c r="AX339" s="28">
        <v>8.1081081081081086E-2</v>
      </c>
      <c r="AY339" s="28">
        <v>0</v>
      </c>
      <c r="AZ339" s="25">
        <v>0.95</v>
      </c>
      <c r="BA339" s="25">
        <v>3.44</v>
      </c>
      <c r="BB339" s="25">
        <v>2.4900000000000002</v>
      </c>
      <c r="BC339" s="25">
        <v>2.8390624999999998</v>
      </c>
      <c r="BD339">
        <v>2.8390624999999998</v>
      </c>
      <c r="BE339">
        <v>6.7833032939095634</v>
      </c>
    </row>
    <row r="340" spans="1:57" x14ac:dyDescent="0.3">
      <c r="A340" s="2" t="s">
        <v>272</v>
      </c>
      <c r="B340" s="18" t="s">
        <v>983</v>
      </c>
      <c r="C340" s="13"/>
      <c r="D340" s="2"/>
      <c r="E340" s="2"/>
      <c r="F340" s="2">
        <v>3.3</v>
      </c>
      <c r="G340" s="2" t="s">
        <v>269</v>
      </c>
      <c r="H340" s="9">
        <v>-1</v>
      </c>
      <c r="I340">
        <v>-1</v>
      </c>
      <c r="K340" s="2"/>
      <c r="L340" s="2"/>
      <c r="M340" s="2"/>
      <c r="N340" s="23">
        <v>0</v>
      </c>
      <c r="O340" s="2">
        <v>3.9</v>
      </c>
      <c r="P340" s="2">
        <v>3.9</v>
      </c>
      <c r="Q340" s="2">
        <v>20.78</v>
      </c>
      <c r="R340" s="2" t="s">
        <v>519</v>
      </c>
      <c r="S340" s="2"/>
      <c r="T340" s="23">
        <v>0</v>
      </c>
      <c r="U340" s="23"/>
      <c r="V340" s="23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O340">
        <v>38</v>
      </c>
      <c r="AP340" s="21">
        <v>0</v>
      </c>
      <c r="AQ340" s="21"/>
      <c r="AR340" s="28">
        <v>1.6857142857142859</v>
      </c>
      <c r="AS340" s="28">
        <v>2.371428571428571</v>
      </c>
      <c r="AT340" s="28">
        <v>0.34285714285714292</v>
      </c>
      <c r="AU340" s="28">
        <v>0</v>
      </c>
      <c r="AV340" s="28">
        <v>0.38311688311688308</v>
      </c>
      <c r="AW340" s="28">
        <v>0.53896103896103897</v>
      </c>
      <c r="AX340" s="28">
        <v>7.792207792207792E-2</v>
      </c>
      <c r="AY340" s="28">
        <v>0</v>
      </c>
      <c r="AZ340" s="25">
        <v>0.95</v>
      </c>
      <c r="BA340" s="25">
        <v>3.44</v>
      </c>
      <c r="BB340" s="25">
        <v>2.4900000000000002</v>
      </c>
      <c r="BC340" s="25">
        <v>2.794285714285714</v>
      </c>
      <c r="BD340">
        <v>2.794285714285714</v>
      </c>
      <c r="BE340">
        <v>6.7908553945945132</v>
      </c>
    </row>
    <row r="341" spans="1:57" x14ac:dyDescent="0.3">
      <c r="A341" s="2" t="s">
        <v>273</v>
      </c>
      <c r="B341" s="18" t="s">
        <v>982</v>
      </c>
      <c r="C341" s="13"/>
      <c r="D341" s="2"/>
      <c r="E341" s="2"/>
      <c r="F341" s="2">
        <v>3.31</v>
      </c>
      <c r="G341" s="2" t="s">
        <v>269</v>
      </c>
      <c r="H341" s="9">
        <v>-1</v>
      </c>
      <c r="I341">
        <v>-1</v>
      </c>
      <c r="K341" s="2"/>
      <c r="L341" s="2"/>
      <c r="M341" s="2"/>
      <c r="N341" s="23">
        <v>0</v>
      </c>
      <c r="O341" s="2">
        <v>3.89</v>
      </c>
      <c r="P341" s="2">
        <v>3.89</v>
      </c>
      <c r="Q341" s="2">
        <v>22.41</v>
      </c>
      <c r="R341" s="2" t="s">
        <v>519</v>
      </c>
      <c r="S341" s="2"/>
      <c r="T341" s="23">
        <v>0</v>
      </c>
      <c r="U341" s="23"/>
      <c r="V341" s="23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O341">
        <v>38</v>
      </c>
      <c r="AP341" s="21">
        <v>0</v>
      </c>
      <c r="AQ341" s="21"/>
      <c r="AR341" s="28">
        <v>1.6578947368421051</v>
      </c>
      <c r="AS341" s="28">
        <v>2.236842105263158</v>
      </c>
      <c r="AT341" s="28">
        <v>0.31578947368421051</v>
      </c>
      <c r="AU341" s="28">
        <v>0</v>
      </c>
      <c r="AV341" s="28">
        <v>0.39374999999999999</v>
      </c>
      <c r="AW341" s="28">
        <v>0.53125</v>
      </c>
      <c r="AX341" s="28">
        <v>7.4999999999999997E-2</v>
      </c>
      <c r="AY341" s="28">
        <v>0</v>
      </c>
      <c r="AZ341" s="25">
        <v>0.95</v>
      </c>
      <c r="BA341" s="25">
        <v>3.44</v>
      </c>
      <c r="BB341" s="25">
        <v>2.4900000000000002</v>
      </c>
      <c r="BC341" s="25">
        <v>2.7565789473684208</v>
      </c>
      <c r="BD341">
        <v>2.7565789473684208</v>
      </c>
      <c r="BE341">
        <v>6.7972150583292086</v>
      </c>
    </row>
    <row r="342" spans="1:57" x14ac:dyDescent="0.3">
      <c r="A342" s="2" t="s">
        <v>274</v>
      </c>
      <c r="B342" s="18" t="s">
        <v>981</v>
      </c>
      <c r="C342" s="13"/>
      <c r="D342" s="2"/>
      <c r="E342" s="2"/>
      <c r="F342" s="2">
        <v>3.32</v>
      </c>
      <c r="G342" s="2" t="s">
        <v>269</v>
      </c>
      <c r="H342" s="9">
        <v>-1</v>
      </c>
      <c r="I342">
        <v>-1</v>
      </c>
      <c r="K342" s="2"/>
      <c r="L342" s="2"/>
      <c r="M342" s="2"/>
      <c r="N342" s="23">
        <v>0</v>
      </c>
      <c r="O342" s="2">
        <v>3.9</v>
      </c>
      <c r="P342" s="2">
        <v>3.9</v>
      </c>
      <c r="Q342" s="2">
        <v>25.55</v>
      </c>
      <c r="R342" s="2" t="s">
        <v>519</v>
      </c>
      <c r="S342" s="2"/>
      <c r="T342" s="23">
        <v>0</v>
      </c>
      <c r="U342" s="23"/>
      <c r="V342" s="23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O342">
        <v>38</v>
      </c>
      <c r="AP342" s="21">
        <v>0</v>
      </c>
      <c r="AQ342" s="21"/>
      <c r="AR342" s="28">
        <v>1.634146341463415</v>
      </c>
      <c r="AS342" s="28">
        <v>2.1219512195121948</v>
      </c>
      <c r="AT342" s="28">
        <v>0.29268292682926828</v>
      </c>
      <c r="AU342" s="28">
        <v>0</v>
      </c>
      <c r="AV342" s="28">
        <v>0.40361445783132532</v>
      </c>
      <c r="AW342" s="28">
        <v>0.52409638554216864</v>
      </c>
      <c r="AX342" s="28">
        <v>7.2289156626506021E-2</v>
      </c>
      <c r="AY342" s="28">
        <v>0</v>
      </c>
      <c r="AZ342" s="25">
        <v>0.95</v>
      </c>
      <c r="BA342" s="25">
        <v>3.44</v>
      </c>
      <c r="BB342" s="25">
        <v>2.4900000000000002</v>
      </c>
      <c r="BC342" s="25">
        <v>2.7243902439024388</v>
      </c>
      <c r="BD342">
        <v>2.7243902439024388</v>
      </c>
      <c r="BE342">
        <v>6.8026440395661458</v>
      </c>
    </row>
    <row r="343" spans="1:57" x14ac:dyDescent="0.3">
      <c r="A343" s="2" t="s">
        <v>275</v>
      </c>
      <c r="B343" s="18" t="s">
        <v>980</v>
      </c>
      <c r="C343" s="13"/>
      <c r="D343" s="2"/>
      <c r="E343" s="2"/>
      <c r="F343" s="2">
        <v>3.32</v>
      </c>
      <c r="G343" s="2" t="s">
        <v>269</v>
      </c>
      <c r="H343" s="9">
        <v>-1</v>
      </c>
      <c r="I343">
        <v>-1</v>
      </c>
      <c r="K343" s="2"/>
      <c r="L343" s="2"/>
      <c r="M343" s="2"/>
      <c r="N343" s="23">
        <v>0</v>
      </c>
      <c r="O343" s="2">
        <v>3.93</v>
      </c>
      <c r="P343" s="2">
        <v>3.93</v>
      </c>
      <c r="Q343" s="2">
        <v>29.52</v>
      </c>
      <c r="R343" s="2" t="s">
        <v>519</v>
      </c>
      <c r="S343" s="2"/>
      <c r="T343" s="23">
        <v>0</v>
      </c>
      <c r="U343" s="23"/>
      <c r="V343" s="23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O343">
        <v>38</v>
      </c>
      <c r="AP343" s="21">
        <v>0</v>
      </c>
      <c r="AQ343" s="21"/>
      <c r="AR343" s="28">
        <v>1.595744680851064</v>
      </c>
      <c r="AS343" s="28">
        <v>1.936170212765957</v>
      </c>
      <c r="AT343" s="28">
        <v>0.25531914893617019</v>
      </c>
      <c r="AU343" s="28">
        <v>0</v>
      </c>
      <c r="AV343" s="28">
        <v>0.42134831460674149</v>
      </c>
      <c r="AW343" s="28">
        <v>0.5112359550561798</v>
      </c>
      <c r="AX343" s="28">
        <v>6.741573033707865E-2</v>
      </c>
      <c r="AY343" s="28">
        <v>0</v>
      </c>
      <c r="AZ343" s="25">
        <v>0.95</v>
      </c>
      <c r="BA343" s="25">
        <v>3.44</v>
      </c>
      <c r="BB343" s="25">
        <v>2.4900000000000002</v>
      </c>
      <c r="BC343" s="25">
        <v>2.6723404255319152</v>
      </c>
      <c r="BD343">
        <v>2.6723404255319152</v>
      </c>
      <c r="BE343">
        <v>6.8114228177365099</v>
      </c>
    </row>
    <row r="344" spans="1:57" x14ac:dyDescent="0.3">
      <c r="A344" s="2" t="s">
        <v>276</v>
      </c>
      <c r="B344" s="18" t="s">
        <v>979</v>
      </c>
      <c r="C344" s="13"/>
      <c r="D344" s="2"/>
      <c r="E344" s="2"/>
      <c r="F344" s="2">
        <v>3.32</v>
      </c>
      <c r="G344" s="2" t="s">
        <v>269</v>
      </c>
      <c r="H344" s="9">
        <v>-1</v>
      </c>
      <c r="I344">
        <v>-1</v>
      </c>
      <c r="K344" s="2"/>
      <c r="L344" s="2"/>
      <c r="M344" s="2"/>
      <c r="N344" s="23">
        <v>0</v>
      </c>
      <c r="O344" s="2">
        <v>3.9</v>
      </c>
      <c r="P344" s="2">
        <v>3.9</v>
      </c>
      <c r="Q344" s="2">
        <v>33.729999999999997</v>
      </c>
      <c r="R344" s="2" t="s">
        <v>519</v>
      </c>
      <c r="S344" s="2"/>
      <c r="T344" s="23">
        <v>0</v>
      </c>
      <c r="U344" s="23"/>
      <c r="V344" s="23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O344">
        <v>38</v>
      </c>
      <c r="AP344" s="21">
        <v>0</v>
      </c>
      <c r="AQ344" s="21"/>
      <c r="AR344" s="28">
        <v>1.5660377358490569</v>
      </c>
      <c r="AS344" s="28">
        <v>1.7924528301886791</v>
      </c>
      <c r="AT344" s="28">
        <v>0.22641509433962259</v>
      </c>
      <c r="AU344" s="28">
        <v>0</v>
      </c>
      <c r="AV344" s="28">
        <v>0.43684210526315792</v>
      </c>
      <c r="AW344" s="28">
        <v>0.5</v>
      </c>
      <c r="AX344" s="28">
        <v>6.3157894736842107E-2</v>
      </c>
      <c r="AY344" s="28">
        <v>0</v>
      </c>
      <c r="AZ344" s="25">
        <v>0.95</v>
      </c>
      <c r="BA344" s="25">
        <v>3.44</v>
      </c>
      <c r="BB344" s="25">
        <v>2.4900000000000002</v>
      </c>
      <c r="BC344" s="25">
        <v>2.6320754716981138</v>
      </c>
      <c r="BD344">
        <v>2.632075471698113</v>
      </c>
      <c r="BE344">
        <v>6.8182139480192454</v>
      </c>
    </row>
    <row r="345" spans="1:57" x14ac:dyDescent="0.3">
      <c r="A345" s="2" t="s">
        <v>277</v>
      </c>
      <c r="B345" s="18" t="s">
        <v>976</v>
      </c>
      <c r="C345" s="13"/>
      <c r="D345" s="2"/>
      <c r="E345" s="2"/>
      <c r="F345" s="2">
        <v>3.22</v>
      </c>
      <c r="G345" s="2" t="s">
        <v>269</v>
      </c>
      <c r="H345" s="9">
        <v>-1</v>
      </c>
      <c r="I345">
        <v>-1</v>
      </c>
      <c r="K345" s="2"/>
      <c r="L345" s="2"/>
      <c r="M345" s="2"/>
      <c r="N345" s="23">
        <v>0</v>
      </c>
      <c r="O345" s="2">
        <v>3.9</v>
      </c>
      <c r="P345" s="2">
        <v>3.9</v>
      </c>
      <c r="Q345" s="2">
        <v>31.44</v>
      </c>
      <c r="R345" s="2" t="s">
        <v>519</v>
      </c>
      <c r="S345" s="2"/>
      <c r="T345" s="23">
        <v>0</v>
      </c>
      <c r="U345" s="23"/>
      <c r="V345" s="23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O345">
        <v>40</v>
      </c>
      <c r="AP345" s="21">
        <v>0</v>
      </c>
      <c r="AQ345" s="21"/>
      <c r="AR345" s="28">
        <v>1.75</v>
      </c>
      <c r="AS345" s="28">
        <v>2.65625</v>
      </c>
      <c r="AT345" s="28">
        <v>0.375</v>
      </c>
      <c r="AU345" s="28">
        <v>0</v>
      </c>
      <c r="AV345" s="28">
        <v>0.36601307189542481</v>
      </c>
      <c r="AW345" s="28">
        <v>0.55555555555555558</v>
      </c>
      <c r="AX345" s="28">
        <v>7.8431372549019607E-2</v>
      </c>
      <c r="AY345" s="28">
        <v>0</v>
      </c>
      <c r="AZ345" s="25">
        <v>0.95</v>
      </c>
      <c r="BA345" s="25">
        <v>3.44</v>
      </c>
      <c r="BB345" s="25">
        <v>2.4900000000000002</v>
      </c>
      <c r="BC345" s="25">
        <v>2.8778125000000001</v>
      </c>
      <c r="BD345">
        <v>2.8778125000000001</v>
      </c>
      <c r="BE345">
        <v>6.7946490392267176</v>
      </c>
    </row>
    <row r="346" spans="1:57" x14ac:dyDescent="0.3">
      <c r="A346" s="2" t="s">
        <v>278</v>
      </c>
      <c r="B346" s="18" t="s">
        <v>984</v>
      </c>
      <c r="C346" s="13"/>
      <c r="D346" s="2"/>
      <c r="E346" s="2"/>
      <c r="F346" s="2">
        <v>3.25</v>
      </c>
      <c r="G346" s="2" t="s">
        <v>269</v>
      </c>
      <c r="H346" s="9">
        <v>-1</v>
      </c>
      <c r="I346">
        <v>-1</v>
      </c>
      <c r="K346" s="2"/>
      <c r="L346" s="2"/>
      <c r="M346" s="2"/>
      <c r="N346" s="23">
        <v>0</v>
      </c>
      <c r="O346" s="2">
        <v>3.91</v>
      </c>
      <c r="P346" s="2">
        <v>3.91</v>
      </c>
      <c r="Q346" s="2">
        <v>18.2</v>
      </c>
      <c r="R346" s="2" t="s">
        <v>519</v>
      </c>
      <c r="S346" s="2"/>
      <c r="T346" s="23">
        <v>0</v>
      </c>
      <c r="U346" s="23"/>
      <c r="V346" s="23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O346">
        <v>40</v>
      </c>
      <c r="AP346" s="21">
        <v>0</v>
      </c>
      <c r="AQ346" s="21"/>
      <c r="AR346" s="28">
        <v>1.714285714285714</v>
      </c>
      <c r="AS346" s="28">
        <v>2.4857142857142862</v>
      </c>
      <c r="AT346" s="28">
        <v>0.34285714285714292</v>
      </c>
      <c r="AU346" s="28">
        <v>0</v>
      </c>
      <c r="AV346" s="28">
        <v>0.37735849056603771</v>
      </c>
      <c r="AW346" s="28">
        <v>0.54716981132075471</v>
      </c>
      <c r="AX346" s="28">
        <v>7.5471698113207544E-2</v>
      </c>
      <c r="AY346" s="28">
        <v>0</v>
      </c>
      <c r="AZ346" s="25">
        <v>0.95</v>
      </c>
      <c r="BA346" s="25">
        <v>3.44</v>
      </c>
      <c r="BB346" s="25">
        <v>2.4900000000000002</v>
      </c>
      <c r="BC346" s="25">
        <v>2.8297142857142861</v>
      </c>
      <c r="BD346">
        <v>2.8297142857142861</v>
      </c>
      <c r="BE346">
        <v>6.8012286474559138</v>
      </c>
    </row>
    <row r="347" spans="1:57" x14ac:dyDescent="0.3">
      <c r="A347" s="2" t="s">
        <v>279</v>
      </c>
      <c r="B347" s="18" t="s">
        <v>985</v>
      </c>
      <c r="C347" s="13"/>
      <c r="D347" s="2"/>
      <c r="E347" s="2"/>
      <c r="F347" s="2">
        <v>3.27</v>
      </c>
      <c r="G347" s="2" t="s">
        <v>269</v>
      </c>
      <c r="H347" s="9">
        <v>-1</v>
      </c>
      <c r="I347">
        <v>-1</v>
      </c>
      <c r="K347" s="2"/>
      <c r="L347" s="2"/>
      <c r="M347" s="2"/>
      <c r="N347" s="23">
        <v>0</v>
      </c>
      <c r="O347" s="2">
        <v>3.9</v>
      </c>
      <c r="P347" s="2">
        <v>3.9</v>
      </c>
      <c r="Q347" s="2">
        <v>20.25</v>
      </c>
      <c r="R347" s="2" t="s">
        <v>519</v>
      </c>
      <c r="S347" s="2"/>
      <c r="T347" s="23">
        <v>0</v>
      </c>
      <c r="U347" s="23"/>
      <c r="V347" s="23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O347">
        <v>40</v>
      </c>
      <c r="AP347" s="21">
        <v>0</v>
      </c>
      <c r="AQ347" s="21"/>
      <c r="AR347" s="28">
        <v>1.6842105263157889</v>
      </c>
      <c r="AS347" s="28">
        <v>2.3421052631578951</v>
      </c>
      <c r="AT347" s="28">
        <v>0.31578947368421051</v>
      </c>
      <c r="AU347" s="28">
        <v>0</v>
      </c>
      <c r="AV347" s="28">
        <v>0.38787878787878788</v>
      </c>
      <c r="AW347" s="28">
        <v>0.53939393939393943</v>
      </c>
      <c r="AX347" s="28">
        <v>7.2727272727272724E-2</v>
      </c>
      <c r="AY347" s="28">
        <v>0</v>
      </c>
      <c r="AZ347" s="25">
        <v>0.95</v>
      </c>
      <c r="BA347" s="25">
        <v>3.44</v>
      </c>
      <c r="BB347" s="25">
        <v>2.4900000000000002</v>
      </c>
      <c r="BC347" s="25">
        <v>2.7892105263157898</v>
      </c>
      <c r="BD347">
        <v>2.7892105263157889</v>
      </c>
      <c r="BE347">
        <v>6.8067693701752354</v>
      </c>
    </row>
    <row r="348" spans="1:57" x14ac:dyDescent="0.3">
      <c r="A348" s="2" t="s">
        <v>280</v>
      </c>
      <c r="B348" s="18" t="s">
        <v>986</v>
      </c>
      <c r="C348" s="13"/>
      <c r="D348" s="2"/>
      <c r="E348" s="2"/>
      <c r="F348" s="2">
        <v>3.3</v>
      </c>
      <c r="G348" s="2" t="s">
        <v>269</v>
      </c>
      <c r="H348" s="9">
        <v>-1</v>
      </c>
      <c r="I348">
        <v>-1</v>
      </c>
      <c r="K348" s="2"/>
      <c r="L348" s="2"/>
      <c r="M348" s="2"/>
      <c r="N348" s="23">
        <v>0</v>
      </c>
      <c r="O348" s="2">
        <v>3.9</v>
      </c>
      <c r="P348" s="2">
        <v>3.9</v>
      </c>
      <c r="Q348" s="2">
        <v>22.01</v>
      </c>
      <c r="R348" s="2" t="s">
        <v>519</v>
      </c>
      <c r="S348" s="2"/>
      <c r="T348" s="23">
        <v>0</v>
      </c>
      <c r="U348" s="23"/>
      <c r="V348" s="23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O348">
        <v>40</v>
      </c>
      <c r="AP348" s="21">
        <v>0</v>
      </c>
      <c r="AQ348" s="21"/>
      <c r="AR348" s="28">
        <v>1.658536585365854</v>
      </c>
      <c r="AS348" s="28">
        <v>2.219512195121951</v>
      </c>
      <c r="AT348" s="28">
        <v>0.29268292682926828</v>
      </c>
      <c r="AU348" s="28">
        <v>0</v>
      </c>
      <c r="AV348" s="28">
        <v>0.39766081871345033</v>
      </c>
      <c r="AW348" s="28">
        <v>0.53216374269005851</v>
      </c>
      <c r="AX348" s="28">
        <v>7.0175438596491224E-2</v>
      </c>
      <c r="AY348" s="28">
        <v>0</v>
      </c>
      <c r="AZ348" s="25">
        <v>0.95</v>
      </c>
      <c r="BA348" s="25">
        <v>3.44</v>
      </c>
      <c r="BB348" s="25">
        <v>2.4900000000000002</v>
      </c>
      <c r="BC348" s="25">
        <v>2.7546341463414641</v>
      </c>
      <c r="BD348">
        <v>2.7546341463414632</v>
      </c>
      <c r="BE348">
        <v>6.8114992554234393</v>
      </c>
    </row>
    <row r="349" spans="1:57" x14ac:dyDescent="0.3">
      <c r="A349" s="2" t="s">
        <v>281</v>
      </c>
      <c r="B349" s="18" t="s">
        <v>987</v>
      </c>
      <c r="C349" s="13"/>
      <c r="D349" s="2"/>
      <c r="E349" s="2"/>
      <c r="F349" s="2">
        <v>3.3</v>
      </c>
      <c r="G349" s="2" t="s">
        <v>269</v>
      </c>
      <c r="H349" s="9">
        <v>-1</v>
      </c>
      <c r="I349">
        <v>-1</v>
      </c>
      <c r="K349" s="2"/>
      <c r="L349" s="2"/>
      <c r="M349" s="2"/>
      <c r="N349" s="23">
        <v>0</v>
      </c>
      <c r="O349" s="2">
        <v>3.9</v>
      </c>
      <c r="P349" s="2">
        <v>3.9</v>
      </c>
      <c r="Q349" s="2">
        <v>25.65</v>
      </c>
      <c r="R349" s="2" t="s">
        <v>519</v>
      </c>
      <c r="S349" s="2"/>
      <c r="T349" s="23">
        <v>0</v>
      </c>
      <c r="U349" s="23"/>
      <c r="V349" s="23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O349">
        <v>40</v>
      </c>
      <c r="AP349" s="21">
        <v>0</v>
      </c>
      <c r="AQ349" s="21"/>
      <c r="AR349" s="28">
        <v>1.617021276595745</v>
      </c>
      <c r="AS349" s="28">
        <v>2.021276595744681</v>
      </c>
      <c r="AT349" s="28">
        <v>0.25531914893617019</v>
      </c>
      <c r="AU349" s="28">
        <v>0</v>
      </c>
      <c r="AV349" s="28">
        <v>0.41530054644808739</v>
      </c>
      <c r="AW349" s="28">
        <v>0.51912568306010931</v>
      </c>
      <c r="AX349" s="28">
        <v>6.5573770491803268E-2</v>
      </c>
      <c r="AY349" s="28">
        <v>0</v>
      </c>
      <c r="AZ349" s="25">
        <v>0.95</v>
      </c>
      <c r="BA349" s="25">
        <v>3.44</v>
      </c>
      <c r="BB349" s="25">
        <v>2.4900000000000002</v>
      </c>
      <c r="BC349" s="25">
        <v>2.6987234042553192</v>
      </c>
      <c r="BD349">
        <v>2.6987234042553192</v>
      </c>
      <c r="BE349">
        <v>6.8191475805056392</v>
      </c>
    </row>
    <row r="350" spans="1:57" x14ac:dyDescent="0.3">
      <c r="A350" s="2" t="s">
        <v>276</v>
      </c>
      <c r="B350" s="18" t="s">
        <v>988</v>
      </c>
      <c r="C350" s="13"/>
      <c r="D350" s="2"/>
      <c r="E350" s="2"/>
      <c r="F350" s="2">
        <v>3.34</v>
      </c>
      <c r="G350" s="2" t="s">
        <v>269</v>
      </c>
      <c r="H350" s="9">
        <v>-1</v>
      </c>
      <c r="I350">
        <v>-1</v>
      </c>
      <c r="K350" s="2"/>
      <c r="L350" s="2"/>
      <c r="M350" s="2"/>
      <c r="N350" s="23">
        <v>0</v>
      </c>
      <c r="O350" s="2">
        <v>3.89</v>
      </c>
      <c r="P350" s="2">
        <v>3.89</v>
      </c>
      <c r="Q350" s="2">
        <v>33.799999999999997</v>
      </c>
      <c r="R350" s="2" t="s">
        <v>519</v>
      </c>
      <c r="S350" s="2"/>
      <c r="T350" s="23">
        <v>0</v>
      </c>
      <c r="U350" s="23"/>
      <c r="V350" s="23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O350">
        <v>40</v>
      </c>
      <c r="AP350" s="21">
        <v>0</v>
      </c>
      <c r="AQ350" s="21"/>
      <c r="AR350" s="28">
        <v>1.584905660377359</v>
      </c>
      <c r="AS350" s="28">
        <v>1.867924528301887</v>
      </c>
      <c r="AT350" s="28">
        <v>0.22641509433962259</v>
      </c>
      <c r="AU350" s="28">
        <v>0</v>
      </c>
      <c r="AV350" s="28">
        <v>0.43076923076923079</v>
      </c>
      <c r="AW350" s="28">
        <v>0.50769230769230778</v>
      </c>
      <c r="AX350" s="28">
        <v>6.1538461538461542E-2</v>
      </c>
      <c r="AY350" s="28">
        <v>0</v>
      </c>
      <c r="AZ350" s="25">
        <v>0.95</v>
      </c>
      <c r="BA350" s="25">
        <v>3.44</v>
      </c>
      <c r="BB350" s="25">
        <v>2.4900000000000002</v>
      </c>
      <c r="BC350" s="25">
        <v>2.655471698113208</v>
      </c>
      <c r="BD350">
        <v>2.655471698113208</v>
      </c>
      <c r="BE350">
        <v>6.8250642093428109</v>
      </c>
    </row>
    <row r="351" spans="1:57" x14ac:dyDescent="0.3">
      <c r="A351" s="2" t="s">
        <v>282</v>
      </c>
      <c r="B351" s="13" t="s">
        <v>821</v>
      </c>
      <c r="C351" s="13"/>
      <c r="D351" s="2"/>
      <c r="E351" s="2"/>
      <c r="F351" s="2">
        <v>3.5</v>
      </c>
      <c r="G351" s="2" t="s">
        <v>283</v>
      </c>
      <c r="H351" s="9" t="s">
        <v>597</v>
      </c>
      <c r="I351">
        <v>-1</v>
      </c>
      <c r="K351" s="2"/>
      <c r="L351" s="2"/>
      <c r="M351" s="2"/>
      <c r="N351" s="23">
        <v>1</v>
      </c>
      <c r="O351" s="2"/>
      <c r="P351" s="2"/>
      <c r="Q351" s="2"/>
      <c r="R351" s="2"/>
      <c r="S351" s="2"/>
      <c r="T351" s="23">
        <v>13.656835900000001</v>
      </c>
      <c r="U351" s="23">
        <v>13.656835900000001</v>
      </c>
      <c r="V351" s="23">
        <v>13.656835900000001</v>
      </c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O351">
        <v>20</v>
      </c>
      <c r="AP351" s="21">
        <v>201.0880346354428</v>
      </c>
      <c r="AQ351" s="21">
        <v>9.9458926217357829E-2</v>
      </c>
      <c r="AR351" s="28">
        <v>1.882352941176471</v>
      </c>
      <c r="AS351" s="28">
        <v>2.3529411764705879</v>
      </c>
      <c r="AT351" s="28">
        <v>0.47058823529411759</v>
      </c>
      <c r="AU351" s="28">
        <v>0</v>
      </c>
      <c r="AV351" s="28">
        <v>0.4</v>
      </c>
      <c r="AW351" s="28">
        <v>0.5</v>
      </c>
      <c r="AX351" s="28">
        <v>9.9999999999999992E-2</v>
      </c>
      <c r="AY351" s="28">
        <v>0</v>
      </c>
      <c r="AZ351" s="25">
        <v>0.98</v>
      </c>
      <c r="BA351" s="25">
        <v>3.44</v>
      </c>
      <c r="BB351" s="25">
        <v>2.46</v>
      </c>
      <c r="BC351" s="25">
        <v>2.54</v>
      </c>
      <c r="BD351">
        <v>2.54</v>
      </c>
      <c r="BE351">
        <v>5.758559377411764</v>
      </c>
    </row>
    <row r="352" spans="1:57" x14ac:dyDescent="0.3">
      <c r="A352" s="2" t="s">
        <v>284</v>
      </c>
      <c r="B352" s="13" t="s">
        <v>822</v>
      </c>
      <c r="C352" s="13"/>
      <c r="D352" s="2"/>
      <c r="E352" s="2"/>
      <c r="F352" s="2">
        <v>3.3</v>
      </c>
      <c r="G352" s="2" t="s">
        <v>283</v>
      </c>
      <c r="H352" s="9" t="s">
        <v>598</v>
      </c>
      <c r="I352" t="s">
        <v>670</v>
      </c>
      <c r="K352" s="2"/>
      <c r="L352" s="2"/>
      <c r="M352" s="2"/>
      <c r="N352" s="23">
        <v>1</v>
      </c>
      <c r="O352" s="2"/>
      <c r="P352" s="2"/>
      <c r="Q352" s="2"/>
      <c r="R352" s="2"/>
      <c r="S352" s="2"/>
      <c r="T352" s="23">
        <v>14.696413339999999</v>
      </c>
      <c r="U352" s="23">
        <v>14.696413339999999</v>
      </c>
      <c r="V352" s="23">
        <v>14.696413339999999</v>
      </c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O352">
        <v>20</v>
      </c>
      <c r="AP352" s="21">
        <v>216.40687730768099</v>
      </c>
      <c r="AQ352" s="21">
        <v>9.2418504665009241E-2</v>
      </c>
      <c r="AR352" s="28">
        <v>1.882352941176471</v>
      </c>
      <c r="AS352" s="28">
        <v>2.3529411764705879</v>
      </c>
      <c r="AT352" s="28">
        <v>0.47058823529411759</v>
      </c>
      <c r="AU352" s="28">
        <v>0</v>
      </c>
      <c r="AV352" s="28">
        <v>0.4</v>
      </c>
      <c r="AW352" s="28">
        <v>0.5</v>
      </c>
      <c r="AX352" s="28">
        <v>9.9999999999999992E-2</v>
      </c>
      <c r="AY352" s="28">
        <v>0</v>
      </c>
      <c r="AZ352" s="25">
        <v>0.93</v>
      </c>
      <c r="BA352" s="25">
        <v>3.44</v>
      </c>
      <c r="BB352" s="25">
        <v>2.5099999999999998</v>
      </c>
      <c r="BC352" s="25">
        <v>2.534117647058824</v>
      </c>
      <c r="BD352">
        <v>2.534117647058824</v>
      </c>
      <c r="BE352">
        <v>5.7395734358823516</v>
      </c>
    </row>
    <row r="353" spans="1:57" x14ac:dyDescent="0.3">
      <c r="A353" s="2" t="s">
        <v>44</v>
      </c>
      <c r="B353" s="13" t="s">
        <v>720</v>
      </c>
      <c r="C353" s="13"/>
      <c r="D353" s="2"/>
      <c r="E353" s="2"/>
      <c r="F353" s="2">
        <v>3.2</v>
      </c>
      <c r="G353" s="2" t="s">
        <v>283</v>
      </c>
      <c r="H353" s="9" t="s">
        <v>549</v>
      </c>
      <c r="I353">
        <v>-1</v>
      </c>
      <c r="K353" s="2"/>
      <c r="L353" s="2"/>
      <c r="M353" s="2"/>
      <c r="N353" s="23">
        <v>1</v>
      </c>
      <c r="O353" s="2"/>
      <c r="P353" s="2"/>
      <c r="Q353" s="2"/>
      <c r="R353" s="2"/>
      <c r="S353" s="2"/>
      <c r="T353" s="23">
        <v>15.28115725</v>
      </c>
      <c r="U353" s="23">
        <v>15.28115725</v>
      </c>
      <c r="V353" s="23">
        <v>15.28115725</v>
      </c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O353">
        <v>20</v>
      </c>
      <c r="AP353" s="21">
        <v>229.90248606119221</v>
      </c>
      <c r="AQ353" s="21">
        <v>8.6993404650164072E-2</v>
      </c>
      <c r="AR353" s="28">
        <v>1.882352941176471</v>
      </c>
      <c r="AS353" s="28">
        <v>2.3529411764705879</v>
      </c>
      <c r="AT353" s="28">
        <v>0.47058823529411759</v>
      </c>
      <c r="AU353" s="28">
        <v>0</v>
      </c>
      <c r="AV353" s="28">
        <v>0.4</v>
      </c>
      <c r="AW353" s="28">
        <v>0.5</v>
      </c>
      <c r="AX353" s="28">
        <v>9.9999999999999992E-2</v>
      </c>
      <c r="AY353" s="28">
        <v>0</v>
      </c>
      <c r="AZ353" s="25">
        <v>0.82</v>
      </c>
      <c r="BA353" s="25">
        <v>3.44</v>
      </c>
      <c r="BB353" s="25">
        <v>2.62</v>
      </c>
      <c r="BC353" s="25">
        <v>2.5211764705882351</v>
      </c>
      <c r="BD353">
        <v>2.521176470588236</v>
      </c>
      <c r="BE353">
        <v>5.6898745917647062</v>
      </c>
    </row>
    <row r="354" spans="1:57" s="5" customFormat="1" x14ac:dyDescent="0.3">
      <c r="A354" s="5" t="s">
        <v>285</v>
      </c>
      <c r="B354" s="39" t="s">
        <v>823</v>
      </c>
      <c r="C354" s="39"/>
      <c r="F354" s="5">
        <v>3.6</v>
      </c>
      <c r="G354" s="5" t="s">
        <v>283</v>
      </c>
      <c r="H354" s="40">
        <v>-2</v>
      </c>
      <c r="I354" s="5">
        <v>-1</v>
      </c>
      <c r="N354" s="41">
        <v>0</v>
      </c>
      <c r="O354" s="5">
        <v>-1</v>
      </c>
      <c r="T354" s="41">
        <v>0</v>
      </c>
      <c r="U354" s="41"/>
      <c r="V354" s="41"/>
      <c r="AO354" s="5">
        <v>20</v>
      </c>
      <c r="AP354" s="41">
        <v>0</v>
      </c>
      <c r="AQ354" s="41"/>
      <c r="AR354" s="5">
        <v>1.882352941176471</v>
      </c>
      <c r="AS354" s="5">
        <v>2.3529411764705879</v>
      </c>
      <c r="AT354" s="5">
        <v>0.35294117647058831</v>
      </c>
      <c r="AU354" s="5">
        <v>0.47058823529411759</v>
      </c>
      <c r="AV354" s="5">
        <v>0.37209302325581389</v>
      </c>
      <c r="AW354" s="5">
        <v>0.46511627906976749</v>
      </c>
      <c r="AX354" s="5">
        <v>6.9767441860465129E-2</v>
      </c>
      <c r="AY354" s="5">
        <v>9.3023255813953487E-2</v>
      </c>
      <c r="AZ354" s="41">
        <v>0.98</v>
      </c>
      <c r="BA354" s="41">
        <v>3.44</v>
      </c>
      <c r="BB354" s="41">
        <v>2.46</v>
      </c>
      <c r="BC354" s="41">
        <v>2.5447058823529409</v>
      </c>
      <c r="BD354" s="5">
        <v>2.5447058823529409</v>
      </c>
      <c r="BE354" s="5">
        <v>5.7284445009411762</v>
      </c>
    </row>
    <row r="355" spans="1:57" x14ac:dyDescent="0.3">
      <c r="A355" s="2" t="s">
        <v>286</v>
      </c>
      <c r="B355" s="13" t="s">
        <v>824</v>
      </c>
      <c r="C355" s="13"/>
      <c r="D355" s="2"/>
      <c r="E355" s="2"/>
      <c r="F355" s="2">
        <v>3.4</v>
      </c>
      <c r="G355" s="2" t="s">
        <v>283</v>
      </c>
      <c r="H355" s="9" t="s">
        <v>599</v>
      </c>
      <c r="I355">
        <v>-1</v>
      </c>
      <c r="K355" s="2"/>
      <c r="L355" s="2"/>
      <c r="M355" s="2"/>
      <c r="N355" s="23">
        <v>1</v>
      </c>
      <c r="O355" s="2"/>
      <c r="P355" s="2"/>
      <c r="Q355" s="2"/>
      <c r="R355" s="2"/>
      <c r="S355" s="2"/>
      <c r="T355" s="23">
        <v>14.64115209</v>
      </c>
      <c r="U355" s="23">
        <v>14.64115209</v>
      </c>
      <c r="V355" s="23">
        <v>14.64115209</v>
      </c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O355">
        <v>20</v>
      </c>
      <c r="AP355" s="21">
        <v>213.3423200442661</v>
      </c>
      <c r="AQ355" s="21">
        <v>9.374605092815258E-2</v>
      </c>
      <c r="AR355" s="28">
        <v>1.882352941176471</v>
      </c>
      <c r="AS355" s="28">
        <v>2.3529411764705879</v>
      </c>
      <c r="AT355" s="28">
        <v>0.35294117647058831</v>
      </c>
      <c r="AU355" s="28">
        <v>0.47058823529411759</v>
      </c>
      <c r="AV355" s="28">
        <v>0.37209302325581389</v>
      </c>
      <c r="AW355" s="28">
        <v>0.46511627906976749</v>
      </c>
      <c r="AX355" s="28">
        <v>6.9767441860465129E-2</v>
      </c>
      <c r="AY355" s="28">
        <v>9.3023255813953487E-2</v>
      </c>
      <c r="AZ355" s="25">
        <v>0.93</v>
      </c>
      <c r="BA355" s="25">
        <v>3.44</v>
      </c>
      <c r="BB355" s="25">
        <v>2.5099999999999998</v>
      </c>
      <c r="BC355" s="25">
        <v>2.538823529411764</v>
      </c>
      <c r="BD355">
        <v>2.5388235294117649</v>
      </c>
      <c r="BE355">
        <v>5.7094585594117646</v>
      </c>
    </row>
    <row r="356" spans="1:57" x14ac:dyDescent="0.3">
      <c r="A356" s="2" t="s">
        <v>287</v>
      </c>
      <c r="B356" s="13" t="s">
        <v>825</v>
      </c>
      <c r="C356" s="13"/>
      <c r="D356" s="2"/>
      <c r="E356" s="2"/>
      <c r="F356" s="2">
        <v>3.3</v>
      </c>
      <c r="G356" s="2" t="s">
        <v>283</v>
      </c>
      <c r="H356" s="9" t="s">
        <v>600</v>
      </c>
      <c r="I356" t="s">
        <v>671</v>
      </c>
      <c r="K356" s="2"/>
      <c r="L356" s="2"/>
      <c r="M356" s="2"/>
      <c r="N356" s="23">
        <v>1</v>
      </c>
      <c r="O356" s="2"/>
      <c r="P356" s="2"/>
      <c r="Q356" s="2"/>
      <c r="R356" s="2"/>
      <c r="S356" s="2"/>
      <c r="T356" s="23">
        <v>15.19820412</v>
      </c>
      <c r="U356" s="23">
        <v>15.194836840000001</v>
      </c>
      <c r="V356" s="23">
        <v>3.9043439100000001</v>
      </c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O356">
        <v>20</v>
      </c>
      <c r="AP356" s="21">
        <v>227.79419475650769</v>
      </c>
      <c r="AQ356" s="21">
        <v>8.7798550008608742E-2</v>
      </c>
      <c r="AR356" s="28">
        <v>1.882352941176471</v>
      </c>
      <c r="AS356" s="28">
        <v>2.3529411764705879</v>
      </c>
      <c r="AT356" s="28">
        <v>0.35294117647058831</v>
      </c>
      <c r="AU356" s="28">
        <v>0.47058823529411759</v>
      </c>
      <c r="AV356" s="28">
        <v>0.37209302325581389</v>
      </c>
      <c r="AW356" s="28">
        <v>0.46511627906976749</v>
      </c>
      <c r="AX356" s="28">
        <v>6.9767441860465129E-2</v>
      </c>
      <c r="AY356" s="28">
        <v>9.3023255813953487E-2</v>
      </c>
      <c r="AZ356" s="25">
        <v>0.82</v>
      </c>
      <c r="BA356" s="25">
        <v>3.44</v>
      </c>
      <c r="BB356" s="25">
        <v>2.62</v>
      </c>
      <c r="BC356" s="25">
        <v>2.525882352941176</v>
      </c>
      <c r="BD356">
        <v>2.525882352941176</v>
      </c>
      <c r="BE356">
        <v>5.6597597152941184</v>
      </c>
    </row>
    <row r="357" spans="1:57" x14ac:dyDescent="0.3">
      <c r="A357" s="2" t="s">
        <v>4</v>
      </c>
      <c r="B357" s="13" t="s">
        <v>689</v>
      </c>
      <c r="C357" s="13"/>
      <c r="D357" s="2"/>
      <c r="E357" s="2"/>
      <c r="F357" s="2">
        <v>3.26</v>
      </c>
      <c r="G357" s="2" t="s">
        <v>290</v>
      </c>
      <c r="H357" s="9" t="s">
        <v>527</v>
      </c>
      <c r="I357" t="s">
        <v>609</v>
      </c>
      <c r="K357" s="2"/>
      <c r="L357" s="2"/>
      <c r="M357" s="2"/>
      <c r="N357" s="23">
        <v>4</v>
      </c>
      <c r="O357" s="2"/>
      <c r="P357" s="2"/>
      <c r="Q357" s="2"/>
      <c r="R357" s="2"/>
      <c r="S357" s="2"/>
      <c r="T357" s="23">
        <v>7.8084429999999996</v>
      </c>
      <c r="U357" s="23">
        <v>7.8548809999999998</v>
      </c>
      <c r="V357" s="23">
        <v>15.19056011</v>
      </c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O357">
        <v>20</v>
      </c>
      <c r="AP357" s="21">
        <v>924.74694800021894</v>
      </c>
      <c r="AQ357" s="21">
        <v>8.6510153045653584E-2</v>
      </c>
      <c r="AR357" s="28">
        <v>1.75</v>
      </c>
      <c r="AS357" s="28">
        <v>2.5</v>
      </c>
      <c r="AT357" s="28">
        <v>0.75</v>
      </c>
      <c r="AU357" s="28">
        <v>0</v>
      </c>
      <c r="AV357" s="28">
        <v>0.35</v>
      </c>
      <c r="AW357" s="28">
        <v>0.5</v>
      </c>
      <c r="AX357" s="28">
        <v>0.15</v>
      </c>
      <c r="AY357" s="28">
        <v>0</v>
      </c>
      <c r="AZ357" s="25">
        <v>0.82</v>
      </c>
      <c r="BA357" s="25">
        <v>3.44</v>
      </c>
      <c r="BB357" s="25">
        <v>2.62</v>
      </c>
      <c r="BC357" s="25">
        <v>2.6262500000000002</v>
      </c>
      <c r="BD357">
        <v>2.6262500000000002</v>
      </c>
      <c r="BE357">
        <v>5.96680968125</v>
      </c>
    </row>
    <row r="358" spans="1:57" s="1" customFormat="1" x14ac:dyDescent="0.3">
      <c r="A358" s="1" t="s">
        <v>288</v>
      </c>
      <c r="B358" s="13" t="s">
        <v>689</v>
      </c>
      <c r="C358" s="15"/>
      <c r="D358" s="1" t="s">
        <v>676</v>
      </c>
      <c r="E358" s="1" t="s">
        <v>1067</v>
      </c>
      <c r="F358" s="1">
        <v>2.4700000000000002</v>
      </c>
      <c r="G358" s="1" t="s">
        <v>290</v>
      </c>
      <c r="H358" s="9" t="s">
        <v>527</v>
      </c>
      <c r="I358" t="s">
        <v>609</v>
      </c>
      <c r="J358"/>
      <c r="N358" s="23">
        <v>4</v>
      </c>
      <c r="T358" s="23">
        <v>7.8084429999999996</v>
      </c>
      <c r="U358" s="23">
        <v>7.8548809999999998</v>
      </c>
      <c r="V358" s="23">
        <v>15.19056011</v>
      </c>
      <c r="AO358">
        <v>20</v>
      </c>
      <c r="AP358" s="21">
        <v>924.74694800021894</v>
      </c>
      <c r="AQ358" s="21">
        <v>8.6510153045653584E-2</v>
      </c>
      <c r="AR358" s="28">
        <v>1.75</v>
      </c>
      <c r="AS358" s="28">
        <v>2.5</v>
      </c>
      <c r="AT358" s="28">
        <v>0.75</v>
      </c>
      <c r="AU358" s="28">
        <v>0</v>
      </c>
      <c r="AV358" s="28">
        <v>0.35</v>
      </c>
      <c r="AW358" s="28">
        <v>0.5</v>
      </c>
      <c r="AX358" s="28">
        <v>0.15</v>
      </c>
      <c r="AY358" s="28">
        <v>0</v>
      </c>
      <c r="AZ358" s="25">
        <v>0.82</v>
      </c>
      <c r="BA358" s="25">
        <v>3.44</v>
      </c>
      <c r="BB358" s="25">
        <v>2.62</v>
      </c>
      <c r="BC358" s="25">
        <v>2.6262500000000002</v>
      </c>
      <c r="BD358">
        <v>2.6262500000000002</v>
      </c>
      <c r="BE358">
        <v>5.96680968125</v>
      </c>
    </row>
    <row r="359" spans="1:57" s="1" customFormat="1" x14ac:dyDescent="0.3">
      <c r="A359" s="1" t="s">
        <v>289</v>
      </c>
      <c r="B359" s="13" t="s">
        <v>689</v>
      </c>
      <c r="C359" s="15"/>
      <c r="D359" s="1" t="s">
        <v>946</v>
      </c>
      <c r="E359" s="1" t="s">
        <v>1067</v>
      </c>
      <c r="F359" s="1">
        <v>2.4700000000000002</v>
      </c>
      <c r="G359" s="1" t="s">
        <v>290</v>
      </c>
      <c r="H359" s="9" t="s">
        <v>527</v>
      </c>
      <c r="I359" t="s">
        <v>609</v>
      </c>
      <c r="J359"/>
      <c r="N359" s="23">
        <v>4</v>
      </c>
      <c r="T359" s="23">
        <v>7.8084429999999996</v>
      </c>
      <c r="U359" s="23">
        <v>7.8548809999999998</v>
      </c>
      <c r="V359" s="23">
        <v>15.19056011</v>
      </c>
      <c r="AO359">
        <v>20</v>
      </c>
      <c r="AP359" s="21">
        <v>924.74694800021894</v>
      </c>
      <c r="AQ359" s="21">
        <v>8.6510153045653584E-2</v>
      </c>
      <c r="AR359" s="28">
        <v>1.75</v>
      </c>
      <c r="AS359" s="28">
        <v>2.5</v>
      </c>
      <c r="AT359" s="28">
        <v>0.75</v>
      </c>
      <c r="AU359" s="28">
        <v>0</v>
      </c>
      <c r="AV359" s="28">
        <v>0.35</v>
      </c>
      <c r="AW359" s="28">
        <v>0.5</v>
      </c>
      <c r="AX359" s="28">
        <v>0.15</v>
      </c>
      <c r="AY359" s="28">
        <v>0</v>
      </c>
      <c r="AZ359" s="25">
        <v>0.82</v>
      </c>
      <c r="BA359" s="25">
        <v>3.44</v>
      </c>
      <c r="BB359" s="25">
        <v>2.62</v>
      </c>
      <c r="BC359" s="25">
        <v>2.6262500000000002</v>
      </c>
      <c r="BD359">
        <v>2.6262500000000002</v>
      </c>
      <c r="BE359">
        <v>5.96680968125</v>
      </c>
    </row>
    <row r="360" spans="1:57" x14ac:dyDescent="0.3">
      <c r="A360" s="2" t="s">
        <v>10</v>
      </c>
      <c r="B360" s="13" t="s">
        <v>695</v>
      </c>
      <c r="C360" s="13"/>
      <c r="D360" s="2"/>
      <c r="E360" s="2"/>
      <c r="F360" s="2">
        <v>4.26</v>
      </c>
      <c r="G360" s="2" t="s">
        <v>291</v>
      </c>
      <c r="H360" s="9" t="s">
        <v>531</v>
      </c>
      <c r="I360">
        <v>-1</v>
      </c>
      <c r="K360" s="2"/>
      <c r="L360" s="2"/>
      <c r="M360" s="2"/>
      <c r="N360" s="23">
        <v>1</v>
      </c>
      <c r="O360" s="2"/>
      <c r="P360" s="2"/>
      <c r="Q360" s="2"/>
      <c r="R360" s="2"/>
      <c r="S360" s="2"/>
      <c r="T360" s="23">
        <v>3.9103940000000001</v>
      </c>
      <c r="U360" s="23">
        <v>3.9103940000000001</v>
      </c>
      <c r="V360" s="23">
        <v>11.314458</v>
      </c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O360">
        <v>14</v>
      </c>
      <c r="AP360" s="21">
        <v>173.0114278564659</v>
      </c>
      <c r="AQ360" s="21">
        <v>8.0919510193365449E-2</v>
      </c>
      <c r="AR360" s="28">
        <v>1.9090909090909089</v>
      </c>
      <c r="AS360" s="28">
        <v>2.545454545454545</v>
      </c>
      <c r="AT360" s="28">
        <v>0.63636363636363635</v>
      </c>
      <c r="AU360" s="28">
        <v>2.545454545454545</v>
      </c>
      <c r="AV360" s="28">
        <v>0.25</v>
      </c>
      <c r="AW360" s="28">
        <v>0.33333333333333331</v>
      </c>
      <c r="AX360" s="28">
        <v>8.3333333333333329E-2</v>
      </c>
      <c r="AY360" s="28">
        <v>0.33333333333333331</v>
      </c>
      <c r="AZ360" s="25">
        <v>0.82</v>
      </c>
      <c r="BA360" s="25">
        <v>3.44</v>
      </c>
      <c r="BB360" s="25">
        <v>2.62</v>
      </c>
      <c r="BC360" s="25">
        <v>2.6363636363636358</v>
      </c>
      <c r="BD360">
        <v>2.6363636363636371</v>
      </c>
      <c r="BE360">
        <v>6.0044088459090901</v>
      </c>
    </row>
    <row r="361" spans="1:57" x14ac:dyDescent="0.3">
      <c r="A361" s="2" t="s">
        <v>10</v>
      </c>
      <c r="B361" s="13" t="s">
        <v>695</v>
      </c>
      <c r="C361" s="13"/>
      <c r="D361" s="2" t="s">
        <v>676</v>
      </c>
      <c r="E361" s="2">
        <v>0.3</v>
      </c>
      <c r="F361" s="2">
        <v>2.16</v>
      </c>
      <c r="G361" s="2" t="s">
        <v>291</v>
      </c>
      <c r="H361" s="9" t="s">
        <v>531</v>
      </c>
      <c r="I361">
        <v>-1</v>
      </c>
      <c r="K361" s="2"/>
      <c r="L361" s="2"/>
      <c r="M361" s="2"/>
      <c r="N361" s="23">
        <v>1</v>
      </c>
      <c r="O361" s="2"/>
      <c r="P361" s="2"/>
      <c r="Q361" s="2"/>
      <c r="R361" s="2"/>
      <c r="S361" s="2"/>
      <c r="T361" s="23">
        <v>3.9103940000000001</v>
      </c>
      <c r="U361" s="23">
        <v>3.9103940000000001</v>
      </c>
      <c r="V361" s="23">
        <v>11.314458</v>
      </c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O361">
        <v>14</v>
      </c>
      <c r="AP361" s="21">
        <v>173.0114278564659</v>
      </c>
      <c r="AQ361" s="21">
        <v>8.0919510193365449E-2</v>
      </c>
      <c r="AR361" s="28">
        <v>1.9090909090909089</v>
      </c>
      <c r="AS361" s="28">
        <v>2.545454545454545</v>
      </c>
      <c r="AT361" s="28">
        <v>0.63636363636363635</v>
      </c>
      <c r="AU361" s="28">
        <v>2.545454545454545</v>
      </c>
      <c r="AV361" s="28">
        <v>0.25</v>
      </c>
      <c r="AW361" s="28">
        <v>0.33333333333333331</v>
      </c>
      <c r="AX361" s="28">
        <v>8.3333333333333329E-2</v>
      </c>
      <c r="AY361" s="28">
        <v>0.33333333333333331</v>
      </c>
      <c r="AZ361" s="25">
        <v>0.82</v>
      </c>
      <c r="BA361" s="25">
        <v>3.44</v>
      </c>
      <c r="BB361" s="25">
        <v>2.62</v>
      </c>
      <c r="BC361" s="25">
        <v>2.6363636363636358</v>
      </c>
      <c r="BD361">
        <v>2.6363636363636371</v>
      </c>
      <c r="BE361">
        <v>6.0044088459090901</v>
      </c>
    </row>
    <row r="362" spans="1:57" x14ac:dyDescent="0.3">
      <c r="A362" s="2" t="s">
        <v>4</v>
      </c>
      <c r="B362" s="13" t="s">
        <v>689</v>
      </c>
      <c r="C362" s="13"/>
      <c r="D362" s="2"/>
      <c r="E362" s="2"/>
      <c r="F362" s="2">
        <v>3.22</v>
      </c>
      <c r="G362" s="2" t="s">
        <v>292</v>
      </c>
      <c r="H362" s="9" t="s">
        <v>527</v>
      </c>
      <c r="I362">
        <v>-1</v>
      </c>
      <c r="K362" s="2"/>
      <c r="L362" s="2"/>
      <c r="M362" s="2"/>
      <c r="N362" s="23">
        <v>0</v>
      </c>
      <c r="O362" s="2">
        <v>-1</v>
      </c>
      <c r="P362" s="2"/>
      <c r="Q362" s="2"/>
      <c r="R362" s="2"/>
      <c r="S362" s="2"/>
      <c r="T362" s="23">
        <v>0</v>
      </c>
      <c r="U362" s="23"/>
      <c r="V362" s="23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O362">
        <v>20</v>
      </c>
      <c r="AP362" s="21">
        <v>0</v>
      </c>
      <c r="AQ362" s="21"/>
      <c r="AR362" s="28">
        <v>1.75</v>
      </c>
      <c r="AS362" s="28">
        <v>2.5</v>
      </c>
      <c r="AT362" s="28">
        <v>0.75</v>
      </c>
      <c r="AU362" s="28">
        <v>0</v>
      </c>
      <c r="AV362" s="28">
        <v>0.35</v>
      </c>
      <c r="AW362" s="28">
        <v>0.5</v>
      </c>
      <c r="AX362" s="28">
        <v>0.15</v>
      </c>
      <c r="AY362" s="28">
        <v>0</v>
      </c>
      <c r="AZ362" s="25">
        <v>0.82</v>
      </c>
      <c r="BA362" s="25">
        <v>3.44</v>
      </c>
      <c r="BB362" s="25">
        <v>2.62</v>
      </c>
      <c r="BC362" s="25">
        <v>2.6262500000000002</v>
      </c>
      <c r="BD362">
        <v>2.6262500000000002</v>
      </c>
      <c r="BE362">
        <v>5.96680968125</v>
      </c>
    </row>
    <row r="363" spans="1:57" x14ac:dyDescent="0.3">
      <c r="A363" s="42" t="s">
        <v>991</v>
      </c>
      <c r="B363" s="18" t="s">
        <v>693</v>
      </c>
      <c r="C363" s="13"/>
      <c r="D363" s="2"/>
      <c r="E363" s="2"/>
      <c r="F363" s="2">
        <v>3.1</v>
      </c>
      <c r="G363" s="2" t="s">
        <v>292</v>
      </c>
      <c r="H363" s="9">
        <v>-1</v>
      </c>
      <c r="I363">
        <v>-1</v>
      </c>
      <c r="K363" s="2"/>
      <c r="L363" s="2" t="s">
        <v>1176</v>
      </c>
      <c r="M363" s="2"/>
      <c r="N363" s="23">
        <v>0</v>
      </c>
      <c r="O363" s="2">
        <v>3.8759999999999999</v>
      </c>
      <c r="P363" s="2">
        <v>3.8849999999999998</v>
      </c>
      <c r="Q363" s="2">
        <v>37.359000000000002</v>
      </c>
      <c r="R363" s="2" t="s">
        <v>1175</v>
      </c>
      <c r="S363" s="2"/>
      <c r="T363" s="23">
        <v>0</v>
      </c>
      <c r="U363" s="23"/>
      <c r="V363" s="23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O363">
        <v>26</v>
      </c>
      <c r="AP363" s="21">
        <v>0</v>
      </c>
      <c r="AQ363" s="21"/>
      <c r="AR363" s="28">
        <v>1.714285714285714</v>
      </c>
      <c r="AS363" s="28">
        <v>2.4761904761904758</v>
      </c>
      <c r="AT363" s="28">
        <v>0.76190476190476186</v>
      </c>
      <c r="AU363" s="28">
        <v>0</v>
      </c>
      <c r="AV363" s="28">
        <v>0.34615384615384609</v>
      </c>
      <c r="AW363" s="28">
        <v>0.5</v>
      </c>
      <c r="AX363" s="28">
        <v>0.1538461538461538</v>
      </c>
      <c r="AY363" s="28">
        <v>0</v>
      </c>
      <c r="AZ363" s="25">
        <v>0.82</v>
      </c>
      <c r="BA363" s="25">
        <v>3.44</v>
      </c>
      <c r="BB363" s="25">
        <v>2.62</v>
      </c>
      <c r="BC363" s="25">
        <v>2.612857142857143</v>
      </c>
      <c r="BD363">
        <v>2.612857142857143</v>
      </c>
      <c r="BE363">
        <v>5.9413964502380949</v>
      </c>
    </row>
    <row r="364" spans="1:57" s="5" customFormat="1" x14ac:dyDescent="0.3">
      <c r="A364" s="5" t="s">
        <v>992</v>
      </c>
      <c r="B364" s="43" t="s">
        <v>989</v>
      </c>
      <c r="C364" s="39"/>
      <c r="F364" s="5">
        <v>3.08</v>
      </c>
      <c r="G364" s="5" t="s">
        <v>292</v>
      </c>
      <c r="H364" s="40">
        <v>-2</v>
      </c>
      <c r="I364" s="5">
        <v>-1</v>
      </c>
      <c r="N364" s="41">
        <v>0</v>
      </c>
      <c r="O364" s="5">
        <v>-1</v>
      </c>
      <c r="T364" s="41">
        <v>0</v>
      </c>
      <c r="U364" s="41"/>
      <c r="V364" s="41"/>
      <c r="AO364" s="5">
        <v>32</v>
      </c>
      <c r="AP364" s="41">
        <v>0</v>
      </c>
      <c r="AQ364" s="41"/>
      <c r="AR364" s="5">
        <v>1.6923076923076921</v>
      </c>
      <c r="AS364" s="5">
        <v>2.4615384615384621</v>
      </c>
      <c r="AT364" s="5">
        <v>0.76923076923076927</v>
      </c>
      <c r="AU364" s="5">
        <v>0</v>
      </c>
      <c r="AV364" s="5">
        <v>0.34375</v>
      </c>
      <c r="AW364" s="5">
        <v>0.5</v>
      </c>
      <c r="AX364" s="5">
        <v>0.15625</v>
      </c>
      <c r="AY364" s="5">
        <v>0</v>
      </c>
      <c r="AZ364" s="41">
        <v>0.82</v>
      </c>
      <c r="BA364" s="41">
        <v>3.44</v>
      </c>
      <c r="BB364" s="41">
        <v>2.62</v>
      </c>
      <c r="BC364" s="41">
        <v>2.6046153846153852</v>
      </c>
      <c r="BD364" s="5">
        <v>2.6046153846153852</v>
      </c>
      <c r="BE364" s="5">
        <v>5.9257575388461543</v>
      </c>
    </row>
    <row r="365" spans="1:57" s="5" customFormat="1" x14ac:dyDescent="0.3">
      <c r="A365" s="5" t="s">
        <v>993</v>
      </c>
      <c r="B365" s="43" t="s">
        <v>990</v>
      </c>
      <c r="C365" s="39"/>
      <c r="F365" s="5">
        <v>3.06</v>
      </c>
      <c r="G365" s="5" t="s">
        <v>292</v>
      </c>
      <c r="H365" s="40">
        <v>-2</v>
      </c>
      <c r="I365" s="5">
        <v>-1</v>
      </c>
      <c r="N365" s="41">
        <v>0</v>
      </c>
      <c r="O365" s="5">
        <v>-1</v>
      </c>
      <c r="T365" s="41">
        <v>0</v>
      </c>
      <c r="U365" s="41"/>
      <c r="V365" s="41"/>
      <c r="AO365" s="5">
        <v>38</v>
      </c>
      <c r="AP365" s="41">
        <v>0</v>
      </c>
      <c r="AQ365" s="41"/>
      <c r="AR365" s="5">
        <v>1.67741935483871</v>
      </c>
      <c r="AS365" s="5">
        <v>2.4516129032258061</v>
      </c>
      <c r="AT365" s="5">
        <v>0.77419354838709675</v>
      </c>
      <c r="AU365" s="5">
        <v>0</v>
      </c>
      <c r="AV365" s="5">
        <v>0.34210526315789469</v>
      </c>
      <c r="AW365" s="5">
        <v>0.5</v>
      </c>
      <c r="AX365" s="5">
        <v>0.15789473684210531</v>
      </c>
      <c r="AY365" s="5">
        <v>0</v>
      </c>
      <c r="AZ365" s="41">
        <v>0.82</v>
      </c>
      <c r="BA365" s="41">
        <v>3.44</v>
      </c>
      <c r="BB365" s="41">
        <v>2.62</v>
      </c>
      <c r="BC365" s="41">
        <v>2.5990322580645162</v>
      </c>
      <c r="BD365" s="5">
        <v>2.5990322580645162</v>
      </c>
      <c r="BE365" s="5">
        <v>5.9151634375806452</v>
      </c>
    </row>
    <row r="366" spans="1:57" s="5" customFormat="1" x14ac:dyDescent="0.3">
      <c r="A366" s="5" t="s">
        <v>293</v>
      </c>
      <c r="B366" s="39" t="s">
        <v>826</v>
      </c>
      <c r="C366" s="39"/>
      <c r="F366" s="5">
        <v>3.82</v>
      </c>
      <c r="G366" s="5" t="s">
        <v>294</v>
      </c>
      <c r="H366" s="40">
        <v>-2</v>
      </c>
      <c r="I366" s="5">
        <v>-1</v>
      </c>
      <c r="N366" s="41">
        <v>0</v>
      </c>
      <c r="O366" s="5">
        <v>-1</v>
      </c>
      <c r="T366" s="41">
        <v>0</v>
      </c>
      <c r="U366" s="41"/>
      <c r="V366" s="41"/>
      <c r="AO366" s="5">
        <v>20</v>
      </c>
      <c r="AP366" s="41">
        <v>0</v>
      </c>
      <c r="AQ366" s="41"/>
      <c r="AR366" s="5">
        <v>1.8666666666666669</v>
      </c>
      <c r="AS366" s="5">
        <v>2.666666666666667</v>
      </c>
      <c r="AT366" s="5">
        <v>0.73333333333333328</v>
      </c>
      <c r="AU366" s="5">
        <v>0.93333333333333335</v>
      </c>
      <c r="AV366" s="5">
        <v>0.30107526881720431</v>
      </c>
      <c r="AW366" s="5">
        <v>0.43010752688172038</v>
      </c>
      <c r="AX366" s="5">
        <v>0.1182795698924731</v>
      </c>
      <c r="AY366" s="5">
        <v>0.15053763440860221</v>
      </c>
      <c r="AZ366" s="41">
        <v>1</v>
      </c>
      <c r="BA366" s="41">
        <v>3.44</v>
      </c>
      <c r="BB366" s="41">
        <v>2.44</v>
      </c>
      <c r="BC366" s="41">
        <v>2.74</v>
      </c>
      <c r="BD366" s="5">
        <v>2.74</v>
      </c>
      <c r="BE366" s="5">
        <v>6.2097406980000001</v>
      </c>
    </row>
    <row r="367" spans="1:57" x14ac:dyDescent="0.3">
      <c r="A367" s="44" t="s">
        <v>63</v>
      </c>
      <c r="B367" s="13" t="s">
        <v>773</v>
      </c>
      <c r="C367" s="13"/>
      <c r="D367" s="2"/>
      <c r="E367" s="2"/>
      <c r="F367" s="2">
        <v>3.59</v>
      </c>
      <c r="G367" s="2" t="s">
        <v>295</v>
      </c>
      <c r="H367" s="9">
        <v>-1</v>
      </c>
      <c r="I367">
        <v>-1</v>
      </c>
      <c r="J367" t="s">
        <v>1179</v>
      </c>
      <c r="K367" s="2"/>
      <c r="L367" s="2"/>
      <c r="M367" s="2"/>
      <c r="N367" s="23">
        <v>0</v>
      </c>
      <c r="O367" s="2">
        <v>-1</v>
      </c>
      <c r="P367" s="2"/>
      <c r="Q367" s="2"/>
      <c r="R367" s="2"/>
      <c r="S367" s="2"/>
      <c r="T367" s="25">
        <v>3.86</v>
      </c>
      <c r="U367" s="25">
        <v>3.86</v>
      </c>
      <c r="V367" s="23">
        <v>14.97</v>
      </c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O367">
        <v>20</v>
      </c>
      <c r="AP367" s="21">
        <v>0</v>
      </c>
      <c r="AQ367" s="21"/>
      <c r="AR367" s="28">
        <v>1.75</v>
      </c>
      <c r="AS367" s="28">
        <v>2.5</v>
      </c>
      <c r="AT367" s="28">
        <v>0.75</v>
      </c>
      <c r="AU367" s="28">
        <v>0</v>
      </c>
      <c r="AV367" s="28">
        <v>0.35</v>
      </c>
      <c r="AW367" s="28">
        <v>0.5</v>
      </c>
      <c r="AX367" s="28">
        <v>0.15</v>
      </c>
      <c r="AY367" s="28">
        <v>0</v>
      </c>
      <c r="AZ367" s="25">
        <v>1</v>
      </c>
      <c r="BA367" s="25">
        <v>3.44</v>
      </c>
      <c r="BB367" s="25">
        <v>2.44</v>
      </c>
      <c r="BC367" s="25">
        <v>2.7124999999999999</v>
      </c>
      <c r="BD367">
        <v>2.7124999999999999</v>
      </c>
      <c r="BE367">
        <v>6.264025610615688</v>
      </c>
    </row>
    <row r="368" spans="1:57" x14ac:dyDescent="0.3">
      <c r="A368" s="2" t="s">
        <v>296</v>
      </c>
      <c r="B368" s="17" t="s">
        <v>947</v>
      </c>
      <c r="C368" s="13"/>
      <c r="D368" s="2"/>
      <c r="E368" s="2"/>
      <c r="F368" s="2">
        <v>3.55</v>
      </c>
      <c r="G368" s="2" t="s">
        <v>295</v>
      </c>
      <c r="H368" s="9">
        <v>-1</v>
      </c>
      <c r="I368">
        <v>-1</v>
      </c>
      <c r="J368" s="1" t="s">
        <v>1179</v>
      </c>
      <c r="K368" s="2"/>
      <c r="L368" s="2"/>
      <c r="M368" s="2"/>
      <c r="N368" s="23">
        <v>0</v>
      </c>
      <c r="O368" s="2">
        <v>-1</v>
      </c>
      <c r="P368" s="2"/>
      <c r="Q368" s="2"/>
      <c r="R368" s="2"/>
      <c r="S368" s="2"/>
      <c r="T368" s="25">
        <v>3.86</v>
      </c>
      <c r="U368" s="25">
        <v>3.86</v>
      </c>
      <c r="V368" s="25">
        <f>(V367+V369)/2</f>
        <v>15.342750000000001</v>
      </c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O368">
        <v>20</v>
      </c>
      <c r="AP368" s="21">
        <v>0</v>
      </c>
      <c r="AQ368" s="21"/>
      <c r="AR368" s="28">
        <v>1.75</v>
      </c>
      <c r="AS368" s="28">
        <v>2.5</v>
      </c>
      <c r="AT368" s="28">
        <v>0.75</v>
      </c>
      <c r="AU368" s="28">
        <v>0</v>
      </c>
      <c r="AV368" s="28">
        <v>0.35</v>
      </c>
      <c r="AW368" s="28">
        <v>0.5</v>
      </c>
      <c r="AX368" s="28">
        <v>0.15</v>
      </c>
      <c r="AY368" s="28">
        <v>0</v>
      </c>
      <c r="AZ368" s="25">
        <v>0.95</v>
      </c>
      <c r="BA368" s="25">
        <v>3.44</v>
      </c>
      <c r="BB368" s="25">
        <v>2.4900000000000002</v>
      </c>
      <c r="BC368" s="25">
        <v>2.7109375</v>
      </c>
      <c r="BD368">
        <v>2.7109375</v>
      </c>
      <c r="BE368">
        <v>6.2579197821781882</v>
      </c>
    </row>
    <row r="369" spans="1:57" x14ac:dyDescent="0.3">
      <c r="A369" s="2" t="s">
        <v>297</v>
      </c>
      <c r="B369" s="13" t="s">
        <v>827</v>
      </c>
      <c r="C369" s="13"/>
      <c r="D369" s="2"/>
      <c r="E369" s="2"/>
      <c r="F369" s="2">
        <v>3.5</v>
      </c>
      <c r="G369" s="2" t="s">
        <v>295</v>
      </c>
      <c r="H369" s="9">
        <v>-1</v>
      </c>
      <c r="I369">
        <v>-1</v>
      </c>
      <c r="K369" s="2"/>
      <c r="L369" s="2"/>
      <c r="M369" s="2"/>
      <c r="N369" s="23">
        <v>0</v>
      </c>
      <c r="O369" s="2">
        <v>-1</v>
      </c>
      <c r="P369" s="2"/>
      <c r="Q369" s="2"/>
      <c r="R369" s="2"/>
      <c r="S369" s="2"/>
      <c r="T369" s="25">
        <v>3.86</v>
      </c>
      <c r="U369" s="25">
        <v>3.86</v>
      </c>
      <c r="V369" s="23">
        <v>15.7155</v>
      </c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O369">
        <v>20</v>
      </c>
      <c r="AP369" s="21">
        <v>0</v>
      </c>
      <c r="AQ369" s="21"/>
      <c r="AR369" s="28">
        <v>1.75</v>
      </c>
      <c r="AS369" s="28">
        <v>2.5</v>
      </c>
      <c r="AT369" s="28">
        <v>0.75</v>
      </c>
      <c r="AU369" s="28">
        <v>0</v>
      </c>
      <c r="AV369" s="28">
        <v>0.35</v>
      </c>
      <c r="AW369" s="28">
        <v>0.5</v>
      </c>
      <c r="AX369" s="28">
        <v>0.15</v>
      </c>
      <c r="AY369" s="28">
        <v>0</v>
      </c>
      <c r="AZ369" s="25">
        <v>0.95</v>
      </c>
      <c r="BA369" s="25">
        <v>3.44</v>
      </c>
      <c r="BB369" s="25">
        <v>2.4900000000000002</v>
      </c>
      <c r="BC369" s="25">
        <v>2.7093750000000001</v>
      </c>
      <c r="BD369">
        <v>2.7093750000000001</v>
      </c>
      <c r="BE369">
        <v>6.2518139537406876</v>
      </c>
    </row>
    <row r="370" spans="1:57" x14ac:dyDescent="0.3">
      <c r="A370" s="2" t="s">
        <v>298</v>
      </c>
      <c r="B370" s="17" t="s">
        <v>948</v>
      </c>
      <c r="C370" s="13"/>
      <c r="D370" s="2"/>
      <c r="E370" s="2"/>
      <c r="F370" s="2">
        <v>3.45</v>
      </c>
      <c r="G370" s="2" t="s">
        <v>295</v>
      </c>
      <c r="H370" s="9">
        <v>-1</v>
      </c>
      <c r="I370">
        <v>-1</v>
      </c>
      <c r="K370" s="2"/>
      <c r="L370" s="2"/>
      <c r="M370" s="2"/>
      <c r="N370" s="23">
        <v>0</v>
      </c>
      <c r="O370" s="2">
        <v>-1</v>
      </c>
      <c r="P370" s="2"/>
      <c r="Q370" s="2"/>
      <c r="R370" s="2"/>
      <c r="S370" s="2"/>
      <c r="T370" s="25">
        <v>3.86</v>
      </c>
      <c r="U370" s="25">
        <v>3.86</v>
      </c>
      <c r="V370" s="23">
        <v>16.312000000000001</v>
      </c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O370">
        <v>20</v>
      </c>
      <c r="AP370" s="21">
        <v>0</v>
      </c>
      <c r="AQ370" s="21"/>
      <c r="AR370" s="28">
        <v>1.75</v>
      </c>
      <c r="AS370" s="28">
        <v>2.5</v>
      </c>
      <c r="AT370" s="28">
        <v>0.75</v>
      </c>
      <c r="AU370" s="28">
        <v>0</v>
      </c>
      <c r="AV370" s="28">
        <v>0.35</v>
      </c>
      <c r="AW370" s="28">
        <v>0.5</v>
      </c>
      <c r="AX370" s="28">
        <v>0.15</v>
      </c>
      <c r="AY370" s="28">
        <v>0</v>
      </c>
      <c r="AZ370" s="25">
        <v>0.95</v>
      </c>
      <c r="BA370" s="25">
        <v>3.44</v>
      </c>
      <c r="BB370" s="25">
        <v>2.4900000000000002</v>
      </c>
      <c r="BC370" s="25">
        <v>2.7078125000000002</v>
      </c>
      <c r="BD370">
        <v>2.7078125000000002</v>
      </c>
      <c r="BE370">
        <v>6.245708125303187</v>
      </c>
    </row>
    <row r="371" spans="1:57" x14ac:dyDescent="0.3">
      <c r="A371" s="2" t="s">
        <v>151</v>
      </c>
      <c r="B371" s="13" t="s">
        <v>774</v>
      </c>
      <c r="C371" s="13"/>
      <c r="D371" s="2"/>
      <c r="E371" s="2"/>
      <c r="F371" s="2">
        <v>3.4</v>
      </c>
      <c r="G371" s="2" t="s">
        <v>295</v>
      </c>
      <c r="H371" s="9">
        <v>-1</v>
      </c>
      <c r="I371">
        <v>-1</v>
      </c>
      <c r="K371" s="2"/>
      <c r="L371" s="2"/>
      <c r="M371" s="2"/>
      <c r="N371" s="23">
        <v>0</v>
      </c>
      <c r="O371" s="2">
        <v>-1</v>
      </c>
      <c r="P371" s="2"/>
      <c r="Q371" s="2"/>
      <c r="R371" s="2"/>
      <c r="S371" s="2"/>
      <c r="T371" s="25">
        <v>3.86</v>
      </c>
      <c r="U371" s="25">
        <v>3.86</v>
      </c>
      <c r="V371" s="23">
        <v>17.599</v>
      </c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O371">
        <v>20</v>
      </c>
      <c r="AP371" s="21">
        <v>0</v>
      </c>
      <c r="AQ371" s="21"/>
      <c r="AR371" s="28">
        <v>1.75</v>
      </c>
      <c r="AS371" s="28">
        <v>2.5</v>
      </c>
      <c r="AT371" s="28">
        <v>0.75</v>
      </c>
      <c r="AU371" s="28">
        <v>0</v>
      </c>
      <c r="AV371" s="28">
        <v>0.35</v>
      </c>
      <c r="AW371" s="28">
        <v>0.5</v>
      </c>
      <c r="AX371" s="28">
        <v>0.15</v>
      </c>
      <c r="AY371" s="28">
        <v>0</v>
      </c>
      <c r="AZ371" s="25">
        <v>0.95</v>
      </c>
      <c r="BA371" s="25">
        <v>3.44</v>
      </c>
      <c r="BB371" s="25">
        <v>2.4900000000000002</v>
      </c>
      <c r="BC371" s="25">
        <v>2.7062499999999998</v>
      </c>
      <c r="BD371">
        <v>2.7062499999999998</v>
      </c>
      <c r="BE371">
        <v>6.2396022968656872</v>
      </c>
    </row>
    <row r="372" spans="1:57" x14ac:dyDescent="0.3">
      <c r="A372" s="2" t="s">
        <v>299</v>
      </c>
      <c r="B372" s="17" t="s">
        <v>949</v>
      </c>
      <c r="C372" s="13"/>
      <c r="D372" s="2"/>
      <c r="E372" s="2"/>
      <c r="F372" s="2">
        <v>3.65</v>
      </c>
      <c r="G372" s="2" t="s">
        <v>295</v>
      </c>
      <c r="H372" s="9">
        <v>-1</v>
      </c>
      <c r="I372">
        <v>-1</v>
      </c>
      <c r="K372" s="2"/>
      <c r="L372" s="2"/>
      <c r="M372" s="2"/>
      <c r="N372" s="23">
        <v>0</v>
      </c>
      <c r="O372" s="2">
        <v>-1</v>
      </c>
      <c r="P372" s="2"/>
      <c r="Q372" s="2"/>
      <c r="R372" s="2"/>
      <c r="S372" s="2"/>
      <c r="T372" s="25">
        <v>3.86</v>
      </c>
      <c r="U372" s="25">
        <v>3.86</v>
      </c>
      <c r="V372" s="23">
        <v>14.85</v>
      </c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O372">
        <v>20</v>
      </c>
      <c r="AP372" s="21">
        <v>0</v>
      </c>
      <c r="AQ372" s="21"/>
      <c r="AR372" s="28">
        <v>1.76875</v>
      </c>
      <c r="AS372" s="28">
        <v>2.5</v>
      </c>
      <c r="AT372" s="28">
        <v>0.73125000000000007</v>
      </c>
      <c r="AU372" s="28">
        <v>0.26250000000000001</v>
      </c>
      <c r="AV372" s="28">
        <v>0.33610451306413303</v>
      </c>
      <c r="AW372" s="28">
        <v>0.47505938242280282</v>
      </c>
      <c r="AX372" s="28">
        <v>0.13895486935866991</v>
      </c>
      <c r="AY372" s="28">
        <v>4.9881235154394299E-2</v>
      </c>
      <c r="AZ372" s="25">
        <v>1</v>
      </c>
      <c r="BA372" s="25">
        <v>3.44</v>
      </c>
      <c r="BB372" s="25">
        <v>2.44</v>
      </c>
      <c r="BC372" s="25">
        <v>2.7106249999999998</v>
      </c>
      <c r="BD372">
        <v>2.7106249999999998</v>
      </c>
      <c r="BE372">
        <v>6.2658671793656886</v>
      </c>
    </row>
    <row r="373" spans="1:57" x14ac:dyDescent="0.3">
      <c r="A373" s="2" t="s">
        <v>300</v>
      </c>
      <c r="B373" s="13" t="s">
        <v>809</v>
      </c>
      <c r="C373" s="13"/>
      <c r="D373" s="2"/>
      <c r="E373" s="2"/>
      <c r="F373" s="2">
        <v>3.26</v>
      </c>
      <c r="G373" s="2" t="s">
        <v>295</v>
      </c>
      <c r="H373" s="9">
        <v>-1</v>
      </c>
      <c r="I373">
        <v>-1</v>
      </c>
      <c r="K373" s="2"/>
      <c r="L373" s="2"/>
      <c r="M373" s="2"/>
      <c r="N373" s="23">
        <v>0</v>
      </c>
      <c r="O373" s="2">
        <v>-1</v>
      </c>
      <c r="P373" s="2"/>
      <c r="Q373" s="2"/>
      <c r="R373" s="2"/>
      <c r="S373" s="2"/>
      <c r="T373" s="25">
        <v>3.86</v>
      </c>
      <c r="U373" s="25">
        <v>3.86</v>
      </c>
      <c r="V373" s="23">
        <v>15.022</v>
      </c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O373">
        <v>20</v>
      </c>
      <c r="AP373" s="21">
        <v>0</v>
      </c>
      <c r="AQ373" s="21"/>
      <c r="AR373" s="28">
        <v>1.8125</v>
      </c>
      <c r="AS373" s="28">
        <v>2.5</v>
      </c>
      <c r="AT373" s="28">
        <v>0.6875</v>
      </c>
      <c r="AU373" s="28">
        <v>0.875</v>
      </c>
      <c r="AV373" s="28">
        <v>0.30851063829787229</v>
      </c>
      <c r="AW373" s="28">
        <v>0.42553191489361702</v>
      </c>
      <c r="AX373" s="28">
        <v>0.1170212765957447</v>
      </c>
      <c r="AY373" s="28">
        <v>0.14893617021276601</v>
      </c>
      <c r="AZ373" s="25">
        <v>1</v>
      </c>
      <c r="BA373" s="25">
        <v>3.44</v>
      </c>
      <c r="BB373" s="25">
        <v>2.44</v>
      </c>
      <c r="BC373" s="25">
        <v>2.7062499999999998</v>
      </c>
      <c r="BD373">
        <v>2.7062499999999998</v>
      </c>
      <c r="BE373">
        <v>6.2701641731156874</v>
      </c>
    </row>
    <row r="374" spans="1:57" x14ac:dyDescent="0.3">
      <c r="A374" s="2" t="s">
        <v>301</v>
      </c>
      <c r="B374" s="17" t="s">
        <v>950</v>
      </c>
      <c r="C374" s="13"/>
      <c r="D374" s="2"/>
      <c r="E374" s="2"/>
      <c r="F374" s="2">
        <v>3.2</v>
      </c>
      <c r="G374" s="2" t="s">
        <v>295</v>
      </c>
      <c r="H374" s="9">
        <v>-1</v>
      </c>
      <c r="I374">
        <v>-1</v>
      </c>
      <c r="K374" s="2"/>
      <c r="L374" s="2"/>
      <c r="M374" s="2"/>
      <c r="N374" s="23">
        <v>0</v>
      </c>
      <c r="O374" s="2">
        <v>-1</v>
      </c>
      <c r="P374" s="2"/>
      <c r="Q374" s="2"/>
      <c r="R374" s="2"/>
      <c r="S374" s="2"/>
      <c r="T374" s="25">
        <v>3.86</v>
      </c>
      <c r="U374" s="25">
        <v>3.86</v>
      </c>
      <c r="V374" s="45">
        <v>15.380100000000001</v>
      </c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O374">
        <v>20</v>
      </c>
      <c r="AP374" s="21">
        <v>0</v>
      </c>
      <c r="AQ374" s="21"/>
      <c r="AR374" s="28">
        <v>1.84375</v>
      </c>
      <c r="AS374" s="28">
        <v>2.5</v>
      </c>
      <c r="AT374" s="28">
        <v>0.65625</v>
      </c>
      <c r="AU374" s="28">
        <v>1.3125</v>
      </c>
      <c r="AV374" s="28">
        <v>0.29207920792079212</v>
      </c>
      <c r="AW374" s="28">
        <v>0.39603960396039611</v>
      </c>
      <c r="AX374" s="28">
        <v>0.103960396039604</v>
      </c>
      <c r="AY374" s="28">
        <v>0.20792079207920791</v>
      </c>
      <c r="AZ374" s="25">
        <v>1</v>
      </c>
      <c r="BA374" s="25">
        <v>3.44</v>
      </c>
      <c r="BB374" s="25">
        <v>2.44</v>
      </c>
      <c r="BC374" s="25">
        <v>2.703125</v>
      </c>
      <c r="BD374">
        <v>2.703125</v>
      </c>
      <c r="BE374">
        <v>6.2732334543656876</v>
      </c>
    </row>
    <row r="375" spans="1:57" x14ac:dyDescent="0.3">
      <c r="A375" s="2" t="s">
        <v>4</v>
      </c>
      <c r="B375" s="13" t="s">
        <v>689</v>
      </c>
      <c r="C375" s="13"/>
      <c r="D375" s="2"/>
      <c r="E375" s="2"/>
      <c r="F375" s="2">
        <v>3.5</v>
      </c>
      <c r="G375" s="2" t="s">
        <v>302</v>
      </c>
      <c r="H375" s="9" t="s">
        <v>527</v>
      </c>
      <c r="I375" t="s">
        <v>609</v>
      </c>
      <c r="K375" s="2"/>
      <c r="L375" s="2"/>
      <c r="M375" s="2"/>
      <c r="N375" s="23">
        <v>4</v>
      </c>
      <c r="O375" s="2"/>
      <c r="P375" s="2"/>
      <c r="Q375" s="2"/>
      <c r="R375" s="2"/>
      <c r="S375" s="2"/>
      <c r="T375" s="23">
        <v>3.86</v>
      </c>
      <c r="U375" s="25">
        <v>3.86</v>
      </c>
      <c r="V375" s="23">
        <v>15.19056011</v>
      </c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O375">
        <v>20</v>
      </c>
      <c r="AP375" s="21">
        <v>924.74694800021894</v>
      </c>
      <c r="AQ375" s="21">
        <v>8.6510153045653584E-2</v>
      </c>
      <c r="AR375" s="28">
        <v>1.75</v>
      </c>
      <c r="AS375" s="28">
        <v>2.5</v>
      </c>
      <c r="AT375" s="28">
        <v>0.75</v>
      </c>
      <c r="AU375" s="28">
        <v>0</v>
      </c>
      <c r="AV375" s="28">
        <v>0.35</v>
      </c>
      <c r="AW375" s="28">
        <v>0.5</v>
      </c>
      <c r="AX375" s="28">
        <v>0.15</v>
      </c>
      <c r="AY375" s="28">
        <v>0</v>
      </c>
      <c r="AZ375" s="25">
        <v>0.82</v>
      </c>
      <c r="BA375" s="25">
        <v>3.44</v>
      </c>
      <c r="BB375" s="25">
        <v>2.62</v>
      </c>
      <c r="BC375" s="25">
        <v>2.6262500000000002</v>
      </c>
      <c r="BD375">
        <v>2.6262500000000002</v>
      </c>
      <c r="BE375">
        <v>5.96680968125</v>
      </c>
    </row>
    <row r="376" spans="1:57" x14ac:dyDescent="0.3">
      <c r="A376" s="2" t="s">
        <v>303</v>
      </c>
      <c r="B376" s="13" t="s">
        <v>828</v>
      </c>
      <c r="C376" s="13"/>
      <c r="D376" s="2"/>
      <c r="E376" s="2"/>
      <c r="F376" s="2">
        <v>3.4</v>
      </c>
      <c r="G376" s="2" t="s">
        <v>302</v>
      </c>
      <c r="H376" s="32" t="s">
        <v>527</v>
      </c>
      <c r="I376" s="1" t="s">
        <v>609</v>
      </c>
      <c r="K376" s="2"/>
      <c r="L376" s="2"/>
      <c r="M376" s="2"/>
      <c r="N376" s="23">
        <v>0</v>
      </c>
      <c r="O376" s="2">
        <v>-1</v>
      </c>
      <c r="P376" s="2"/>
      <c r="Q376" s="2"/>
      <c r="R376" s="2"/>
      <c r="S376" s="2"/>
      <c r="T376" s="36">
        <v>3.86</v>
      </c>
      <c r="U376" s="36">
        <v>3.86</v>
      </c>
      <c r="V376" s="36">
        <v>15.19056011</v>
      </c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O376">
        <v>20</v>
      </c>
      <c r="AP376" s="21">
        <v>0</v>
      </c>
      <c r="AQ376" s="21"/>
      <c r="AR376" s="28">
        <v>1.75</v>
      </c>
      <c r="AS376" s="28">
        <v>2.5</v>
      </c>
      <c r="AT376" s="28">
        <v>0.75</v>
      </c>
      <c r="AU376" s="28">
        <v>0</v>
      </c>
      <c r="AV376" s="28">
        <v>0.35</v>
      </c>
      <c r="AW376" s="28">
        <v>0.5</v>
      </c>
      <c r="AX376" s="28">
        <v>0.15</v>
      </c>
      <c r="AY376" s="28">
        <v>0</v>
      </c>
      <c r="AZ376" s="25">
        <v>0.82</v>
      </c>
      <c r="BA376" s="25">
        <v>3.44</v>
      </c>
      <c r="BB376" s="25">
        <v>2.62</v>
      </c>
      <c r="BC376" s="25">
        <v>2.6231249999999999</v>
      </c>
      <c r="BD376">
        <v>2.6231249999999999</v>
      </c>
      <c r="BE376">
        <v>5.9545980243750014</v>
      </c>
    </row>
    <row r="377" spans="1:57" x14ac:dyDescent="0.3">
      <c r="A377" s="2" t="s">
        <v>7</v>
      </c>
      <c r="B377" s="13" t="s">
        <v>692</v>
      </c>
      <c r="C377" s="13"/>
      <c r="D377" s="2"/>
      <c r="E377" s="2"/>
      <c r="F377" s="2">
        <v>3.3</v>
      </c>
      <c r="G377" s="2" t="s">
        <v>302</v>
      </c>
      <c r="H377" s="32" t="s">
        <v>527</v>
      </c>
      <c r="I377" s="1" t="s">
        <v>609</v>
      </c>
      <c r="K377" s="2"/>
      <c r="L377" s="2"/>
      <c r="M377" s="2"/>
      <c r="N377" s="23">
        <v>0</v>
      </c>
      <c r="O377" s="2">
        <v>-1</v>
      </c>
      <c r="P377" s="2"/>
      <c r="Q377" s="2"/>
      <c r="R377" s="2"/>
      <c r="S377" s="2"/>
      <c r="T377" s="36">
        <v>3.86</v>
      </c>
      <c r="U377" s="36">
        <v>3.86</v>
      </c>
      <c r="V377" s="36">
        <v>15.19056011</v>
      </c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O377">
        <v>20</v>
      </c>
      <c r="AP377" s="21">
        <v>0</v>
      </c>
      <c r="AQ377" s="21"/>
      <c r="AR377" s="28">
        <v>1.75</v>
      </c>
      <c r="AS377" s="28">
        <v>2.5</v>
      </c>
      <c r="AT377" s="28">
        <v>0.75</v>
      </c>
      <c r="AU377" s="28">
        <v>0</v>
      </c>
      <c r="AV377" s="28">
        <v>0.35</v>
      </c>
      <c r="AW377" s="28">
        <v>0.5</v>
      </c>
      <c r="AX377" s="28">
        <v>0.15</v>
      </c>
      <c r="AY377" s="28">
        <v>0</v>
      </c>
      <c r="AZ377" s="25">
        <v>0.82</v>
      </c>
      <c r="BA377" s="25">
        <v>3.44</v>
      </c>
      <c r="BB377" s="25">
        <v>2.62</v>
      </c>
      <c r="BC377" s="25">
        <v>2.62</v>
      </c>
      <c r="BD377">
        <v>2.62</v>
      </c>
      <c r="BE377">
        <v>5.9423863675000002</v>
      </c>
    </row>
    <row r="378" spans="1:57" x14ac:dyDescent="0.3">
      <c r="A378" s="2" t="s">
        <v>63</v>
      </c>
      <c r="B378" s="13" t="s">
        <v>773</v>
      </c>
      <c r="C378" s="13"/>
      <c r="D378" s="2"/>
      <c r="E378" s="2"/>
      <c r="F378" s="2">
        <v>3.5</v>
      </c>
      <c r="G378" s="2" t="s">
        <v>305</v>
      </c>
      <c r="H378" s="9">
        <v>-1</v>
      </c>
      <c r="I378">
        <v>-1</v>
      </c>
      <c r="J378" t="s">
        <v>1179</v>
      </c>
      <c r="K378" s="2"/>
      <c r="L378" s="2"/>
      <c r="M378" s="2"/>
      <c r="N378" s="23">
        <v>0</v>
      </c>
      <c r="O378" s="2">
        <v>-1</v>
      </c>
      <c r="P378" s="2"/>
      <c r="Q378" s="2"/>
      <c r="R378" s="2"/>
      <c r="S378" s="2"/>
      <c r="T378" s="23">
        <v>3.84</v>
      </c>
      <c r="U378" s="23">
        <v>3.84</v>
      </c>
      <c r="V378" s="23">
        <v>13.97</v>
      </c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O378">
        <v>20</v>
      </c>
      <c r="AP378" s="21">
        <v>0</v>
      </c>
      <c r="AQ378" s="21"/>
      <c r="AR378" s="28">
        <v>1.75</v>
      </c>
      <c r="AS378" s="28">
        <v>2.5</v>
      </c>
      <c r="AT378" s="28">
        <v>0.75</v>
      </c>
      <c r="AU378" s="28">
        <v>0</v>
      </c>
      <c r="AV378" s="28">
        <v>0.35</v>
      </c>
      <c r="AW378" s="28">
        <v>0.5</v>
      </c>
      <c r="AX378" s="28">
        <v>0.15</v>
      </c>
      <c r="AY378" s="28">
        <v>0</v>
      </c>
      <c r="AZ378" s="25">
        <v>1</v>
      </c>
      <c r="BA378" s="25">
        <v>3.44</v>
      </c>
      <c r="BB378" s="25">
        <v>2.44</v>
      </c>
      <c r="BC378" s="25">
        <v>2.7124999999999999</v>
      </c>
      <c r="BD378">
        <v>2.7124999999999999</v>
      </c>
      <c r="BE378">
        <v>6.264025610615688</v>
      </c>
    </row>
    <row r="379" spans="1:57" s="2" customFormat="1" x14ac:dyDescent="0.3">
      <c r="A379" s="2" t="s">
        <v>304</v>
      </c>
      <c r="B379" s="34" t="s">
        <v>829</v>
      </c>
      <c r="C379" s="34"/>
      <c r="F379" s="2">
        <v>3.33</v>
      </c>
      <c r="G379" s="2" t="s">
        <v>305</v>
      </c>
      <c r="H379" s="35">
        <v>-1</v>
      </c>
      <c r="I379" s="2">
        <v>-1</v>
      </c>
      <c r="N379" s="29">
        <v>0</v>
      </c>
      <c r="O379" s="2">
        <v>6.47</v>
      </c>
      <c r="P379" s="2">
        <v>6.47</v>
      </c>
      <c r="Q379" s="2">
        <v>30.69</v>
      </c>
      <c r="T379" s="29">
        <v>0</v>
      </c>
      <c r="U379" s="29"/>
      <c r="V379" s="29"/>
      <c r="AO379" s="2">
        <v>34</v>
      </c>
      <c r="AP379" s="29">
        <v>0</v>
      </c>
      <c r="AQ379" s="29"/>
      <c r="AR379" s="2">
        <v>1.62962962962963</v>
      </c>
      <c r="AS379" s="2">
        <v>2.518518518518519</v>
      </c>
      <c r="AT379" s="2">
        <v>0.88888888888888884</v>
      </c>
      <c r="AU379" s="2">
        <v>0</v>
      </c>
      <c r="AV379" s="2">
        <v>0.32352941176470579</v>
      </c>
      <c r="AW379" s="2">
        <v>0.5</v>
      </c>
      <c r="AX379" s="2">
        <v>0.1764705882352941</v>
      </c>
      <c r="AY379" s="2">
        <v>0</v>
      </c>
      <c r="AZ379" s="29">
        <v>1.6</v>
      </c>
      <c r="BA379" s="29">
        <v>3.44</v>
      </c>
      <c r="BB379" s="29">
        <v>1.84</v>
      </c>
      <c r="BC379" s="29">
        <v>2.8474074074074069</v>
      </c>
      <c r="BD379" s="2">
        <v>2.8474074074074069</v>
      </c>
      <c r="BE379" s="2">
        <v>6.6632481018297778</v>
      </c>
    </row>
    <row r="380" spans="1:57" s="2" customFormat="1" x14ac:dyDescent="0.3">
      <c r="A380" s="2" t="s">
        <v>299</v>
      </c>
      <c r="B380" s="33" t="s">
        <v>949</v>
      </c>
      <c r="C380" s="34"/>
      <c r="F380" s="2">
        <v>3.65</v>
      </c>
      <c r="G380" s="2" t="s">
        <v>306</v>
      </c>
      <c r="H380" s="35">
        <v>-1</v>
      </c>
      <c r="I380" s="2">
        <v>-1</v>
      </c>
      <c r="N380" s="29">
        <v>0</v>
      </c>
      <c r="O380" s="2">
        <v>3.8531</v>
      </c>
      <c r="P380" s="2">
        <v>3.8531</v>
      </c>
      <c r="Q380" s="2">
        <v>16.2151</v>
      </c>
      <c r="T380" s="29">
        <v>0</v>
      </c>
      <c r="U380" s="29"/>
      <c r="V380" s="29"/>
      <c r="AO380" s="2">
        <v>20</v>
      </c>
      <c r="AP380" s="29">
        <v>0</v>
      </c>
      <c r="AQ380" s="29"/>
      <c r="AR380" s="2">
        <v>1.76875</v>
      </c>
      <c r="AS380" s="2">
        <v>2.5</v>
      </c>
      <c r="AT380" s="2">
        <v>0.73125000000000007</v>
      </c>
      <c r="AU380" s="2">
        <v>0.26250000000000001</v>
      </c>
      <c r="AV380" s="2">
        <v>0.33610451306413303</v>
      </c>
      <c r="AW380" s="2">
        <v>0.47505938242280282</v>
      </c>
      <c r="AX380" s="2">
        <v>0.13895486935866991</v>
      </c>
      <c r="AY380" s="2">
        <v>4.9881235154394299E-2</v>
      </c>
      <c r="AZ380" s="29">
        <v>1</v>
      </c>
      <c r="BA380" s="29">
        <v>3.44</v>
      </c>
      <c r="BB380" s="29">
        <v>2.44</v>
      </c>
      <c r="BC380" s="29">
        <v>2.7106249999999998</v>
      </c>
      <c r="BD380" s="2">
        <v>2.7106249999999998</v>
      </c>
      <c r="BE380" s="2">
        <v>6.2658671793656886</v>
      </c>
    </row>
    <row r="381" spans="1:57" s="2" customFormat="1" x14ac:dyDescent="0.3">
      <c r="A381" s="2" t="s">
        <v>301</v>
      </c>
      <c r="B381" s="33" t="s">
        <v>950</v>
      </c>
      <c r="C381" s="34"/>
      <c r="F381" s="2">
        <v>3.8</v>
      </c>
      <c r="G381" s="2" t="s">
        <v>306</v>
      </c>
      <c r="H381" s="35">
        <v>-1</v>
      </c>
      <c r="I381" s="2">
        <v>-1</v>
      </c>
      <c r="N381" s="29">
        <v>0</v>
      </c>
      <c r="O381" s="2">
        <v>3.8531</v>
      </c>
      <c r="P381" s="2">
        <v>3.8531</v>
      </c>
      <c r="Q381" s="2">
        <v>16.2151</v>
      </c>
      <c r="T381" s="29">
        <v>0</v>
      </c>
      <c r="U381" s="29"/>
      <c r="V381" s="29"/>
      <c r="AO381" s="2">
        <v>20</v>
      </c>
      <c r="AP381" s="29">
        <v>0</v>
      </c>
      <c r="AQ381" s="29"/>
      <c r="AR381" s="2">
        <v>1.84375</v>
      </c>
      <c r="AS381" s="2">
        <v>2.5</v>
      </c>
      <c r="AT381" s="2">
        <v>0.65625</v>
      </c>
      <c r="AU381" s="2">
        <v>1.3125</v>
      </c>
      <c r="AV381" s="2">
        <v>0.29207920792079212</v>
      </c>
      <c r="AW381" s="2">
        <v>0.39603960396039611</v>
      </c>
      <c r="AX381" s="2">
        <v>0.103960396039604</v>
      </c>
      <c r="AY381" s="2">
        <v>0.20792079207920791</v>
      </c>
      <c r="AZ381" s="29">
        <v>1</v>
      </c>
      <c r="BA381" s="29">
        <v>3.44</v>
      </c>
      <c r="BB381" s="29">
        <v>2.44</v>
      </c>
      <c r="BC381" s="29">
        <v>2.703125</v>
      </c>
      <c r="BD381" s="2">
        <v>2.703125</v>
      </c>
      <c r="BE381" s="2">
        <v>6.2732334543656876</v>
      </c>
    </row>
    <row r="382" spans="1:57" s="2" customFormat="1" x14ac:dyDescent="0.3">
      <c r="A382" s="2" t="s">
        <v>46</v>
      </c>
      <c r="B382" s="34" t="s">
        <v>722</v>
      </c>
      <c r="C382" s="34"/>
      <c r="F382" s="2">
        <v>3.34</v>
      </c>
      <c r="G382" s="2" t="s">
        <v>307</v>
      </c>
      <c r="H382" s="35" t="s">
        <v>551</v>
      </c>
      <c r="I382" s="2" t="s">
        <v>629</v>
      </c>
      <c r="N382" s="29">
        <v>2</v>
      </c>
      <c r="T382" s="29">
        <v>7.41544296</v>
      </c>
      <c r="U382" s="29">
        <v>7.4154429599999991</v>
      </c>
      <c r="V382" s="29">
        <v>7.41544296</v>
      </c>
      <c r="AO382" s="2">
        <v>14</v>
      </c>
      <c r="AP382" s="29">
        <v>288.33429290182369</v>
      </c>
      <c r="AQ382" s="29">
        <v>9.7109503410799117E-2</v>
      </c>
      <c r="AR382" s="2">
        <v>2</v>
      </c>
      <c r="AS382" s="2">
        <v>2.545454545454545</v>
      </c>
      <c r="AT382" s="2">
        <v>0.54545454545454541</v>
      </c>
      <c r="AU382" s="2">
        <v>0</v>
      </c>
      <c r="AV382" s="2">
        <v>0.39285714285714279</v>
      </c>
      <c r="AW382" s="2">
        <v>0.5</v>
      </c>
      <c r="AX382" s="2">
        <v>0.1071428571428571</v>
      </c>
      <c r="AY382" s="2">
        <v>0</v>
      </c>
      <c r="AZ382" s="29">
        <v>1.1000000000000001</v>
      </c>
      <c r="BA382" s="29">
        <v>3.44</v>
      </c>
      <c r="BB382" s="29">
        <v>2.34</v>
      </c>
      <c r="BC382" s="29">
        <v>2.669090909090909</v>
      </c>
      <c r="BD382" s="2">
        <v>2.669090909090909</v>
      </c>
      <c r="BE382" s="2">
        <v>5.9831974772727277</v>
      </c>
    </row>
    <row r="383" spans="1:57" s="2" customFormat="1" x14ac:dyDescent="0.3">
      <c r="A383" s="2" t="s">
        <v>891</v>
      </c>
      <c r="B383" s="34" t="s">
        <v>722</v>
      </c>
      <c r="C383" s="34"/>
      <c r="D383" s="2" t="s">
        <v>676</v>
      </c>
      <c r="E383" s="2">
        <v>0.22</v>
      </c>
      <c r="F383" s="2">
        <v>3.17</v>
      </c>
      <c r="G383" s="2" t="s">
        <v>307</v>
      </c>
      <c r="H383" s="35" t="s">
        <v>551</v>
      </c>
      <c r="I383" s="2" t="s">
        <v>629</v>
      </c>
      <c r="N383" s="29">
        <v>2</v>
      </c>
      <c r="T383" s="29">
        <v>7.41544296</v>
      </c>
      <c r="U383" s="29">
        <v>7.4154429599999991</v>
      </c>
      <c r="V383" s="29">
        <v>7.41544296</v>
      </c>
      <c r="AO383" s="2">
        <v>14</v>
      </c>
      <c r="AP383" s="29">
        <v>288.33429290182369</v>
      </c>
      <c r="AQ383" s="29">
        <v>9.7109503410799117E-2</v>
      </c>
      <c r="AR383" s="2">
        <v>2</v>
      </c>
      <c r="AS383" s="2">
        <v>2.545454545454545</v>
      </c>
      <c r="AT383" s="2">
        <v>0.54545454545454541</v>
      </c>
      <c r="AU383" s="2">
        <v>0</v>
      </c>
      <c r="AV383" s="2">
        <v>0.39285714285714279</v>
      </c>
      <c r="AW383" s="2">
        <v>0.5</v>
      </c>
      <c r="AX383" s="2">
        <v>0.1071428571428571</v>
      </c>
      <c r="AY383" s="2">
        <v>0</v>
      </c>
      <c r="AZ383" s="29">
        <v>1.1000000000000001</v>
      </c>
      <c r="BA383" s="29">
        <v>3.44</v>
      </c>
      <c r="BB383" s="29">
        <v>2.34</v>
      </c>
      <c r="BC383" s="29">
        <v>2.669090909090909</v>
      </c>
      <c r="BD383" s="2">
        <v>2.669090909090909</v>
      </c>
      <c r="BE383" s="2">
        <v>5.9831974772727277</v>
      </c>
    </row>
    <row r="384" spans="1:57" s="2" customFormat="1" x14ac:dyDescent="0.3">
      <c r="A384" s="2" t="s">
        <v>308</v>
      </c>
      <c r="B384" s="34" t="s">
        <v>830</v>
      </c>
      <c r="C384" s="34"/>
      <c r="F384" s="2">
        <v>3.44</v>
      </c>
      <c r="G384" s="2" t="s">
        <v>309</v>
      </c>
      <c r="H384" s="35" t="s">
        <v>601</v>
      </c>
      <c r="I384" s="2" t="s">
        <v>672</v>
      </c>
      <c r="N384" s="29">
        <v>1</v>
      </c>
      <c r="T384" s="29">
        <v>3.9408639999999999</v>
      </c>
      <c r="U384" s="29">
        <v>3.9455239999999989</v>
      </c>
      <c r="V384" s="29">
        <v>15.25730117</v>
      </c>
      <c r="AO384" s="2">
        <v>20</v>
      </c>
      <c r="AP384" s="29">
        <v>235.24089263777751</v>
      </c>
      <c r="AQ384" s="29">
        <v>8.5019231884976218E-2</v>
      </c>
      <c r="AR384" s="2">
        <v>1.9375</v>
      </c>
      <c r="AS384" s="2">
        <v>2.5</v>
      </c>
      <c r="AT384" s="2">
        <v>0.5625</v>
      </c>
      <c r="AU384" s="2">
        <v>2.625</v>
      </c>
      <c r="AV384" s="2">
        <v>0.25409836065573771</v>
      </c>
      <c r="AW384" s="2">
        <v>0.32786885245901642</v>
      </c>
      <c r="AX384" s="2">
        <v>7.3770491803278687E-2</v>
      </c>
      <c r="AY384" s="2">
        <v>0.34426229508196721</v>
      </c>
      <c r="AZ384" s="29">
        <v>0.82</v>
      </c>
      <c r="BA384" s="29">
        <v>3.44</v>
      </c>
      <c r="BB384" s="29">
        <v>2.62</v>
      </c>
      <c r="BC384" s="29">
        <v>2.6074999999999999</v>
      </c>
      <c r="BD384" s="2">
        <v>2.6074999999999999</v>
      </c>
      <c r="BE384" s="2">
        <v>5.9852253687500001</v>
      </c>
    </row>
    <row r="385" spans="1:57" s="2" customFormat="1" x14ac:dyDescent="0.3">
      <c r="A385" s="2" t="s">
        <v>63</v>
      </c>
      <c r="B385" s="34" t="s">
        <v>773</v>
      </c>
      <c r="C385" s="34"/>
      <c r="F385" s="2">
        <v>3.4</v>
      </c>
      <c r="G385" s="2" t="s">
        <v>310</v>
      </c>
      <c r="H385" s="35">
        <v>-1</v>
      </c>
      <c r="I385" s="2">
        <v>-1</v>
      </c>
      <c r="N385" s="29">
        <v>0</v>
      </c>
      <c r="O385" s="2">
        <v>3.8531</v>
      </c>
      <c r="P385" s="2">
        <v>3.8531</v>
      </c>
      <c r="Q385" s="2">
        <v>16.2151</v>
      </c>
      <c r="T385" s="29">
        <v>0</v>
      </c>
      <c r="U385" s="29"/>
      <c r="V385" s="29"/>
      <c r="AO385" s="2">
        <v>20</v>
      </c>
      <c r="AP385" s="29">
        <v>0</v>
      </c>
      <c r="AQ385" s="29"/>
      <c r="AR385" s="2">
        <v>1.75</v>
      </c>
      <c r="AS385" s="2">
        <v>2.5</v>
      </c>
      <c r="AT385" s="2">
        <v>0.75</v>
      </c>
      <c r="AU385" s="2">
        <v>0</v>
      </c>
      <c r="AV385" s="2">
        <v>0.35</v>
      </c>
      <c r="AW385" s="2">
        <v>0.5</v>
      </c>
      <c r="AX385" s="2">
        <v>0.15</v>
      </c>
      <c r="AY385" s="2">
        <v>0</v>
      </c>
      <c r="AZ385" s="29">
        <v>1</v>
      </c>
      <c r="BA385" s="29">
        <v>3.44</v>
      </c>
      <c r="BB385" s="29">
        <v>2.44</v>
      </c>
      <c r="BC385" s="29">
        <v>2.7124999999999999</v>
      </c>
      <c r="BD385" s="2">
        <v>2.7124999999999999</v>
      </c>
      <c r="BE385" s="2">
        <v>6.264025610615688</v>
      </c>
    </row>
    <row r="386" spans="1:57" s="2" customFormat="1" x14ac:dyDescent="0.3">
      <c r="A386" s="2" t="s">
        <v>63</v>
      </c>
      <c r="B386" s="34" t="s">
        <v>773</v>
      </c>
      <c r="C386" s="34"/>
      <c r="D386" s="2" t="s">
        <v>246</v>
      </c>
      <c r="E386" s="2">
        <v>0.7</v>
      </c>
      <c r="F386" s="2">
        <v>2.15</v>
      </c>
      <c r="G386" s="2" t="s">
        <v>310</v>
      </c>
      <c r="H386" s="35">
        <v>-1</v>
      </c>
      <c r="I386" s="2">
        <v>-1</v>
      </c>
      <c r="N386" s="29">
        <v>0</v>
      </c>
      <c r="O386" s="2">
        <v>3.8531</v>
      </c>
      <c r="P386" s="2">
        <v>3.8531</v>
      </c>
      <c r="Q386" s="2">
        <v>16.2151</v>
      </c>
      <c r="T386" s="29">
        <v>0</v>
      </c>
      <c r="U386" s="29"/>
      <c r="V386" s="29"/>
      <c r="AO386" s="2">
        <v>20</v>
      </c>
      <c r="AP386" s="29">
        <v>0</v>
      </c>
      <c r="AQ386" s="29"/>
      <c r="AR386" s="2">
        <v>1.75</v>
      </c>
      <c r="AS386" s="2">
        <v>2.5</v>
      </c>
      <c r="AT386" s="2">
        <v>0.75</v>
      </c>
      <c r="AU386" s="2">
        <v>0</v>
      </c>
      <c r="AV386" s="2">
        <v>0.35</v>
      </c>
      <c r="AW386" s="2">
        <v>0.5</v>
      </c>
      <c r="AX386" s="2">
        <v>0.15</v>
      </c>
      <c r="AY386" s="2">
        <v>0</v>
      </c>
      <c r="AZ386" s="29">
        <v>1</v>
      </c>
      <c r="BA386" s="29">
        <v>3.44</v>
      </c>
      <c r="BB386" s="29">
        <v>2.44</v>
      </c>
      <c r="BC386" s="29">
        <v>2.7124999999999999</v>
      </c>
      <c r="BD386" s="2">
        <v>2.7124999999999999</v>
      </c>
      <c r="BE386" s="2">
        <v>6.264025610615688</v>
      </c>
    </row>
    <row r="387" spans="1:57" x14ac:dyDescent="0.3">
      <c r="A387" s="2" t="s">
        <v>311</v>
      </c>
      <c r="B387" s="13" t="s">
        <v>831</v>
      </c>
      <c r="C387" s="13"/>
      <c r="D387" s="2"/>
      <c r="E387" s="2"/>
      <c r="F387" s="2">
        <v>3.54</v>
      </c>
      <c r="G387" s="2" t="s">
        <v>312</v>
      </c>
      <c r="H387" s="9">
        <v>-1</v>
      </c>
      <c r="I387">
        <v>-1</v>
      </c>
      <c r="K387" s="2"/>
      <c r="L387" s="2"/>
      <c r="M387" s="2"/>
      <c r="N387" s="23">
        <v>0</v>
      </c>
      <c r="O387" s="2">
        <v>3.9647999999999999</v>
      </c>
      <c r="P387" s="2">
        <v>3.9647999999999999</v>
      </c>
      <c r="Q387" s="2">
        <v>15.7392</v>
      </c>
      <c r="R387" s="2" t="s">
        <v>439</v>
      </c>
      <c r="S387" s="2"/>
      <c r="T387" s="23">
        <v>0</v>
      </c>
      <c r="U387" s="23"/>
      <c r="V387" s="23"/>
      <c r="W387" s="2"/>
      <c r="X387" s="2">
        <v>1</v>
      </c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O387">
        <v>20</v>
      </c>
      <c r="AP387" s="21">
        <v>0</v>
      </c>
      <c r="AQ387" s="21"/>
      <c r="AR387" s="28">
        <v>1.9375</v>
      </c>
      <c r="AS387" s="28">
        <v>2.5</v>
      </c>
      <c r="AT387" s="28">
        <v>0.5625</v>
      </c>
      <c r="AU387" s="28">
        <v>2.625</v>
      </c>
      <c r="AV387" s="28">
        <v>0.25409836065573771</v>
      </c>
      <c r="AW387" s="28">
        <v>0.32786885245901642</v>
      </c>
      <c r="AX387" s="28">
        <v>7.3770491803278687E-2</v>
      </c>
      <c r="AY387" s="28">
        <v>0.34426229508196721</v>
      </c>
      <c r="AZ387" s="25">
        <v>0.79</v>
      </c>
      <c r="BA387" s="25">
        <v>3.44</v>
      </c>
      <c r="BB387" s="25">
        <v>2.65</v>
      </c>
      <c r="BC387" s="25">
        <v>2.5918749999999999</v>
      </c>
      <c r="BD387">
        <v>2.5918749999999999</v>
      </c>
      <c r="BE387">
        <v>5.9214935367946877</v>
      </c>
    </row>
    <row r="388" spans="1:57" x14ac:dyDescent="0.3">
      <c r="A388" s="2" t="s">
        <v>313</v>
      </c>
      <c r="B388" s="13" t="s">
        <v>720</v>
      </c>
      <c r="C388" s="13"/>
      <c r="D388" s="2"/>
      <c r="E388" s="2"/>
      <c r="F388" s="2">
        <v>3.5</v>
      </c>
      <c r="G388" s="2" t="s">
        <v>314</v>
      </c>
      <c r="H388" s="9" t="s">
        <v>549</v>
      </c>
      <c r="I388">
        <v>-1</v>
      </c>
      <c r="K388" s="2"/>
      <c r="L388" t="s">
        <v>1121</v>
      </c>
      <c r="M388" s="2"/>
      <c r="N388" s="23">
        <v>1</v>
      </c>
      <c r="O388" s="2">
        <v>-1</v>
      </c>
      <c r="P388" s="2"/>
      <c r="Q388" s="2"/>
      <c r="R388" s="2"/>
      <c r="S388" s="2"/>
      <c r="T388" s="23">
        <v>15.28115725</v>
      </c>
      <c r="U388" s="23">
        <v>15.28115725</v>
      </c>
      <c r="V388" s="23">
        <v>15.28115725</v>
      </c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O388">
        <v>20</v>
      </c>
      <c r="AP388" s="21">
        <v>229.90248606119221</v>
      </c>
      <c r="AQ388" s="21">
        <v>8.6993404650164072E-2</v>
      </c>
      <c r="AR388" s="28">
        <v>1.882352941176471</v>
      </c>
      <c r="AS388" s="28">
        <v>2.3529411764705879</v>
      </c>
      <c r="AT388" s="28">
        <v>0.47058823529411759</v>
      </c>
      <c r="AU388" s="28">
        <v>0</v>
      </c>
      <c r="AV388" s="28">
        <v>0.4</v>
      </c>
      <c r="AW388" s="28">
        <v>0.5</v>
      </c>
      <c r="AX388" s="28">
        <v>9.9999999999999992E-2</v>
      </c>
      <c r="AY388" s="28">
        <v>0</v>
      </c>
      <c r="AZ388" s="25">
        <v>0.82</v>
      </c>
      <c r="BA388" s="25">
        <v>3.44</v>
      </c>
      <c r="BB388" s="25">
        <v>2.62</v>
      </c>
      <c r="BC388" s="25">
        <v>2.5211764705882351</v>
      </c>
      <c r="BD388">
        <v>2.521176470588236</v>
      </c>
      <c r="BE388">
        <v>5.6898745917647062</v>
      </c>
    </row>
    <row r="389" spans="1:57" x14ac:dyDescent="0.3">
      <c r="A389" s="2" t="s">
        <v>44</v>
      </c>
      <c r="B389" s="13" t="s">
        <v>720</v>
      </c>
      <c r="C389" s="13"/>
      <c r="D389" s="2" t="s">
        <v>246</v>
      </c>
      <c r="E389" s="2" t="s">
        <v>1067</v>
      </c>
      <c r="F389" s="2">
        <v>2.2599999999999998</v>
      </c>
      <c r="G389" s="2" t="s">
        <v>314</v>
      </c>
      <c r="H389" s="9" t="s">
        <v>549</v>
      </c>
      <c r="I389">
        <v>-1</v>
      </c>
      <c r="K389" s="2"/>
      <c r="L389" s="2"/>
      <c r="M389" s="2"/>
      <c r="N389" s="23">
        <v>1</v>
      </c>
      <c r="O389" s="2">
        <v>-1</v>
      </c>
      <c r="P389" s="2"/>
      <c r="Q389" s="2"/>
      <c r="R389" s="2"/>
      <c r="S389" s="2"/>
      <c r="T389" s="23">
        <v>15.28115725</v>
      </c>
      <c r="U389" s="23">
        <v>15.28115725</v>
      </c>
      <c r="V389" s="23">
        <v>15.28115725</v>
      </c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O389">
        <v>20</v>
      </c>
      <c r="AP389" s="21">
        <v>229.90248606119221</v>
      </c>
      <c r="AQ389" s="21">
        <v>8.6993404650164072E-2</v>
      </c>
      <c r="AR389" s="28">
        <v>1.882352941176471</v>
      </c>
      <c r="AS389" s="28">
        <v>2.3529411764705879</v>
      </c>
      <c r="AT389" s="28">
        <v>0.47058823529411759</v>
      </c>
      <c r="AU389" s="28">
        <v>0</v>
      </c>
      <c r="AV389" s="28">
        <v>0.4</v>
      </c>
      <c r="AW389" s="28">
        <v>0.5</v>
      </c>
      <c r="AX389" s="28">
        <v>9.9999999999999992E-2</v>
      </c>
      <c r="AY389" s="28">
        <v>0</v>
      </c>
      <c r="AZ389" s="25">
        <v>0.82</v>
      </c>
      <c r="BA389" s="25">
        <v>3.44</v>
      </c>
      <c r="BB389" s="25">
        <v>2.62</v>
      </c>
      <c r="BC389" s="25">
        <v>2.5211764705882351</v>
      </c>
      <c r="BD389">
        <v>2.521176470588236</v>
      </c>
      <c r="BE389">
        <v>5.6898745917647062</v>
      </c>
    </row>
    <row r="390" spans="1:57" ht="15" x14ac:dyDescent="0.35">
      <c r="A390" s="2" t="s">
        <v>69</v>
      </c>
      <c r="B390" s="13" t="s">
        <v>738</v>
      </c>
      <c r="C390" s="13"/>
      <c r="D390" s="2"/>
      <c r="E390" s="2"/>
      <c r="F390" s="2">
        <v>2.82</v>
      </c>
      <c r="G390" s="8" t="s">
        <v>315</v>
      </c>
      <c r="H390" s="9" t="s">
        <v>560</v>
      </c>
      <c r="I390" t="s">
        <v>638</v>
      </c>
      <c r="K390" s="8"/>
      <c r="L390" s="8"/>
      <c r="M390" s="8"/>
      <c r="N390" s="23">
        <v>2</v>
      </c>
      <c r="O390" s="2">
        <v>-1</v>
      </c>
      <c r="P390" s="2"/>
      <c r="Q390" s="2"/>
      <c r="R390" s="2"/>
      <c r="S390" s="2"/>
      <c r="T390" s="23">
        <v>8.3195821399999996</v>
      </c>
      <c r="U390" s="23">
        <v>8.3195821399999996</v>
      </c>
      <c r="V390" s="23">
        <v>8.2425581700000006</v>
      </c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O390">
        <v>12</v>
      </c>
      <c r="AP390" s="21">
        <v>248.80917443900231</v>
      </c>
      <c r="AQ390" s="21">
        <v>9.6459465588893734E-2</v>
      </c>
      <c r="AR390" s="28">
        <v>2</v>
      </c>
      <c r="AS390" s="28">
        <v>3.333333333333333</v>
      </c>
      <c r="AT390" s="28">
        <v>2.666666666666667</v>
      </c>
      <c r="AU390" s="28">
        <v>4.666666666666667</v>
      </c>
      <c r="AV390" s="28">
        <v>0.15789473684210531</v>
      </c>
      <c r="AW390" s="28">
        <v>0.26315789473684209</v>
      </c>
      <c r="AX390" s="28">
        <v>0.2105263157894737</v>
      </c>
      <c r="AY390" s="28">
        <v>0.36842105263157898</v>
      </c>
      <c r="AZ390" s="25">
        <v>2.02</v>
      </c>
      <c r="BA390" s="25">
        <v>3.44</v>
      </c>
      <c r="BB390" s="25">
        <v>1.42</v>
      </c>
      <c r="BC390" s="25">
        <v>3.0044444444444438</v>
      </c>
      <c r="BD390">
        <v>3.0044444444444438</v>
      </c>
      <c r="BE390">
        <v>6.4228342255555546</v>
      </c>
    </row>
    <row r="391" spans="1:57" x14ac:dyDescent="0.3">
      <c r="A391" s="2" t="s">
        <v>316</v>
      </c>
      <c r="B391" s="17" t="s">
        <v>951</v>
      </c>
      <c r="C391" s="13"/>
      <c r="D391" s="2"/>
      <c r="E391" s="2"/>
      <c r="F391" s="2">
        <v>3.6</v>
      </c>
      <c r="G391" s="2" t="s">
        <v>317</v>
      </c>
      <c r="H391" s="9">
        <v>-1</v>
      </c>
      <c r="I391">
        <v>-1</v>
      </c>
      <c r="K391" s="2"/>
      <c r="L391" s="2"/>
      <c r="M391" s="2"/>
      <c r="N391" s="23">
        <v>0</v>
      </c>
      <c r="O391" s="2">
        <v>3.823</v>
      </c>
      <c r="P391" s="2">
        <v>17.215</v>
      </c>
      <c r="Q391" s="2">
        <v>2.9550000000000001</v>
      </c>
      <c r="R391" s="2" t="s">
        <v>519</v>
      </c>
      <c r="S391" s="2"/>
      <c r="T391" s="23">
        <v>0</v>
      </c>
      <c r="U391" s="23"/>
      <c r="V391" s="23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O391">
        <v>8</v>
      </c>
      <c r="AP391" s="21">
        <v>0</v>
      </c>
      <c r="AQ391" s="21"/>
      <c r="AR391" s="28">
        <v>1.8969230769230769</v>
      </c>
      <c r="AS391" s="28">
        <v>2.4615384615384621</v>
      </c>
      <c r="AT391" s="28">
        <v>0.56307692307692314</v>
      </c>
      <c r="AU391" s="28">
        <v>0</v>
      </c>
      <c r="AV391" s="28">
        <v>0.38543294779618631</v>
      </c>
      <c r="AW391" s="28">
        <v>0.50015629884338852</v>
      </c>
      <c r="AX391" s="28">
        <v>0.1144107533604251</v>
      </c>
      <c r="AY391" s="28">
        <v>0</v>
      </c>
      <c r="AZ391" s="25">
        <v>0.79</v>
      </c>
      <c r="BA391" s="25">
        <v>3.44</v>
      </c>
      <c r="BB391" s="25">
        <v>2.65</v>
      </c>
      <c r="BC391" s="25">
        <v>2.6319230769230768</v>
      </c>
      <c r="BD391">
        <v>2.6319230769230768</v>
      </c>
      <c r="BE391">
        <v>5.8365582503752389</v>
      </c>
    </row>
    <row r="392" spans="1:57" x14ac:dyDescent="0.3">
      <c r="A392" s="2" t="s">
        <v>318</v>
      </c>
      <c r="B392" s="13" t="s">
        <v>832</v>
      </c>
      <c r="C392" s="13"/>
      <c r="D392" s="2"/>
      <c r="E392" s="2"/>
      <c r="F392" s="2">
        <v>3.45</v>
      </c>
      <c r="G392" s="2" t="s">
        <v>319</v>
      </c>
      <c r="H392" s="9">
        <v>-1</v>
      </c>
      <c r="I392">
        <v>-1</v>
      </c>
      <c r="K392" s="2"/>
      <c r="L392" s="2"/>
      <c r="M392" s="2"/>
      <c r="N392" s="23">
        <v>0</v>
      </c>
      <c r="O392" s="2">
        <v>3.71</v>
      </c>
      <c r="P392" s="2">
        <v>3.71</v>
      </c>
      <c r="Q392" s="2">
        <v>12.2</v>
      </c>
      <c r="R392" s="2" t="s">
        <v>519</v>
      </c>
      <c r="S392" s="2"/>
      <c r="T392" s="23">
        <v>0</v>
      </c>
      <c r="U392" s="23"/>
      <c r="V392" s="23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O392">
        <v>8</v>
      </c>
      <c r="AP392" s="21">
        <v>0</v>
      </c>
      <c r="AQ392" s="21"/>
      <c r="AR392" s="28">
        <v>1.857142857142857</v>
      </c>
      <c r="AS392" s="28">
        <v>2.285714285714286</v>
      </c>
      <c r="AT392" s="28">
        <v>0.42857142857142849</v>
      </c>
      <c r="AU392" s="28">
        <v>0</v>
      </c>
      <c r="AV392" s="28">
        <v>0.40625000000000011</v>
      </c>
      <c r="AW392" s="28">
        <v>0.5</v>
      </c>
      <c r="AX392" s="28">
        <v>9.375E-2</v>
      </c>
      <c r="AY392" s="28">
        <v>0</v>
      </c>
      <c r="AZ392" s="25">
        <v>1.1000000000000001</v>
      </c>
      <c r="BA392" s="25">
        <v>3.44</v>
      </c>
      <c r="BB392" s="25">
        <v>2.34</v>
      </c>
      <c r="BC392" s="25">
        <v>2.657142857142857</v>
      </c>
      <c r="BD392">
        <v>2.657142857142857</v>
      </c>
      <c r="BE392">
        <v>6.2648417856930001</v>
      </c>
    </row>
    <row r="393" spans="1:57" x14ac:dyDescent="0.3">
      <c r="A393" s="2" t="s">
        <v>320</v>
      </c>
      <c r="B393" s="18" t="s">
        <v>994</v>
      </c>
      <c r="C393" s="13"/>
      <c r="D393" s="2"/>
      <c r="E393" s="2"/>
      <c r="F393" s="2">
        <v>3.58</v>
      </c>
      <c r="G393" s="2" t="s">
        <v>319</v>
      </c>
      <c r="H393" s="9">
        <v>-1</v>
      </c>
      <c r="I393">
        <v>-1</v>
      </c>
      <c r="K393" s="2"/>
      <c r="L393" s="2"/>
      <c r="M393" s="2"/>
      <c r="N393" s="23">
        <v>0</v>
      </c>
      <c r="O393" s="2">
        <v>3.77</v>
      </c>
      <c r="P393" s="2">
        <v>3.77</v>
      </c>
      <c r="Q393" s="2">
        <v>33.299999999999997</v>
      </c>
      <c r="R393" s="2" t="s">
        <v>519</v>
      </c>
      <c r="S393" s="2"/>
      <c r="T393" s="23">
        <v>0</v>
      </c>
      <c r="U393" s="23"/>
      <c r="V393" s="23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O393">
        <v>8</v>
      </c>
      <c r="AP393" s="21">
        <v>0</v>
      </c>
      <c r="AQ393" s="21"/>
      <c r="AR393" s="28">
        <v>1.571428571428571</v>
      </c>
      <c r="AS393" s="28">
        <v>1.5</v>
      </c>
      <c r="AT393" s="28">
        <v>0.2142857142857143</v>
      </c>
      <c r="AU393" s="28">
        <v>0</v>
      </c>
      <c r="AV393" s="28">
        <v>0.47826086956521741</v>
      </c>
      <c r="AW393" s="28">
        <v>0.45652173913043481</v>
      </c>
      <c r="AX393" s="28">
        <v>6.5217391304347824E-2</v>
      </c>
      <c r="AY393" s="28">
        <v>0</v>
      </c>
      <c r="AZ393" s="25">
        <v>1.1000000000000001</v>
      </c>
      <c r="BA393" s="25">
        <v>3.44</v>
      </c>
      <c r="BB393" s="25">
        <v>2.34</v>
      </c>
      <c r="BC393" s="25">
        <v>2.5135714285714279</v>
      </c>
      <c r="BD393">
        <v>2.5135714285714279</v>
      </c>
      <c r="BE393">
        <v>6.6592671289361416</v>
      </c>
    </row>
    <row r="394" spans="1:57" x14ac:dyDescent="0.3">
      <c r="A394" s="2" t="s">
        <v>321</v>
      </c>
      <c r="B394" s="18" t="s">
        <v>995</v>
      </c>
      <c r="C394" s="13"/>
      <c r="D394" s="2"/>
      <c r="E394" s="2"/>
      <c r="F394" s="2">
        <v>3.48</v>
      </c>
      <c r="G394" s="2" t="s">
        <v>319</v>
      </c>
      <c r="H394" s="9">
        <v>-1</v>
      </c>
      <c r="I394">
        <v>-1</v>
      </c>
      <c r="K394" s="2"/>
      <c r="L394" s="2"/>
      <c r="M394" s="2"/>
      <c r="N394" s="23">
        <v>0</v>
      </c>
      <c r="O394" s="2">
        <v>3.75</v>
      </c>
      <c r="P394" s="2">
        <v>3.75</v>
      </c>
      <c r="Q394" s="2">
        <v>37.299999999999997</v>
      </c>
      <c r="R394" s="2" t="s">
        <v>519</v>
      </c>
      <c r="S394" s="2"/>
      <c r="T394" s="23">
        <v>0</v>
      </c>
      <c r="U394" s="23"/>
      <c r="V394" s="23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O394">
        <v>8</v>
      </c>
      <c r="AP394" s="21">
        <v>0</v>
      </c>
      <c r="AQ394" s="21"/>
      <c r="AR394" s="28">
        <v>1.529411764705882</v>
      </c>
      <c r="AS394" s="28">
        <v>1.3529411764705881</v>
      </c>
      <c r="AT394" s="28">
        <v>0.1764705882352941</v>
      </c>
      <c r="AU394" s="28">
        <v>0</v>
      </c>
      <c r="AV394" s="28">
        <v>0.5</v>
      </c>
      <c r="AW394" s="28">
        <v>0.44230769230769229</v>
      </c>
      <c r="AX394" s="28">
        <v>5.7692307692307702E-2</v>
      </c>
      <c r="AY394" s="28">
        <v>0</v>
      </c>
      <c r="AZ394" s="25">
        <v>1.1000000000000001</v>
      </c>
      <c r="BA394" s="25">
        <v>3.44</v>
      </c>
      <c r="BB394" s="25">
        <v>2.34</v>
      </c>
      <c r="BC394" s="25">
        <v>2.4788235294117649</v>
      </c>
      <c r="BD394">
        <v>2.4788235294117649</v>
      </c>
      <c r="BE394">
        <v>6.6967043065181171</v>
      </c>
    </row>
    <row r="395" spans="1:57" x14ac:dyDescent="0.3">
      <c r="A395" s="2" t="s">
        <v>322</v>
      </c>
      <c r="B395" s="18" t="s">
        <v>996</v>
      </c>
      <c r="C395" s="13"/>
      <c r="D395" s="2"/>
      <c r="E395" s="2"/>
      <c r="F395" s="2">
        <v>3.5</v>
      </c>
      <c r="G395" s="2" t="s">
        <v>319</v>
      </c>
      <c r="H395" s="9">
        <v>-1</v>
      </c>
      <c r="I395">
        <v>-1</v>
      </c>
      <c r="K395" s="2"/>
      <c r="L395" s="2"/>
      <c r="M395" s="2"/>
      <c r="N395" s="23">
        <v>0</v>
      </c>
      <c r="O395" s="2">
        <v>3.76</v>
      </c>
      <c r="P395" s="2">
        <v>3.76</v>
      </c>
      <c r="Q395" s="2">
        <v>41.2</v>
      </c>
      <c r="R395" s="2" t="s">
        <v>519</v>
      </c>
      <c r="S395" s="2"/>
      <c r="T395" s="23">
        <v>0</v>
      </c>
      <c r="U395" s="23"/>
      <c r="V395" s="23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O395">
        <v>8</v>
      </c>
      <c r="AP395" s="21">
        <v>0</v>
      </c>
      <c r="AQ395" s="21"/>
      <c r="AR395" s="28">
        <v>1.5</v>
      </c>
      <c r="AS395" s="28">
        <v>1.25</v>
      </c>
      <c r="AT395" s="28">
        <v>0.15</v>
      </c>
      <c r="AU395" s="28">
        <v>0</v>
      </c>
      <c r="AV395" s="28">
        <v>0.51724137931034486</v>
      </c>
      <c r="AW395" s="28">
        <v>0.43103448275862072</v>
      </c>
      <c r="AX395" s="28">
        <v>5.1724137931034482E-2</v>
      </c>
      <c r="AY395" s="28">
        <v>0</v>
      </c>
      <c r="AZ395" s="25">
        <v>1.1000000000000001</v>
      </c>
      <c r="BA395" s="25">
        <v>3.44</v>
      </c>
      <c r="BB395" s="25">
        <v>2.34</v>
      </c>
      <c r="BC395" s="25">
        <v>2.4544999999999999</v>
      </c>
      <c r="BD395">
        <v>2.4544999999999999</v>
      </c>
      <c r="BE395">
        <v>6.7229103308255</v>
      </c>
    </row>
    <row r="396" spans="1:57" x14ac:dyDescent="0.3">
      <c r="A396" s="2" t="s">
        <v>323</v>
      </c>
      <c r="B396" s="18" t="s">
        <v>997</v>
      </c>
      <c r="C396" s="13"/>
      <c r="D396" s="2"/>
      <c r="E396" s="2"/>
      <c r="F396" s="2">
        <v>3.61</v>
      </c>
      <c r="G396" s="2" t="s">
        <v>319</v>
      </c>
      <c r="H396" s="9">
        <v>-1</v>
      </c>
      <c r="I396">
        <v>-1</v>
      </c>
      <c r="K396" s="2"/>
      <c r="L396" s="2"/>
      <c r="M396" s="2"/>
      <c r="N396" s="23">
        <v>0</v>
      </c>
      <c r="O396" s="2">
        <v>3.76</v>
      </c>
      <c r="P396" s="2">
        <v>3.76</v>
      </c>
      <c r="Q396" s="2">
        <v>47.8</v>
      </c>
      <c r="R396" s="2" t="s">
        <v>519</v>
      </c>
      <c r="S396" s="2"/>
      <c r="T396" s="23">
        <v>0</v>
      </c>
      <c r="U396" s="23"/>
      <c r="V396" s="23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O396">
        <v>8</v>
      </c>
      <c r="AP396" s="21">
        <v>0</v>
      </c>
      <c r="AQ396" s="21"/>
      <c r="AR396" s="28">
        <v>1.4782608695652171</v>
      </c>
      <c r="AS396" s="28">
        <v>1.173913043478261</v>
      </c>
      <c r="AT396" s="28">
        <v>0.13043478260869559</v>
      </c>
      <c r="AU396" s="28">
        <v>0</v>
      </c>
      <c r="AV396" s="28">
        <v>0.53125</v>
      </c>
      <c r="AW396" s="28">
        <v>0.42187500000000011</v>
      </c>
      <c r="AX396" s="28">
        <v>4.6875E-2</v>
      </c>
      <c r="AY396" s="28">
        <v>0</v>
      </c>
      <c r="AZ396" s="25">
        <v>1.1000000000000001</v>
      </c>
      <c r="BA396" s="25">
        <v>3.44</v>
      </c>
      <c r="BB396" s="25">
        <v>2.34</v>
      </c>
      <c r="BC396" s="25">
        <v>2.436521739130435</v>
      </c>
      <c r="BD396">
        <v>2.436521739130435</v>
      </c>
      <c r="BE396">
        <v>6.7422800009657378</v>
      </c>
    </row>
    <row r="397" spans="1:57" x14ac:dyDescent="0.3">
      <c r="A397" s="2" t="s">
        <v>324</v>
      </c>
      <c r="B397" s="18" t="s">
        <v>999</v>
      </c>
      <c r="C397" s="13"/>
      <c r="D397" s="2"/>
      <c r="E397" s="2"/>
      <c r="F397" s="2">
        <v>3.47</v>
      </c>
      <c r="G397" s="2" t="s">
        <v>319</v>
      </c>
      <c r="H397" s="9">
        <v>-1</v>
      </c>
      <c r="I397">
        <v>-1</v>
      </c>
      <c r="K397" s="2"/>
      <c r="L397" s="2"/>
      <c r="M397" s="2"/>
      <c r="N397" s="23">
        <v>0</v>
      </c>
      <c r="O397" s="2">
        <v>3.76</v>
      </c>
      <c r="P397" s="2">
        <v>3.76</v>
      </c>
      <c r="Q397" s="2">
        <v>54.9</v>
      </c>
      <c r="R397" s="2" t="s">
        <v>519</v>
      </c>
      <c r="S397" s="2"/>
      <c r="T397" s="23">
        <v>0</v>
      </c>
      <c r="U397" s="23"/>
      <c r="V397" s="23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O397">
        <v>8</v>
      </c>
      <c r="AP397" s="21">
        <v>0</v>
      </c>
      <c r="AQ397" s="21"/>
      <c r="AR397" s="28">
        <v>1.448275862068966</v>
      </c>
      <c r="AS397" s="28">
        <v>1.068965517241379</v>
      </c>
      <c r="AT397" s="28">
        <v>0.10344827586206901</v>
      </c>
      <c r="AU397" s="28">
        <v>0</v>
      </c>
      <c r="AV397" s="28">
        <v>0.55263157894736847</v>
      </c>
      <c r="AW397" s="28">
        <v>0.40789473684210531</v>
      </c>
      <c r="AX397" s="28">
        <v>3.9473684210526307E-2</v>
      </c>
      <c r="AY397" s="28">
        <v>0</v>
      </c>
      <c r="AZ397" s="25">
        <v>1.1000000000000001</v>
      </c>
      <c r="BA397" s="25">
        <v>3.44</v>
      </c>
      <c r="BB397" s="25">
        <v>2.34</v>
      </c>
      <c r="BC397" s="25">
        <v>2.411724137931035</v>
      </c>
      <c r="BD397">
        <v>2.4117241379310341</v>
      </c>
      <c r="BE397">
        <v>6.7689967873660688</v>
      </c>
    </row>
    <row r="398" spans="1:57" x14ac:dyDescent="0.3">
      <c r="A398" s="2" t="s">
        <v>325</v>
      </c>
      <c r="B398" s="18" t="s">
        <v>998</v>
      </c>
      <c r="C398" s="13"/>
      <c r="D398" s="2"/>
      <c r="E398" s="2"/>
      <c r="F398" s="2">
        <v>3.49</v>
      </c>
      <c r="G398" s="2" t="s">
        <v>319</v>
      </c>
      <c r="H398" s="9">
        <v>-1</v>
      </c>
      <c r="I398">
        <v>-1</v>
      </c>
      <c r="K398" s="2"/>
      <c r="L398" s="2"/>
      <c r="M398" s="2"/>
      <c r="N398" s="23">
        <v>0</v>
      </c>
      <c r="O398" s="2">
        <v>3.78</v>
      </c>
      <c r="P398" s="2">
        <v>3.78</v>
      </c>
      <c r="Q398" s="2">
        <v>66.3</v>
      </c>
      <c r="R398" s="2" t="s">
        <v>519</v>
      </c>
      <c r="S398" s="2"/>
      <c r="T398" s="23">
        <v>0</v>
      </c>
      <c r="U398" s="23"/>
      <c r="V398" s="23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O398">
        <v>8</v>
      </c>
      <c r="AP398" s="21">
        <v>0</v>
      </c>
      <c r="AQ398" s="21"/>
      <c r="AR398" s="28">
        <v>1.428571428571429</v>
      </c>
      <c r="AS398" s="28">
        <v>1</v>
      </c>
      <c r="AT398" s="28">
        <v>8.5714285714285715E-2</v>
      </c>
      <c r="AU398" s="28">
        <v>0</v>
      </c>
      <c r="AV398" s="28">
        <v>0.56818181818181823</v>
      </c>
      <c r="AW398" s="28">
        <v>0.39772727272727282</v>
      </c>
      <c r="AX398" s="28">
        <v>3.4090909090909102E-2</v>
      </c>
      <c r="AY398" s="28">
        <v>0</v>
      </c>
      <c r="AZ398" s="25">
        <v>1.1000000000000001</v>
      </c>
      <c r="BA398" s="25">
        <v>3.44</v>
      </c>
      <c r="BB398" s="25">
        <v>2.34</v>
      </c>
      <c r="BC398" s="25">
        <v>2.3954285714285719</v>
      </c>
      <c r="BD398">
        <v>2.395428571428571</v>
      </c>
      <c r="BE398">
        <v>6.7865535327148558</v>
      </c>
    </row>
    <row r="399" spans="1:57" x14ac:dyDescent="0.3">
      <c r="A399" s="2" t="s">
        <v>326</v>
      </c>
      <c r="B399" s="18" t="s">
        <v>1005</v>
      </c>
      <c r="C399" s="13"/>
      <c r="D399" s="2"/>
      <c r="E399" s="2"/>
      <c r="F399" s="2">
        <v>3.47</v>
      </c>
      <c r="G399" s="2" t="s">
        <v>319</v>
      </c>
      <c r="H399" s="9">
        <v>-1</v>
      </c>
      <c r="I399">
        <v>-1</v>
      </c>
      <c r="K399" s="2"/>
      <c r="L399" s="2"/>
      <c r="M399" s="2"/>
      <c r="N399" s="23">
        <v>0</v>
      </c>
      <c r="O399" s="2">
        <v>3.72</v>
      </c>
      <c r="P399" s="2">
        <v>3.72</v>
      </c>
      <c r="Q399" s="2">
        <v>32.299999999999997</v>
      </c>
      <c r="R399" s="2" t="s">
        <v>519</v>
      </c>
      <c r="S399" s="2"/>
      <c r="T399" s="23">
        <v>0</v>
      </c>
      <c r="U399" s="23"/>
      <c r="V399" s="23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O399">
        <v>10</v>
      </c>
      <c r="AP399" s="21">
        <v>0</v>
      </c>
      <c r="AQ399" s="21"/>
      <c r="AR399" s="28">
        <v>1.615384615384615</v>
      </c>
      <c r="AS399" s="28">
        <v>1.6923076923076921</v>
      </c>
      <c r="AT399" s="28">
        <v>0.23076923076923081</v>
      </c>
      <c r="AU399" s="28">
        <v>0</v>
      </c>
      <c r="AV399" s="28">
        <v>0.45652173913043481</v>
      </c>
      <c r="AW399" s="28">
        <v>0.47826086956521741</v>
      </c>
      <c r="AX399" s="28">
        <v>6.5217391304347838E-2</v>
      </c>
      <c r="AY399" s="28">
        <v>0</v>
      </c>
      <c r="AZ399" s="25">
        <v>1.1000000000000001</v>
      </c>
      <c r="BA399" s="25">
        <v>3.44</v>
      </c>
      <c r="BB399" s="25">
        <v>2.34</v>
      </c>
      <c r="BC399" s="25">
        <v>2.568461538461539</v>
      </c>
      <c r="BD399">
        <v>2.568461538461539</v>
      </c>
      <c r="BE399">
        <v>6.6431337427119228</v>
      </c>
    </row>
    <row r="400" spans="1:57" x14ac:dyDescent="0.3">
      <c r="A400" s="2" t="s">
        <v>327</v>
      </c>
      <c r="B400" s="18" t="s">
        <v>1004</v>
      </c>
      <c r="C400" s="13"/>
      <c r="D400" s="2"/>
      <c r="E400" s="2"/>
      <c r="F400" s="2">
        <v>3.47</v>
      </c>
      <c r="G400" s="2" t="s">
        <v>319</v>
      </c>
      <c r="H400" s="9">
        <v>-1</v>
      </c>
      <c r="I400">
        <v>-1</v>
      </c>
      <c r="K400" s="2"/>
      <c r="L400" s="2"/>
      <c r="M400" s="2"/>
      <c r="N400" s="23">
        <v>0</v>
      </c>
      <c r="O400" s="2">
        <v>3.72</v>
      </c>
      <c r="P400" s="2">
        <v>3.72</v>
      </c>
      <c r="Q400" s="2">
        <v>36.6</v>
      </c>
      <c r="R400" s="2" t="s">
        <v>519</v>
      </c>
      <c r="S400" s="2"/>
      <c r="T400" s="23">
        <v>0</v>
      </c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O400">
        <v>10</v>
      </c>
      <c r="AP400" s="21">
        <v>0</v>
      </c>
      <c r="AR400" s="28">
        <v>1.5625</v>
      </c>
      <c r="AS400" s="28">
        <v>1.5</v>
      </c>
      <c r="AT400" s="28">
        <v>0.1875</v>
      </c>
      <c r="AU400" s="28">
        <v>0</v>
      </c>
      <c r="AV400" s="28">
        <v>0.48076923076923078</v>
      </c>
      <c r="AW400" s="28">
        <v>0.46153846153846162</v>
      </c>
      <c r="AX400" s="28">
        <v>5.7692307692307702E-2</v>
      </c>
      <c r="AY400" s="28">
        <v>0</v>
      </c>
      <c r="AZ400" s="25">
        <v>1.1000000000000001</v>
      </c>
      <c r="BA400" s="25">
        <v>3.44</v>
      </c>
      <c r="BB400" s="25">
        <v>2.34</v>
      </c>
      <c r="BC400" s="25">
        <v>2.5212500000000002</v>
      </c>
      <c r="BD400">
        <v>2.5212500000000002</v>
      </c>
      <c r="BE400">
        <v>6.6859357538098134</v>
      </c>
    </row>
    <row r="401" spans="1:57" x14ac:dyDescent="0.3">
      <c r="A401" s="2" t="s">
        <v>328</v>
      </c>
      <c r="B401" s="18" t="s">
        <v>1003</v>
      </c>
      <c r="C401" s="13"/>
      <c r="D401" s="2"/>
      <c r="E401" s="2"/>
      <c r="F401" s="2">
        <v>3.45</v>
      </c>
      <c r="G401" s="2" t="s">
        <v>319</v>
      </c>
      <c r="H401" s="9">
        <v>-1</v>
      </c>
      <c r="I401">
        <v>-1</v>
      </c>
      <c r="K401" s="2"/>
      <c r="L401" s="2"/>
      <c r="M401" s="2"/>
      <c r="N401" s="23">
        <v>0</v>
      </c>
      <c r="O401" s="2">
        <v>3.73</v>
      </c>
      <c r="P401" s="2">
        <v>3.73</v>
      </c>
      <c r="Q401" s="2">
        <v>41.6</v>
      </c>
      <c r="R401" s="2" t="s">
        <v>519</v>
      </c>
      <c r="S401" s="2"/>
      <c r="T401" s="23">
        <v>0</v>
      </c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O401">
        <v>10</v>
      </c>
      <c r="AP401" s="21">
        <v>0</v>
      </c>
      <c r="AR401" s="28">
        <v>1.5263157894736841</v>
      </c>
      <c r="AS401" s="28">
        <v>1.368421052631579</v>
      </c>
      <c r="AT401" s="28">
        <v>0.15789473684210531</v>
      </c>
      <c r="AU401" s="28">
        <v>0</v>
      </c>
      <c r="AV401" s="28">
        <v>0.5</v>
      </c>
      <c r="AW401" s="28">
        <v>0.44827586206896552</v>
      </c>
      <c r="AX401" s="28">
        <v>5.1724137931034482E-2</v>
      </c>
      <c r="AY401" s="28">
        <v>0</v>
      </c>
      <c r="AZ401" s="25">
        <v>1.1000000000000001</v>
      </c>
      <c r="BA401" s="25">
        <v>3.44</v>
      </c>
      <c r="BB401" s="25">
        <v>2.34</v>
      </c>
      <c r="BC401" s="25">
        <v>2.4889473684210528</v>
      </c>
      <c r="BD401">
        <v>2.4889473684210528</v>
      </c>
      <c r="BE401">
        <v>6.7152213403504719</v>
      </c>
    </row>
    <row r="402" spans="1:57" x14ac:dyDescent="0.3">
      <c r="A402" s="2" t="s">
        <v>329</v>
      </c>
      <c r="B402" s="18" t="s">
        <v>1002</v>
      </c>
      <c r="C402" s="13"/>
      <c r="D402" s="2"/>
      <c r="E402" s="2"/>
      <c r="F402" s="2">
        <v>3.45</v>
      </c>
      <c r="G402" s="2" t="s">
        <v>319</v>
      </c>
      <c r="H402" s="9">
        <v>-1</v>
      </c>
      <c r="I402">
        <v>-1</v>
      </c>
      <c r="K402" s="2"/>
      <c r="L402" s="2"/>
      <c r="M402" s="2"/>
      <c r="N402" s="23">
        <v>0</v>
      </c>
      <c r="O402" s="2">
        <v>3.73</v>
      </c>
      <c r="P402" s="2">
        <v>3.73</v>
      </c>
      <c r="Q402" s="2">
        <v>45.6</v>
      </c>
      <c r="R402" s="2" t="s">
        <v>519</v>
      </c>
      <c r="S402" s="2"/>
      <c r="T402" s="23">
        <v>0</v>
      </c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O402">
        <v>10</v>
      </c>
      <c r="AP402" s="21">
        <v>0</v>
      </c>
      <c r="AR402" s="28">
        <v>1.5</v>
      </c>
      <c r="AS402" s="28">
        <v>1.2727272727272729</v>
      </c>
      <c r="AT402" s="28">
        <v>0.13636363636363641</v>
      </c>
      <c r="AU402" s="28">
        <v>0</v>
      </c>
      <c r="AV402" s="28">
        <v>0.515625</v>
      </c>
      <c r="AW402" s="28">
        <v>0.4375</v>
      </c>
      <c r="AX402" s="28">
        <v>4.6874999999999993E-2</v>
      </c>
      <c r="AY402" s="28">
        <v>0</v>
      </c>
      <c r="AZ402" s="25">
        <v>1.1000000000000001</v>
      </c>
      <c r="BA402" s="25">
        <v>3.44</v>
      </c>
      <c r="BB402" s="25">
        <v>2.34</v>
      </c>
      <c r="BC402" s="25">
        <v>2.4654545454545449</v>
      </c>
      <c r="BD402">
        <v>2.4654545454545449</v>
      </c>
      <c r="BE402">
        <v>6.7365199487436813</v>
      </c>
    </row>
    <row r="403" spans="1:57" x14ac:dyDescent="0.3">
      <c r="A403" s="2" t="s">
        <v>330</v>
      </c>
      <c r="B403" s="18" t="s">
        <v>1001</v>
      </c>
      <c r="C403" s="13"/>
      <c r="D403" s="2"/>
      <c r="E403" s="2"/>
      <c r="F403" s="2">
        <v>3.46</v>
      </c>
      <c r="G403" s="2" t="s">
        <v>319</v>
      </c>
      <c r="H403" s="9">
        <v>-1</v>
      </c>
      <c r="I403">
        <v>-1</v>
      </c>
      <c r="K403" s="2"/>
      <c r="L403" s="2"/>
      <c r="M403" s="2"/>
      <c r="N403" s="23">
        <v>0</v>
      </c>
      <c r="O403" s="2">
        <v>3.74</v>
      </c>
      <c r="P403" s="2">
        <v>3.74</v>
      </c>
      <c r="Q403" s="2">
        <v>55.4</v>
      </c>
      <c r="R403" s="2" t="s">
        <v>519</v>
      </c>
      <c r="S403" s="2"/>
      <c r="T403" s="23">
        <v>0</v>
      </c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O403">
        <v>10</v>
      </c>
      <c r="AP403" s="21">
        <v>0</v>
      </c>
      <c r="AR403" s="28">
        <v>1.464285714285714</v>
      </c>
      <c r="AS403" s="28">
        <v>1.142857142857143</v>
      </c>
      <c r="AT403" s="28">
        <v>0.1071428571428571</v>
      </c>
      <c r="AU403" s="28">
        <v>0</v>
      </c>
      <c r="AV403" s="28">
        <v>0.53947368421052622</v>
      </c>
      <c r="AW403" s="28">
        <v>0.42105263157894729</v>
      </c>
      <c r="AX403" s="28">
        <v>3.9473684210526307E-2</v>
      </c>
      <c r="AY403" s="28">
        <v>0</v>
      </c>
      <c r="AZ403" s="25">
        <v>1.1000000000000001</v>
      </c>
      <c r="BA403" s="25">
        <v>3.44</v>
      </c>
      <c r="BB403" s="25">
        <v>2.34</v>
      </c>
      <c r="BC403" s="25">
        <v>2.4335714285714292</v>
      </c>
      <c r="BD403">
        <v>2.4335714285714292</v>
      </c>
      <c r="BE403">
        <v>6.7654252029916062</v>
      </c>
    </row>
    <row r="404" spans="1:57" x14ac:dyDescent="0.3">
      <c r="A404" s="2" t="s">
        <v>331</v>
      </c>
      <c r="B404" s="18" t="s">
        <v>1000</v>
      </c>
      <c r="C404" s="13"/>
      <c r="D404" s="2"/>
      <c r="E404" s="2"/>
      <c r="F404" s="2">
        <v>3.46</v>
      </c>
      <c r="G404" s="2" t="s">
        <v>319</v>
      </c>
      <c r="H404" s="9">
        <v>-1</v>
      </c>
      <c r="I404">
        <v>-1</v>
      </c>
      <c r="K404" s="2"/>
      <c r="L404" s="2"/>
      <c r="M404" s="2"/>
      <c r="N404" s="23">
        <v>0</v>
      </c>
      <c r="O404" s="2">
        <v>3.73</v>
      </c>
      <c r="P404" s="2">
        <v>3.73</v>
      </c>
      <c r="Q404" s="2">
        <v>56.8</v>
      </c>
      <c r="R404" s="2" t="s">
        <v>519</v>
      </c>
      <c r="S404" s="2"/>
      <c r="T404" s="23">
        <v>0</v>
      </c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O404">
        <v>10</v>
      </c>
      <c r="AP404" s="21">
        <v>0</v>
      </c>
      <c r="AR404" s="28">
        <v>1.4411764705882351</v>
      </c>
      <c r="AS404" s="28">
        <v>1.0588235294117649</v>
      </c>
      <c r="AT404" s="28">
        <v>8.8235294117647065E-2</v>
      </c>
      <c r="AU404" s="28">
        <v>0</v>
      </c>
      <c r="AV404" s="28">
        <v>0.55681818181818177</v>
      </c>
      <c r="AW404" s="28">
        <v>0.40909090909090912</v>
      </c>
      <c r="AX404" s="28">
        <v>3.4090909090909088E-2</v>
      </c>
      <c r="AY404" s="28">
        <v>0</v>
      </c>
      <c r="AZ404" s="25">
        <v>1.1000000000000001</v>
      </c>
      <c r="BA404" s="25">
        <v>3.44</v>
      </c>
      <c r="BB404" s="25">
        <v>2.34</v>
      </c>
      <c r="BC404" s="25">
        <v>2.4129411764705879</v>
      </c>
      <c r="BD404">
        <v>2.4129411764705888</v>
      </c>
      <c r="BE404">
        <v>6.7841286027990879</v>
      </c>
    </row>
    <row r="405" spans="1:57" x14ac:dyDescent="0.3">
      <c r="A405" s="2" t="s">
        <v>332</v>
      </c>
      <c r="B405" s="18" t="s">
        <v>833</v>
      </c>
      <c r="C405" s="13"/>
      <c r="D405" s="2"/>
      <c r="E405" s="2"/>
      <c r="F405" s="2">
        <v>3.48</v>
      </c>
      <c r="G405" s="2" t="s">
        <v>319</v>
      </c>
      <c r="H405" s="9">
        <v>-1</v>
      </c>
      <c r="I405">
        <v>-1</v>
      </c>
      <c r="K405" s="2"/>
      <c r="L405" s="2"/>
      <c r="M405" s="2"/>
      <c r="N405" s="23">
        <v>0</v>
      </c>
      <c r="O405" s="2">
        <v>3.68</v>
      </c>
      <c r="P405" s="2">
        <v>3.68</v>
      </c>
      <c r="Q405" s="2">
        <v>12.1</v>
      </c>
      <c r="R405" s="2" t="s">
        <v>519</v>
      </c>
      <c r="S405" s="2"/>
      <c r="T405" s="23">
        <v>0</v>
      </c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O405">
        <v>8</v>
      </c>
      <c r="AP405" s="21">
        <v>0</v>
      </c>
      <c r="AR405" s="28">
        <v>1.857142857142857</v>
      </c>
      <c r="AS405" s="28">
        <v>2.285714285714286</v>
      </c>
      <c r="AT405" s="28">
        <v>0.2857142857142857</v>
      </c>
      <c r="AU405" s="28">
        <v>0.5714285714285714</v>
      </c>
      <c r="AV405" s="28">
        <v>0.37142857142857139</v>
      </c>
      <c r="AW405" s="28">
        <v>0.45714285714285707</v>
      </c>
      <c r="AX405" s="28">
        <v>5.7142857142857141E-2</v>
      </c>
      <c r="AY405" s="28">
        <v>0.1142857142857143</v>
      </c>
      <c r="AZ405" s="25">
        <v>1.1399999999999999</v>
      </c>
      <c r="BA405" s="25">
        <v>3.44</v>
      </c>
      <c r="BB405" s="25">
        <v>2.2999999999999998</v>
      </c>
      <c r="BC405" s="25">
        <v>2.6628571428571428</v>
      </c>
      <c r="BD405">
        <v>2.6628571428571428</v>
      </c>
      <c r="BE405">
        <v>6.2282737214072856</v>
      </c>
    </row>
    <row r="406" spans="1:57" x14ac:dyDescent="0.3">
      <c r="A406" s="2" t="s">
        <v>333</v>
      </c>
      <c r="B406" s="18" t="s">
        <v>1006</v>
      </c>
      <c r="C406" s="13"/>
      <c r="D406" s="2"/>
      <c r="E406" s="2"/>
      <c r="F406" s="2">
        <v>3.41</v>
      </c>
      <c r="G406" s="2" t="s">
        <v>319</v>
      </c>
      <c r="H406" s="9">
        <v>-1</v>
      </c>
      <c r="I406">
        <v>-1</v>
      </c>
      <c r="K406" s="2"/>
      <c r="L406" s="2"/>
      <c r="M406" s="2"/>
      <c r="N406" s="23">
        <v>0</v>
      </c>
      <c r="O406" s="2">
        <v>3.74</v>
      </c>
      <c r="P406" s="2">
        <v>3.74</v>
      </c>
      <c r="Q406" s="2">
        <v>33.1</v>
      </c>
      <c r="R406" s="2" t="s">
        <v>519</v>
      </c>
      <c r="S406" s="2"/>
      <c r="T406" s="23">
        <v>0</v>
      </c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O406">
        <v>8</v>
      </c>
      <c r="AP406" s="21">
        <v>0</v>
      </c>
      <c r="AR406" s="28">
        <v>1.571428571428571</v>
      </c>
      <c r="AS406" s="28">
        <v>1.5</v>
      </c>
      <c r="AT406" s="28">
        <v>0.14285714285714279</v>
      </c>
      <c r="AU406" s="28">
        <v>0.2857142857142857</v>
      </c>
      <c r="AV406" s="28">
        <v>0.44897959183673469</v>
      </c>
      <c r="AW406" s="28">
        <v>0.42857142857142849</v>
      </c>
      <c r="AX406" s="28">
        <v>4.0816326530612242E-2</v>
      </c>
      <c r="AY406" s="28">
        <v>8.1632653061224483E-2</v>
      </c>
      <c r="AZ406" s="25">
        <v>1.1399999999999999</v>
      </c>
      <c r="BA406" s="25">
        <v>3.44</v>
      </c>
      <c r="BB406" s="25">
        <v>2.2999999999999998</v>
      </c>
      <c r="BC406" s="25">
        <v>2.516428571428571</v>
      </c>
      <c r="BD406">
        <v>2.516428571428571</v>
      </c>
      <c r="BE406">
        <v>6.6409830967932857</v>
      </c>
    </row>
    <row r="407" spans="1:57" x14ac:dyDescent="0.3">
      <c r="A407" s="2" t="s">
        <v>334</v>
      </c>
      <c r="B407" s="18" t="s">
        <v>1007</v>
      </c>
      <c r="C407" s="13"/>
      <c r="D407" s="2"/>
      <c r="E407" s="2"/>
      <c r="F407" s="2">
        <v>3.5</v>
      </c>
      <c r="G407" s="2" t="s">
        <v>319</v>
      </c>
      <c r="H407" s="9">
        <v>-1</v>
      </c>
      <c r="I407">
        <v>-1</v>
      </c>
      <c r="K407" s="2"/>
      <c r="L407" s="2"/>
      <c r="M407" s="2"/>
      <c r="N407" s="23">
        <v>0</v>
      </c>
      <c r="O407" s="2">
        <v>3.74</v>
      </c>
      <c r="P407" s="2">
        <v>3.74</v>
      </c>
      <c r="Q407" s="2">
        <v>37.6</v>
      </c>
      <c r="R407" s="2" t="s">
        <v>519</v>
      </c>
      <c r="S407" s="2"/>
      <c r="T407" s="23">
        <v>0</v>
      </c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O407">
        <v>8</v>
      </c>
      <c r="AP407" s="21">
        <v>0</v>
      </c>
      <c r="AR407" s="28">
        <v>1.529411764705882</v>
      </c>
      <c r="AS407" s="28">
        <v>1.3529411764705881</v>
      </c>
      <c r="AT407" s="28">
        <v>0.1176470588235294</v>
      </c>
      <c r="AU407" s="28">
        <v>0.23529411764705879</v>
      </c>
      <c r="AV407" s="28">
        <v>0.47272727272727272</v>
      </c>
      <c r="AW407" s="28">
        <v>0.41818181818181821</v>
      </c>
      <c r="AX407" s="28">
        <v>3.6363636363636362E-2</v>
      </c>
      <c r="AY407" s="28">
        <v>7.2727272727272724E-2</v>
      </c>
      <c r="AZ407" s="25">
        <v>1.1399999999999999</v>
      </c>
      <c r="BA407" s="25">
        <v>3.44</v>
      </c>
      <c r="BB407" s="25">
        <v>2.2999999999999998</v>
      </c>
      <c r="BC407" s="25">
        <v>2.4811764705882351</v>
      </c>
      <c r="BD407">
        <v>2.481176470588236</v>
      </c>
      <c r="BE407">
        <v>6.6816468682828232</v>
      </c>
    </row>
    <row r="408" spans="1:57" x14ac:dyDescent="0.3">
      <c r="A408" s="2" t="s">
        <v>335</v>
      </c>
      <c r="B408" s="18" t="s">
        <v>1008</v>
      </c>
      <c r="C408" s="13"/>
      <c r="D408" s="2"/>
      <c r="E408" s="2"/>
      <c r="F408" s="2">
        <v>3.43</v>
      </c>
      <c r="G408" s="2" t="s">
        <v>319</v>
      </c>
      <c r="H408" s="9">
        <v>-1</v>
      </c>
      <c r="I408">
        <v>-1</v>
      </c>
      <c r="K408" s="2"/>
      <c r="L408" s="2"/>
      <c r="M408" s="2"/>
      <c r="N408" s="23">
        <v>0</v>
      </c>
      <c r="O408" s="2">
        <v>3.74</v>
      </c>
      <c r="P408" s="2">
        <v>3.74</v>
      </c>
      <c r="Q408" s="2">
        <v>40.4</v>
      </c>
      <c r="R408" s="2" t="s">
        <v>519</v>
      </c>
      <c r="S408" s="2"/>
      <c r="T408" s="23">
        <v>0</v>
      </c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O408">
        <v>8</v>
      </c>
      <c r="AP408" s="21">
        <v>0</v>
      </c>
      <c r="AR408" s="28">
        <v>1.5</v>
      </c>
      <c r="AS408" s="28">
        <v>1.25</v>
      </c>
      <c r="AT408" s="28">
        <v>0.1</v>
      </c>
      <c r="AU408" s="28">
        <v>0.2</v>
      </c>
      <c r="AV408" s="28">
        <v>0.49180327868852458</v>
      </c>
      <c r="AW408" s="28">
        <v>0.4098360655737705</v>
      </c>
      <c r="AX408" s="28">
        <v>3.2786885245901641E-2</v>
      </c>
      <c r="AY408" s="28">
        <v>6.5573770491803282E-2</v>
      </c>
      <c r="AZ408" s="25">
        <v>1.1399999999999999</v>
      </c>
      <c r="BA408" s="25">
        <v>3.44</v>
      </c>
      <c r="BB408" s="25">
        <v>2.2999999999999998</v>
      </c>
      <c r="BC408" s="25">
        <v>2.4565000000000001</v>
      </c>
      <c r="BD408">
        <v>2.4565000000000001</v>
      </c>
      <c r="BE408">
        <v>6.7101115083254994</v>
      </c>
    </row>
    <row r="409" spans="1:57" x14ac:dyDescent="0.3">
      <c r="A409" s="2" t="s">
        <v>336</v>
      </c>
      <c r="B409" s="18" t="s">
        <v>1009</v>
      </c>
      <c r="C409" s="13"/>
      <c r="D409" s="2"/>
      <c r="E409" s="2"/>
      <c r="F409" s="2">
        <v>3.5</v>
      </c>
      <c r="G409" s="2" t="s">
        <v>319</v>
      </c>
      <c r="H409" s="9">
        <v>-1</v>
      </c>
      <c r="I409">
        <v>-1</v>
      </c>
      <c r="K409" s="2"/>
      <c r="L409" s="2"/>
      <c r="M409" s="2"/>
      <c r="N409" s="23">
        <v>0</v>
      </c>
      <c r="O409" s="2">
        <v>3.74</v>
      </c>
      <c r="P409" s="2">
        <v>3.74</v>
      </c>
      <c r="Q409" s="2">
        <v>47.7</v>
      </c>
      <c r="R409" s="2" t="s">
        <v>519</v>
      </c>
      <c r="S409" s="2"/>
      <c r="T409" s="23">
        <v>0</v>
      </c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O409">
        <v>8</v>
      </c>
      <c r="AP409" s="21">
        <v>0</v>
      </c>
      <c r="AR409" s="28">
        <v>1.4782608695652171</v>
      </c>
      <c r="AS409" s="28">
        <v>1.173913043478261</v>
      </c>
      <c r="AT409" s="28">
        <v>8.6956521739130432E-2</v>
      </c>
      <c r="AU409" s="28">
        <v>0.17391304347826089</v>
      </c>
      <c r="AV409" s="28">
        <v>0.50746268656716409</v>
      </c>
      <c r="AW409" s="28">
        <v>0.40298507462686572</v>
      </c>
      <c r="AX409" s="28">
        <v>2.9850746268656719E-2</v>
      </c>
      <c r="AY409" s="28">
        <v>5.9701492537313432E-2</v>
      </c>
      <c r="AZ409" s="25">
        <v>1.1399999999999999</v>
      </c>
      <c r="BA409" s="25">
        <v>3.44</v>
      </c>
      <c r="BB409" s="25">
        <v>2.2999999999999998</v>
      </c>
      <c r="BC409" s="25">
        <v>2.4382608695652168</v>
      </c>
      <c r="BD409">
        <v>2.4382608695652168</v>
      </c>
      <c r="BE409">
        <v>6.7311505900961732</v>
      </c>
    </row>
    <row r="410" spans="1:57" x14ac:dyDescent="0.3">
      <c r="A410" s="2" t="s">
        <v>337</v>
      </c>
      <c r="B410" s="18" t="s">
        <v>1010</v>
      </c>
      <c r="C410" s="13"/>
      <c r="D410" s="2"/>
      <c r="E410" s="2"/>
      <c r="F410" s="2">
        <v>3.42</v>
      </c>
      <c r="G410" s="2" t="s">
        <v>319</v>
      </c>
      <c r="H410" s="9">
        <v>-1</v>
      </c>
      <c r="I410">
        <v>-1</v>
      </c>
      <c r="K410" s="2"/>
      <c r="L410" s="2"/>
      <c r="M410" s="2"/>
      <c r="N410" s="23">
        <v>0</v>
      </c>
      <c r="O410" s="2">
        <v>3.72</v>
      </c>
      <c r="P410" s="2">
        <v>3.72</v>
      </c>
      <c r="Q410" s="2">
        <v>54</v>
      </c>
      <c r="R410" s="2" t="s">
        <v>519</v>
      </c>
      <c r="S410" s="2"/>
      <c r="T410" s="23">
        <v>0</v>
      </c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O410">
        <v>8</v>
      </c>
      <c r="AP410" s="21">
        <v>0</v>
      </c>
      <c r="AR410" s="28">
        <v>1.448275862068966</v>
      </c>
      <c r="AS410" s="28">
        <v>1.068965517241379</v>
      </c>
      <c r="AT410" s="28">
        <v>6.8965517241379309E-2</v>
      </c>
      <c r="AU410" s="28">
        <v>0.13793103448275859</v>
      </c>
      <c r="AV410" s="28">
        <v>0.53164556962025322</v>
      </c>
      <c r="AW410" s="28">
        <v>0.39240506329113922</v>
      </c>
      <c r="AX410" s="28">
        <v>2.5316455696202531E-2</v>
      </c>
      <c r="AY410" s="28">
        <v>5.0632911392405063E-2</v>
      </c>
      <c r="AZ410" s="25">
        <v>1.1399999999999999</v>
      </c>
      <c r="BA410" s="25">
        <v>3.44</v>
      </c>
      <c r="BB410" s="25">
        <v>2.2999999999999998</v>
      </c>
      <c r="BC410" s="25">
        <v>2.4131034482758622</v>
      </c>
      <c r="BD410">
        <v>2.4131034482758622</v>
      </c>
      <c r="BE410">
        <v>6.7601700132281373</v>
      </c>
    </row>
    <row r="411" spans="1:57" x14ac:dyDescent="0.3">
      <c r="A411" s="2" t="s">
        <v>338</v>
      </c>
      <c r="B411" s="18" t="s">
        <v>1011</v>
      </c>
      <c r="C411" s="13"/>
      <c r="D411" s="2"/>
      <c r="E411" s="2"/>
      <c r="F411" s="2">
        <v>3.45</v>
      </c>
      <c r="G411" s="2" t="s">
        <v>319</v>
      </c>
      <c r="H411" s="9">
        <v>-1</v>
      </c>
      <c r="I411">
        <v>-1</v>
      </c>
      <c r="K411" s="2"/>
      <c r="L411" s="2"/>
      <c r="M411" s="2"/>
      <c r="N411" s="23">
        <v>0</v>
      </c>
      <c r="O411" s="2">
        <v>3.81</v>
      </c>
      <c r="P411" s="2">
        <v>3.81</v>
      </c>
      <c r="Q411" s="2">
        <v>65.400000000000006</v>
      </c>
      <c r="R411" s="2" t="s">
        <v>519</v>
      </c>
      <c r="S411" s="2"/>
      <c r="T411" s="23">
        <v>0</v>
      </c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O411">
        <v>8</v>
      </c>
      <c r="AP411" s="21">
        <v>0</v>
      </c>
      <c r="AR411" s="28">
        <v>1.428571428571429</v>
      </c>
      <c r="AS411" s="28">
        <v>1</v>
      </c>
      <c r="AT411" s="28">
        <v>5.7142857142857141E-2</v>
      </c>
      <c r="AU411" s="28">
        <v>0.1142857142857143</v>
      </c>
      <c r="AV411" s="28">
        <v>0.5494505494505495</v>
      </c>
      <c r="AW411" s="28">
        <v>0.38461538461538458</v>
      </c>
      <c r="AX411" s="28">
        <v>2.197802197802198E-2</v>
      </c>
      <c r="AY411" s="28">
        <v>4.3956043956043953E-2</v>
      </c>
      <c r="AZ411" s="25">
        <v>1.1399999999999999</v>
      </c>
      <c r="BA411" s="25">
        <v>3.44</v>
      </c>
      <c r="BB411" s="25">
        <v>2.2999999999999998</v>
      </c>
      <c r="BC411" s="25">
        <v>2.3965714285714288</v>
      </c>
      <c r="BD411">
        <v>2.3965714285714279</v>
      </c>
      <c r="BE411">
        <v>6.7792399198577131</v>
      </c>
    </row>
    <row r="412" spans="1:57" x14ac:dyDescent="0.3">
      <c r="A412" s="2" t="s">
        <v>339</v>
      </c>
      <c r="B412" s="18" t="s">
        <v>1012</v>
      </c>
      <c r="C412" s="13"/>
      <c r="D412" s="2"/>
      <c r="E412" s="2"/>
      <c r="F412" s="2">
        <v>3.42</v>
      </c>
      <c r="G412" s="2" t="s">
        <v>319</v>
      </c>
      <c r="H412" s="9">
        <v>-1</v>
      </c>
      <c r="I412">
        <v>-1</v>
      </c>
      <c r="K412" s="2"/>
      <c r="L412" s="2"/>
      <c r="M412" s="2"/>
      <c r="N412" s="23">
        <v>0</v>
      </c>
      <c r="O412" s="2">
        <v>3.71</v>
      </c>
      <c r="P412" s="2">
        <v>3.71</v>
      </c>
      <c r="Q412" s="2">
        <v>32</v>
      </c>
      <c r="R412" s="2" t="s">
        <v>519</v>
      </c>
      <c r="S412" s="2"/>
      <c r="T412" s="23">
        <v>0</v>
      </c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O412">
        <v>10</v>
      </c>
      <c r="AP412" s="21">
        <v>0</v>
      </c>
      <c r="AR412" s="28">
        <v>1.615384615384615</v>
      </c>
      <c r="AS412" s="28">
        <v>1.6923076923076921</v>
      </c>
      <c r="AT412" s="28">
        <v>0.15384615384615391</v>
      </c>
      <c r="AU412" s="28">
        <v>0.30769230769230771</v>
      </c>
      <c r="AV412" s="28">
        <v>0.4285714285714286</v>
      </c>
      <c r="AW412" s="28">
        <v>0.44897959183673469</v>
      </c>
      <c r="AX412" s="28">
        <v>4.0816326530612249E-2</v>
      </c>
      <c r="AY412" s="28">
        <v>8.1632653061224497E-2</v>
      </c>
      <c r="AZ412" s="25">
        <v>1.1399999999999999</v>
      </c>
      <c r="BA412" s="25">
        <v>3.44</v>
      </c>
      <c r="BB412" s="25">
        <v>2.2999999999999998</v>
      </c>
      <c r="BC412" s="25">
        <v>2.571538461538462</v>
      </c>
      <c r="BD412">
        <v>2.571538461538462</v>
      </c>
      <c r="BE412">
        <v>6.623443246558077</v>
      </c>
    </row>
    <row r="413" spans="1:57" x14ac:dyDescent="0.3">
      <c r="A413" s="2" t="s">
        <v>340</v>
      </c>
      <c r="B413" s="18" t="s">
        <v>1013</v>
      </c>
      <c r="C413" s="13"/>
      <c r="D413" s="2"/>
      <c r="E413" s="2"/>
      <c r="F413" s="2">
        <v>3.39</v>
      </c>
      <c r="G413" s="2" t="s">
        <v>319</v>
      </c>
      <c r="H413" s="9">
        <v>-1</v>
      </c>
      <c r="I413">
        <v>-1</v>
      </c>
      <c r="K413" s="2"/>
      <c r="L413" s="2"/>
      <c r="M413" s="2"/>
      <c r="N413" s="23">
        <v>0</v>
      </c>
      <c r="O413" s="2">
        <v>3.7</v>
      </c>
      <c r="P413" s="2">
        <v>3.7</v>
      </c>
      <c r="Q413" s="2">
        <v>36.4</v>
      </c>
      <c r="R413" s="2" t="s">
        <v>519</v>
      </c>
      <c r="S413" s="2"/>
      <c r="T413" s="23">
        <v>0</v>
      </c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O413">
        <v>10</v>
      </c>
      <c r="AP413" s="21">
        <v>0</v>
      </c>
      <c r="AR413" s="28">
        <v>1.5625</v>
      </c>
      <c r="AS413" s="28">
        <v>1.5</v>
      </c>
      <c r="AT413" s="28">
        <v>0.125</v>
      </c>
      <c r="AU413" s="28">
        <v>0.25</v>
      </c>
      <c r="AV413" s="28">
        <v>0.45454545454545447</v>
      </c>
      <c r="AW413" s="28">
        <v>0.43636363636363629</v>
      </c>
      <c r="AX413" s="28">
        <v>3.6363636363636362E-2</v>
      </c>
      <c r="AY413" s="28">
        <v>7.2727272727272724E-2</v>
      </c>
      <c r="AZ413" s="25">
        <v>1.1399999999999999</v>
      </c>
      <c r="BA413" s="25">
        <v>3.44</v>
      </c>
      <c r="BB413" s="25">
        <v>2.2999999999999998</v>
      </c>
      <c r="BC413" s="25">
        <v>2.5237500000000002</v>
      </c>
      <c r="BD413">
        <v>2.5237500000000002</v>
      </c>
      <c r="BE413">
        <v>6.6699372256848122</v>
      </c>
    </row>
    <row r="414" spans="1:57" x14ac:dyDescent="0.3">
      <c r="A414" s="2" t="s">
        <v>341</v>
      </c>
      <c r="B414" s="18" t="s">
        <v>1014</v>
      </c>
      <c r="C414" s="13"/>
      <c r="D414" s="2"/>
      <c r="E414" s="2"/>
      <c r="F414" s="2">
        <v>3.45</v>
      </c>
      <c r="G414" s="2" t="s">
        <v>319</v>
      </c>
      <c r="H414" s="9">
        <v>-1</v>
      </c>
      <c r="I414">
        <v>-1</v>
      </c>
      <c r="K414" s="2"/>
      <c r="L414" s="2"/>
      <c r="M414" s="2"/>
      <c r="N414" s="23">
        <v>0</v>
      </c>
      <c r="O414" s="2">
        <v>3.72</v>
      </c>
      <c r="P414" s="2">
        <v>3.72</v>
      </c>
      <c r="Q414" s="2">
        <v>41.1</v>
      </c>
      <c r="R414" s="2" t="s">
        <v>519</v>
      </c>
      <c r="S414" s="2"/>
      <c r="T414" s="23">
        <v>0</v>
      </c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O414">
        <v>10</v>
      </c>
      <c r="AP414" s="21">
        <v>0</v>
      </c>
      <c r="AR414" s="28">
        <v>1.5263157894736841</v>
      </c>
      <c r="AS414" s="28">
        <v>1.368421052631579</v>
      </c>
      <c r="AT414" s="28">
        <v>0.10526315789473679</v>
      </c>
      <c r="AU414" s="28">
        <v>0.2105263157894737</v>
      </c>
      <c r="AV414" s="28">
        <v>0.47540983606557369</v>
      </c>
      <c r="AW414" s="28">
        <v>0.42622950819672129</v>
      </c>
      <c r="AX414" s="28">
        <v>3.2786885245901627E-2</v>
      </c>
      <c r="AY414" s="28">
        <v>6.5573770491803268E-2</v>
      </c>
      <c r="AZ414" s="25">
        <v>1.1399999999999999</v>
      </c>
      <c r="BA414" s="25">
        <v>3.44</v>
      </c>
      <c r="BB414" s="25">
        <v>2.2999999999999998</v>
      </c>
      <c r="BC414" s="25">
        <v>2.4910526315789472</v>
      </c>
      <c r="BD414">
        <v>2.4910526315789481</v>
      </c>
      <c r="BE414">
        <v>6.7017488956136306</v>
      </c>
    </row>
    <row r="415" spans="1:57" x14ac:dyDescent="0.3">
      <c r="A415" s="2" t="s">
        <v>342</v>
      </c>
      <c r="B415" s="18" t="s">
        <v>1015</v>
      </c>
      <c r="C415" s="13"/>
      <c r="D415" s="2"/>
      <c r="E415" s="2"/>
      <c r="F415" s="2">
        <v>3.45</v>
      </c>
      <c r="G415" s="2" t="s">
        <v>319</v>
      </c>
      <c r="H415" s="9">
        <v>-1</v>
      </c>
      <c r="I415">
        <v>-1</v>
      </c>
      <c r="K415" s="2"/>
      <c r="L415" s="2"/>
      <c r="M415" s="2"/>
      <c r="N415" s="23">
        <v>0</v>
      </c>
      <c r="O415" s="2">
        <v>3.71</v>
      </c>
      <c r="P415" s="2">
        <v>3.71</v>
      </c>
      <c r="Q415" s="2">
        <v>44.5</v>
      </c>
      <c r="R415" s="2" t="s">
        <v>519</v>
      </c>
      <c r="S415" s="2"/>
      <c r="T415" s="23">
        <v>0</v>
      </c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O415">
        <v>10</v>
      </c>
      <c r="AP415" s="21">
        <v>0</v>
      </c>
      <c r="AR415" s="28">
        <v>1.5</v>
      </c>
      <c r="AS415" s="28">
        <v>1.2727272727272729</v>
      </c>
      <c r="AT415" s="28">
        <v>9.0909090909090912E-2</v>
      </c>
      <c r="AU415" s="28">
        <v>0.1818181818181818</v>
      </c>
      <c r="AV415" s="28">
        <v>0.49253731343283591</v>
      </c>
      <c r="AW415" s="28">
        <v>0.41791044776119401</v>
      </c>
      <c r="AX415" s="28">
        <v>2.9850746268656719E-2</v>
      </c>
      <c r="AY415" s="28">
        <v>5.9701492537313439E-2</v>
      </c>
      <c r="AZ415" s="25">
        <v>1.1399999999999999</v>
      </c>
      <c r="BA415" s="25">
        <v>3.44</v>
      </c>
      <c r="BB415" s="25">
        <v>2.2999999999999998</v>
      </c>
      <c r="BC415" s="25">
        <v>2.4672727272727282</v>
      </c>
      <c r="BD415">
        <v>2.4672727272727268</v>
      </c>
      <c r="BE415">
        <v>6.7248846555618629</v>
      </c>
    </row>
    <row r="416" spans="1:57" x14ac:dyDescent="0.3">
      <c r="A416" s="2" t="s">
        <v>343</v>
      </c>
      <c r="B416" s="18" t="s">
        <v>1016</v>
      </c>
      <c r="C416" s="13"/>
      <c r="D416" s="2"/>
      <c r="E416" s="2"/>
      <c r="F416" s="2">
        <v>3.41</v>
      </c>
      <c r="G416" s="2" t="s">
        <v>319</v>
      </c>
      <c r="H416" s="9">
        <v>-1</v>
      </c>
      <c r="I416">
        <v>-1</v>
      </c>
      <c r="K416" s="2"/>
      <c r="L416" s="2"/>
      <c r="M416" s="2"/>
      <c r="N416" s="23">
        <v>0</v>
      </c>
      <c r="O416" s="2">
        <v>3.71</v>
      </c>
      <c r="P416" s="2">
        <v>3.71</v>
      </c>
      <c r="Q416" s="2">
        <v>54.9</v>
      </c>
      <c r="R416" s="2" t="s">
        <v>519</v>
      </c>
      <c r="S416" s="2"/>
      <c r="T416" s="23">
        <v>0</v>
      </c>
      <c r="U416" s="23"/>
      <c r="V416" s="23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O416">
        <v>10</v>
      </c>
      <c r="AP416" s="21">
        <v>0</v>
      </c>
      <c r="AQ416" s="23"/>
      <c r="AR416" s="28">
        <v>1.464285714285714</v>
      </c>
      <c r="AS416" s="28">
        <v>1.142857142857143</v>
      </c>
      <c r="AT416" s="28">
        <v>7.1428571428571425E-2</v>
      </c>
      <c r="AU416" s="28">
        <v>0.14285714285714279</v>
      </c>
      <c r="AV416" s="28">
        <v>0.51898734177215178</v>
      </c>
      <c r="AW416" s="28">
        <v>0.40506329113924039</v>
      </c>
      <c r="AX416" s="28">
        <v>2.5316455696202531E-2</v>
      </c>
      <c r="AY416" s="28">
        <v>5.0632911392405063E-2</v>
      </c>
      <c r="AZ416" s="25">
        <v>1.1399999999999999</v>
      </c>
      <c r="BA416" s="25">
        <v>3.44</v>
      </c>
      <c r="BB416" s="25">
        <v>2.2999999999999998</v>
      </c>
      <c r="BC416" s="25">
        <v>2.4350000000000001</v>
      </c>
      <c r="BD416">
        <v>2.4350000000000001</v>
      </c>
      <c r="BE416">
        <v>6.7562831869201787</v>
      </c>
    </row>
    <row r="417" spans="1:57" x14ac:dyDescent="0.3">
      <c r="A417" s="2" t="s">
        <v>344</v>
      </c>
      <c r="B417" s="18" t="s">
        <v>1017</v>
      </c>
      <c r="C417" s="13"/>
      <c r="D417" s="2"/>
      <c r="E417" s="2"/>
      <c r="F417" s="2">
        <v>3.41</v>
      </c>
      <c r="G417" s="2" t="s">
        <v>319</v>
      </c>
      <c r="H417" s="9">
        <v>-1</v>
      </c>
      <c r="I417">
        <v>-1</v>
      </c>
      <c r="K417" s="2"/>
      <c r="L417" s="2"/>
      <c r="M417" s="2"/>
      <c r="N417" s="23">
        <v>0</v>
      </c>
      <c r="O417" s="2">
        <v>3.71</v>
      </c>
      <c r="P417" s="2">
        <v>3.71</v>
      </c>
      <c r="Q417" s="2">
        <v>58</v>
      </c>
      <c r="R417" s="2" t="s">
        <v>519</v>
      </c>
      <c r="S417" s="2"/>
      <c r="T417" s="23">
        <v>0</v>
      </c>
      <c r="U417" s="23"/>
      <c r="V417" s="23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O417">
        <v>10</v>
      </c>
      <c r="AP417" s="21">
        <v>0</v>
      </c>
      <c r="AQ417" s="23"/>
      <c r="AR417" s="28">
        <v>1.4411764705882351</v>
      </c>
      <c r="AS417" s="28">
        <v>1.0588235294117649</v>
      </c>
      <c r="AT417" s="28">
        <v>5.8823529411764712E-2</v>
      </c>
      <c r="AU417" s="28">
        <v>0.1176470588235294</v>
      </c>
      <c r="AV417" s="28">
        <v>0.53846153846153855</v>
      </c>
      <c r="AW417" s="28">
        <v>0.39560439560439559</v>
      </c>
      <c r="AX417" s="28">
        <v>2.197802197802198E-2</v>
      </c>
      <c r="AY417" s="28">
        <v>4.3956043956043959E-2</v>
      </c>
      <c r="AZ417" s="25">
        <v>1.1399999999999999</v>
      </c>
      <c r="BA417" s="25">
        <v>3.44</v>
      </c>
      <c r="BB417" s="25">
        <v>2.2999999999999998</v>
      </c>
      <c r="BC417" s="25">
        <v>2.4141176470588239</v>
      </c>
      <c r="BD417">
        <v>2.4141176470588239</v>
      </c>
      <c r="BE417">
        <v>6.776599883681441</v>
      </c>
    </row>
    <row r="418" spans="1:57" x14ac:dyDescent="0.3">
      <c r="A418" s="2" t="s">
        <v>151</v>
      </c>
      <c r="B418" s="13" t="s">
        <v>774</v>
      </c>
      <c r="C418" s="13"/>
      <c r="D418" s="2"/>
      <c r="E418" s="2"/>
      <c r="F418" s="2">
        <v>3.26</v>
      </c>
      <c r="G418" s="2" t="s">
        <v>345</v>
      </c>
      <c r="H418" s="9">
        <v>-1</v>
      </c>
      <c r="I418">
        <v>-1</v>
      </c>
      <c r="K418" s="2"/>
      <c r="L418" s="2"/>
      <c r="M418" s="2"/>
      <c r="N418" s="23">
        <v>0</v>
      </c>
      <c r="O418" s="2">
        <v>3.89</v>
      </c>
      <c r="P418" s="2">
        <v>3.89</v>
      </c>
      <c r="Q418" s="2">
        <v>16.399999999999999</v>
      </c>
      <c r="R418" s="2"/>
      <c r="S418" s="2"/>
      <c r="T418" s="23">
        <v>0</v>
      </c>
      <c r="U418" s="23"/>
      <c r="V418" s="23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O418">
        <v>20</v>
      </c>
      <c r="AP418" s="21">
        <v>0</v>
      </c>
      <c r="AQ418" s="23"/>
      <c r="AR418" s="28">
        <v>1.75</v>
      </c>
      <c r="AS418" s="28">
        <v>2.5</v>
      </c>
      <c r="AT418" s="28">
        <v>0.75</v>
      </c>
      <c r="AU418" s="28">
        <v>0</v>
      </c>
      <c r="AV418" s="28">
        <v>0.35</v>
      </c>
      <c r="AW418" s="28">
        <v>0.5</v>
      </c>
      <c r="AX418" s="28">
        <v>0.15</v>
      </c>
      <c r="AY418" s="28">
        <v>0</v>
      </c>
      <c r="AZ418" s="25">
        <v>0.95</v>
      </c>
      <c r="BA418" s="25">
        <v>3.44</v>
      </c>
      <c r="BB418" s="25">
        <v>2.4900000000000002</v>
      </c>
      <c r="BC418" s="25">
        <v>2.7062499999999998</v>
      </c>
      <c r="BD418">
        <v>2.7062499999999998</v>
      </c>
      <c r="BE418">
        <v>6.2396022968656872</v>
      </c>
    </row>
    <row r="419" spans="1:57" x14ac:dyDescent="0.3">
      <c r="A419" s="2" t="s">
        <v>63</v>
      </c>
      <c r="B419" s="13" t="s">
        <v>773</v>
      </c>
      <c r="C419" s="13"/>
      <c r="D419" s="2"/>
      <c r="E419" s="2"/>
      <c r="F419" s="2">
        <v>3.5</v>
      </c>
      <c r="G419" s="2" t="s">
        <v>345</v>
      </c>
      <c r="H419" s="9">
        <v>-1</v>
      </c>
      <c r="I419">
        <v>-1</v>
      </c>
      <c r="K419" s="2"/>
      <c r="L419" s="2"/>
      <c r="M419" s="2"/>
      <c r="N419" s="23">
        <v>0</v>
      </c>
      <c r="O419" s="2">
        <v>3.82</v>
      </c>
      <c r="P419" s="2">
        <v>3.82</v>
      </c>
      <c r="Q419" s="2">
        <v>16</v>
      </c>
      <c r="R419" s="2"/>
      <c r="S419" s="2"/>
      <c r="T419" s="23">
        <v>0</v>
      </c>
      <c r="U419" s="23"/>
      <c r="V419" s="23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O419">
        <v>20</v>
      </c>
      <c r="AP419" s="21">
        <v>0</v>
      </c>
      <c r="AQ419" s="21"/>
      <c r="AR419" s="28">
        <v>1.75</v>
      </c>
      <c r="AS419" s="28">
        <v>2.5</v>
      </c>
      <c r="AT419" s="28">
        <v>0.75</v>
      </c>
      <c r="AU419" s="28">
        <v>0</v>
      </c>
      <c r="AV419" s="28">
        <v>0.35</v>
      </c>
      <c r="AW419" s="28">
        <v>0.5</v>
      </c>
      <c r="AX419" s="28">
        <v>0.15</v>
      </c>
      <c r="AY419" s="28">
        <v>0</v>
      </c>
      <c r="AZ419" s="25">
        <v>1</v>
      </c>
      <c r="BA419" s="25">
        <v>3.44</v>
      </c>
      <c r="BB419" s="25">
        <v>2.44</v>
      </c>
      <c r="BC419" s="25">
        <v>2.7124999999999999</v>
      </c>
      <c r="BD419">
        <v>2.7124999999999999</v>
      </c>
      <c r="BE419">
        <v>6.264025610615688</v>
      </c>
    </row>
    <row r="420" spans="1:57" x14ac:dyDescent="0.3">
      <c r="A420" s="2" t="s">
        <v>4</v>
      </c>
      <c r="B420" s="13" t="s">
        <v>689</v>
      </c>
      <c r="C420" s="13"/>
      <c r="D420" s="2"/>
      <c r="E420" s="2"/>
      <c r="F420" s="2">
        <v>3.54</v>
      </c>
      <c r="G420" s="2" t="s">
        <v>352</v>
      </c>
      <c r="H420" s="9" t="s">
        <v>527</v>
      </c>
      <c r="I420" t="s">
        <v>609</v>
      </c>
      <c r="K420" s="2"/>
      <c r="L420" s="2"/>
      <c r="M420" s="2"/>
      <c r="N420" s="23">
        <v>4</v>
      </c>
      <c r="O420" s="2">
        <v>3.86</v>
      </c>
      <c r="P420" s="2">
        <v>3.86</v>
      </c>
      <c r="Q420" s="2">
        <v>29.4</v>
      </c>
      <c r="R420" s="2"/>
      <c r="S420" s="2"/>
      <c r="T420" s="23">
        <v>7.8084429999999996</v>
      </c>
      <c r="U420" s="23">
        <v>7.8548809999999998</v>
      </c>
      <c r="V420" s="23">
        <v>15.19056011</v>
      </c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O420">
        <v>20</v>
      </c>
      <c r="AP420" s="21">
        <v>924.74694800021894</v>
      </c>
      <c r="AQ420" s="21">
        <v>8.6510153045653584E-2</v>
      </c>
      <c r="AR420" s="28">
        <v>1.75</v>
      </c>
      <c r="AS420" s="28">
        <v>2.5</v>
      </c>
      <c r="AT420" s="28">
        <v>0.75</v>
      </c>
      <c r="AU420" s="28">
        <v>0</v>
      </c>
      <c r="AV420" s="28">
        <v>0.35</v>
      </c>
      <c r="AW420" s="28">
        <v>0.5</v>
      </c>
      <c r="AX420" s="28">
        <v>0.15</v>
      </c>
      <c r="AY420" s="28">
        <v>0</v>
      </c>
      <c r="AZ420" s="25">
        <v>0.82</v>
      </c>
      <c r="BA420" s="25">
        <v>3.44</v>
      </c>
      <c r="BB420" s="25">
        <v>2.62</v>
      </c>
      <c r="BC420" s="25">
        <v>2.6262500000000002</v>
      </c>
      <c r="BD420">
        <v>2.6262500000000002</v>
      </c>
      <c r="BE420">
        <v>5.96680968125</v>
      </c>
    </row>
    <row r="421" spans="1:57" x14ac:dyDescent="0.3">
      <c r="A421" s="2" t="s">
        <v>63</v>
      </c>
      <c r="B421" s="13" t="s">
        <v>773</v>
      </c>
      <c r="C421" s="13"/>
      <c r="D421" s="2"/>
      <c r="E421" s="2"/>
      <c r="F421" s="2">
        <v>3.5</v>
      </c>
      <c r="G421" s="2" t="s">
        <v>352</v>
      </c>
      <c r="H421" s="9">
        <v>-1</v>
      </c>
      <c r="I421">
        <v>-1</v>
      </c>
      <c r="K421" s="2"/>
      <c r="L421" s="2"/>
      <c r="M421" s="2"/>
      <c r="N421" s="23">
        <v>0</v>
      </c>
      <c r="O421" s="2">
        <v>3.82</v>
      </c>
      <c r="P421" s="2">
        <v>3.82</v>
      </c>
      <c r="Q421" s="2">
        <v>16</v>
      </c>
      <c r="R421" s="2"/>
      <c r="S421" s="2"/>
      <c r="T421" s="23">
        <v>0</v>
      </c>
      <c r="U421" s="23"/>
      <c r="V421" s="23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O421">
        <v>20</v>
      </c>
      <c r="AP421" s="21">
        <v>0</v>
      </c>
      <c r="AQ421" s="21"/>
      <c r="AR421" s="28">
        <v>1.75</v>
      </c>
      <c r="AS421" s="28">
        <v>2.5</v>
      </c>
      <c r="AT421" s="28">
        <v>0.75</v>
      </c>
      <c r="AU421" s="28">
        <v>0</v>
      </c>
      <c r="AV421" s="28">
        <v>0.35</v>
      </c>
      <c r="AW421" s="28">
        <v>0.5</v>
      </c>
      <c r="AX421" s="28">
        <v>0.15</v>
      </c>
      <c r="AY421" s="28">
        <v>0</v>
      </c>
      <c r="AZ421" s="25">
        <v>1</v>
      </c>
      <c r="BA421" s="25">
        <v>3.44</v>
      </c>
      <c r="BB421" s="25">
        <v>2.44</v>
      </c>
      <c r="BC421" s="25">
        <v>2.7124999999999999</v>
      </c>
      <c r="BD421">
        <v>2.7124999999999999</v>
      </c>
      <c r="BE421">
        <v>6.264025610615688</v>
      </c>
    </row>
    <row r="422" spans="1:57" x14ac:dyDescent="0.3">
      <c r="A422" s="2" t="s">
        <v>346</v>
      </c>
      <c r="B422" s="18" t="s">
        <v>1018</v>
      </c>
      <c r="C422" s="13"/>
      <c r="D422" s="2"/>
      <c r="E422" s="2"/>
      <c r="F422" s="2">
        <v>3.45</v>
      </c>
      <c r="G422" s="2" t="s">
        <v>352</v>
      </c>
      <c r="H422" s="9">
        <v>-1</v>
      </c>
      <c r="I422">
        <v>-1</v>
      </c>
      <c r="K422" s="2"/>
      <c r="L422" s="2"/>
      <c r="M422" s="2"/>
      <c r="N422" s="23">
        <v>0</v>
      </c>
      <c r="O422" s="2">
        <v>3.86</v>
      </c>
      <c r="P422" s="2">
        <v>3.86</v>
      </c>
      <c r="Q422" s="2">
        <v>20.9</v>
      </c>
      <c r="R422" s="2"/>
      <c r="S422" s="2"/>
      <c r="T422" s="23">
        <v>0</v>
      </c>
      <c r="U422" s="23"/>
      <c r="V422" s="23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O422">
        <v>20</v>
      </c>
      <c r="AP422" s="21">
        <v>0</v>
      </c>
      <c r="AQ422" s="21"/>
      <c r="AR422" s="28">
        <v>1.6190476190476191</v>
      </c>
      <c r="AS422" s="28">
        <v>2</v>
      </c>
      <c r="AT422" s="28">
        <v>0.5714285714285714</v>
      </c>
      <c r="AU422" s="28">
        <v>0</v>
      </c>
      <c r="AV422" s="28">
        <v>0.38636363636363641</v>
      </c>
      <c r="AW422" s="28">
        <v>0.47727272727272718</v>
      </c>
      <c r="AX422" s="28">
        <v>0.13636363636363641</v>
      </c>
      <c r="AY422" s="28">
        <v>0</v>
      </c>
      <c r="AZ422" s="25">
        <v>1</v>
      </c>
      <c r="BA422" s="25">
        <v>3.44</v>
      </c>
      <c r="BB422" s="25">
        <v>2.44</v>
      </c>
      <c r="BC422" s="25">
        <v>2.6071428571428572</v>
      </c>
      <c r="BD422">
        <v>2.6071428571428572</v>
      </c>
      <c r="BE422">
        <v>6.4376988464407141</v>
      </c>
    </row>
    <row r="423" spans="1:57" x14ac:dyDescent="0.3">
      <c r="A423" s="2" t="s">
        <v>347</v>
      </c>
      <c r="B423" s="18" t="s">
        <v>1019</v>
      </c>
      <c r="C423" s="13"/>
      <c r="D423" s="2"/>
      <c r="E423" s="2"/>
      <c r="F423" s="2">
        <v>3.5</v>
      </c>
      <c r="G423" s="2" t="s">
        <v>352</v>
      </c>
      <c r="H423" s="9">
        <v>-1</v>
      </c>
      <c r="I423">
        <v>-1</v>
      </c>
      <c r="K423" s="2"/>
      <c r="L423" s="2"/>
      <c r="M423" s="2"/>
      <c r="N423" s="23">
        <v>0</v>
      </c>
      <c r="O423" s="2">
        <v>3.86</v>
      </c>
      <c r="P423" s="2">
        <v>3.86</v>
      </c>
      <c r="Q423" s="2">
        <v>17.899999999999999</v>
      </c>
      <c r="R423" s="2"/>
      <c r="S423" s="2"/>
      <c r="T423" s="23">
        <v>0</v>
      </c>
      <c r="U423" s="23"/>
      <c r="V423" s="23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O423">
        <v>20</v>
      </c>
      <c r="AP423" s="21">
        <v>0</v>
      </c>
      <c r="AQ423" s="21"/>
      <c r="AR423" s="28">
        <v>1.583333333333333</v>
      </c>
      <c r="AS423" s="28">
        <v>1.833333333333333</v>
      </c>
      <c r="AT423" s="28">
        <v>0.5</v>
      </c>
      <c r="AU423" s="28">
        <v>0</v>
      </c>
      <c r="AV423" s="28">
        <v>0.40425531914893609</v>
      </c>
      <c r="AW423" s="28">
        <v>0.46808510638297868</v>
      </c>
      <c r="AX423" s="28">
        <v>0.1276595744680851</v>
      </c>
      <c r="AY423" s="28">
        <v>0</v>
      </c>
      <c r="AZ423" s="25">
        <v>1</v>
      </c>
      <c r="BA423" s="25">
        <v>3.44</v>
      </c>
      <c r="BB423" s="25">
        <v>2.44</v>
      </c>
      <c r="BC423" s="25">
        <v>2.5708333333333329</v>
      </c>
      <c r="BD423">
        <v>2.5708333333333329</v>
      </c>
      <c r="BE423">
        <v>6.4919128825398751</v>
      </c>
    </row>
    <row r="424" spans="1:57" x14ac:dyDescent="0.3">
      <c r="A424" s="2" t="s">
        <v>348</v>
      </c>
      <c r="B424" s="18" t="s">
        <v>1020</v>
      </c>
      <c r="C424" s="13"/>
      <c r="D424" s="2"/>
      <c r="E424" s="2"/>
      <c r="F424" s="2">
        <v>3.53</v>
      </c>
      <c r="G424" s="2" t="s">
        <v>352</v>
      </c>
      <c r="H424" s="9">
        <v>-1</v>
      </c>
      <c r="I424">
        <v>-1</v>
      </c>
      <c r="K424" s="2"/>
      <c r="L424" s="2"/>
      <c r="M424" s="2"/>
      <c r="N424" s="23">
        <v>0</v>
      </c>
      <c r="O424" s="2">
        <v>3.86</v>
      </c>
      <c r="P424" s="2">
        <v>3.86</v>
      </c>
      <c r="Q424" s="2">
        <v>19.899999999999999</v>
      </c>
      <c r="R424" s="2"/>
      <c r="S424" s="2"/>
      <c r="T424" s="23">
        <v>0</v>
      </c>
      <c r="U424" s="23"/>
      <c r="V424" s="23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O424">
        <v>20</v>
      </c>
      <c r="AP424" s="21">
        <v>0</v>
      </c>
      <c r="AQ424" s="21"/>
      <c r="AR424" s="28">
        <v>1.555555555555556</v>
      </c>
      <c r="AS424" s="28">
        <v>1.7037037037037039</v>
      </c>
      <c r="AT424" s="28">
        <v>0.44444444444444442</v>
      </c>
      <c r="AU424" s="28">
        <v>0</v>
      </c>
      <c r="AV424" s="28">
        <v>0.42</v>
      </c>
      <c r="AW424" s="28">
        <v>0.46</v>
      </c>
      <c r="AX424" s="28">
        <v>0.12</v>
      </c>
      <c r="AY424" s="28">
        <v>0</v>
      </c>
      <c r="AZ424" s="25">
        <v>1</v>
      </c>
      <c r="BA424" s="25">
        <v>3.44</v>
      </c>
      <c r="BB424" s="25">
        <v>2.44</v>
      </c>
      <c r="BC424" s="25">
        <v>2.5425925925925932</v>
      </c>
      <c r="BD424">
        <v>2.5425925925925932</v>
      </c>
      <c r="BE424">
        <v>6.5340793550614444</v>
      </c>
    </row>
    <row r="425" spans="1:57" x14ac:dyDescent="0.3">
      <c r="A425" s="2" t="s">
        <v>349</v>
      </c>
      <c r="B425" s="18" t="s">
        <v>1021</v>
      </c>
      <c r="C425" s="13"/>
      <c r="D425" s="2"/>
      <c r="E425" s="2"/>
      <c r="F425" s="2">
        <v>3.5</v>
      </c>
      <c r="G425" s="2" t="s">
        <v>352</v>
      </c>
      <c r="H425" s="9">
        <v>-1</v>
      </c>
      <c r="I425">
        <v>-1</v>
      </c>
      <c r="K425" s="2"/>
      <c r="L425" s="2"/>
      <c r="M425" s="2"/>
      <c r="N425" s="23">
        <v>0</v>
      </c>
      <c r="O425" s="2">
        <v>3.87</v>
      </c>
      <c r="P425" s="2">
        <v>3.87</v>
      </c>
      <c r="Q425" s="2">
        <v>22.1</v>
      </c>
      <c r="R425" s="2"/>
      <c r="S425" s="2"/>
      <c r="T425" s="23">
        <v>0</v>
      </c>
      <c r="U425" s="23"/>
      <c r="V425" s="23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O425">
        <v>20</v>
      </c>
      <c r="AP425" s="21">
        <v>0</v>
      </c>
      <c r="AQ425" s="21"/>
      <c r="AR425" s="28">
        <v>1.533333333333333</v>
      </c>
      <c r="AS425" s="28">
        <v>1.6</v>
      </c>
      <c r="AT425" s="28">
        <v>0.4</v>
      </c>
      <c r="AU425" s="28">
        <v>0</v>
      </c>
      <c r="AV425" s="28">
        <v>0.43396226415094352</v>
      </c>
      <c r="AW425" s="28">
        <v>0.45283018867924529</v>
      </c>
      <c r="AX425" s="28">
        <v>0.1132075471698113</v>
      </c>
      <c r="AY425" s="28">
        <v>0</v>
      </c>
      <c r="AZ425" s="25">
        <v>1</v>
      </c>
      <c r="BA425" s="25">
        <v>3.44</v>
      </c>
      <c r="BB425" s="25">
        <v>2.44</v>
      </c>
      <c r="BC425" s="25">
        <v>2.52</v>
      </c>
      <c r="BD425">
        <v>2.52</v>
      </c>
      <c r="BE425">
        <v>6.5678125330786994</v>
      </c>
    </row>
    <row r="426" spans="1:57" x14ac:dyDescent="0.3">
      <c r="A426" s="2" t="s">
        <v>350</v>
      </c>
      <c r="B426" s="18" t="s">
        <v>1022</v>
      </c>
      <c r="C426" s="13"/>
      <c r="D426" s="2"/>
      <c r="E426" s="2"/>
      <c r="F426" s="2">
        <v>3.47</v>
      </c>
      <c r="G426" s="2" t="s">
        <v>352</v>
      </c>
      <c r="H426" s="9">
        <v>-1</v>
      </c>
      <c r="I426">
        <v>-1</v>
      </c>
      <c r="K426" s="2"/>
      <c r="L426" s="2"/>
      <c r="M426" s="2"/>
      <c r="N426" s="23">
        <v>0</v>
      </c>
      <c r="O426" s="2">
        <v>3.87</v>
      </c>
      <c r="P426" s="2">
        <v>3.87</v>
      </c>
      <c r="Q426" s="2">
        <v>26.4</v>
      </c>
      <c r="R426" s="2"/>
      <c r="S426" s="2"/>
      <c r="T426" s="23">
        <v>0</v>
      </c>
      <c r="U426" s="23"/>
      <c r="V426" s="23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O426">
        <v>20</v>
      </c>
      <c r="AP426" s="21">
        <v>0</v>
      </c>
      <c r="AQ426" s="21"/>
      <c r="AR426" s="28">
        <v>1.5</v>
      </c>
      <c r="AS426" s="28">
        <v>1.444444444444444</v>
      </c>
      <c r="AT426" s="28">
        <v>0.33333333333333331</v>
      </c>
      <c r="AU426" s="28">
        <v>0</v>
      </c>
      <c r="AV426" s="28">
        <v>0.4576271186440678</v>
      </c>
      <c r="AW426" s="28">
        <v>0.44067796610169491</v>
      </c>
      <c r="AX426" s="28">
        <v>0.10169491525423729</v>
      </c>
      <c r="AY426" s="28">
        <v>0</v>
      </c>
      <c r="AZ426" s="25">
        <v>1</v>
      </c>
      <c r="BA426" s="25">
        <v>3.44</v>
      </c>
      <c r="BB426" s="25">
        <v>2.44</v>
      </c>
      <c r="BC426" s="25">
        <v>2.4861111111111112</v>
      </c>
      <c r="BD426">
        <v>2.4861111111111112</v>
      </c>
      <c r="BE426">
        <v>6.6184123001045831</v>
      </c>
    </row>
    <row r="427" spans="1:57" x14ac:dyDescent="0.3">
      <c r="A427" s="2" t="s">
        <v>351</v>
      </c>
      <c r="B427" s="18" t="s">
        <v>1023</v>
      </c>
      <c r="C427" s="13"/>
      <c r="D427" s="2"/>
      <c r="E427" s="2"/>
      <c r="F427" s="2">
        <v>3.51</v>
      </c>
      <c r="G427" s="2" t="s">
        <v>352</v>
      </c>
      <c r="H427" s="9">
        <v>-1</v>
      </c>
      <c r="I427">
        <v>-1</v>
      </c>
      <c r="K427" s="2"/>
      <c r="L427" s="2"/>
      <c r="M427" s="2"/>
      <c r="N427" s="23">
        <v>0</v>
      </c>
      <c r="O427" s="2">
        <v>3.87</v>
      </c>
      <c r="P427" s="2">
        <v>3.87</v>
      </c>
      <c r="Q427" s="2">
        <v>34.799999999999997</v>
      </c>
      <c r="R427" s="2"/>
      <c r="S427" s="2"/>
      <c r="T427" s="23">
        <v>0</v>
      </c>
      <c r="U427" s="23"/>
      <c r="V427" s="23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O427">
        <v>20</v>
      </c>
      <c r="AP427" s="21">
        <v>0</v>
      </c>
      <c r="AQ427" s="21"/>
      <c r="AR427" s="28">
        <v>1.4761904761904761</v>
      </c>
      <c r="AS427" s="28">
        <v>1.333333333333333</v>
      </c>
      <c r="AT427" s="28">
        <v>0.2857142857142857</v>
      </c>
      <c r="AU427" s="28">
        <v>0</v>
      </c>
      <c r="AV427" s="28">
        <v>0.47692307692307689</v>
      </c>
      <c r="AW427" s="28">
        <v>0.43076923076923068</v>
      </c>
      <c r="AX427" s="28">
        <v>9.2307692307692299E-2</v>
      </c>
      <c r="AY427" s="28">
        <v>0</v>
      </c>
      <c r="AZ427" s="25">
        <v>1</v>
      </c>
      <c r="BA427" s="25">
        <v>3.44</v>
      </c>
      <c r="BB427" s="25">
        <v>2.44</v>
      </c>
      <c r="BC427" s="25">
        <v>2.461904761904762</v>
      </c>
      <c r="BD427">
        <v>2.461904761904762</v>
      </c>
      <c r="BE427">
        <v>6.6545549908373571</v>
      </c>
    </row>
    <row r="428" spans="1:57" x14ac:dyDescent="0.3">
      <c r="A428" s="2" t="s">
        <v>180</v>
      </c>
      <c r="B428" s="13" t="s">
        <v>796</v>
      </c>
      <c r="C428" s="13"/>
      <c r="D428" s="2"/>
      <c r="E428" s="2"/>
      <c r="F428" s="2">
        <v>3.6</v>
      </c>
      <c r="G428" s="2" t="s">
        <v>354</v>
      </c>
      <c r="H428" s="9">
        <v>-1</v>
      </c>
      <c r="I428">
        <v>-1</v>
      </c>
      <c r="K428" s="2"/>
      <c r="L428" s="2"/>
      <c r="M428" s="2"/>
      <c r="N428" s="23">
        <v>0</v>
      </c>
      <c r="O428" s="2">
        <v>3.895</v>
      </c>
      <c r="P428" s="2">
        <v>3.895</v>
      </c>
      <c r="Q428" s="2">
        <v>30.46</v>
      </c>
      <c r="R428" s="2" t="s">
        <v>440</v>
      </c>
      <c r="S428" s="2"/>
      <c r="T428" s="23">
        <v>0</v>
      </c>
      <c r="U428" s="23"/>
      <c r="V428" s="23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O428">
        <v>20</v>
      </c>
      <c r="AP428" s="21">
        <v>0</v>
      </c>
      <c r="AQ428" s="21"/>
      <c r="AR428" s="28">
        <v>1.882352941176471</v>
      </c>
      <c r="AS428" s="28">
        <v>2.3529411764705879</v>
      </c>
      <c r="AT428" s="28">
        <v>0.47058823529411759</v>
      </c>
      <c r="AU428" s="28">
        <v>0</v>
      </c>
      <c r="AV428" s="28">
        <v>0.4</v>
      </c>
      <c r="AW428" s="28">
        <v>0.5</v>
      </c>
      <c r="AX428" s="28">
        <v>9.9999999999999992E-2</v>
      </c>
      <c r="AY428" s="28">
        <v>0</v>
      </c>
      <c r="AZ428" s="25">
        <v>0.82</v>
      </c>
      <c r="BA428" s="25">
        <v>3.44</v>
      </c>
      <c r="BB428" s="25">
        <v>2.62</v>
      </c>
      <c r="BC428" s="25">
        <v>2.5211764705882351</v>
      </c>
      <c r="BD428">
        <v>2.521176470588236</v>
      </c>
      <c r="BE428">
        <v>5.6793405594117647</v>
      </c>
    </row>
    <row r="429" spans="1:57" x14ac:dyDescent="0.3">
      <c r="A429" s="2" t="s">
        <v>952</v>
      </c>
      <c r="B429" s="17" t="s">
        <v>954</v>
      </c>
      <c r="C429" s="13"/>
      <c r="D429" s="2"/>
      <c r="E429" s="2"/>
      <c r="F429" s="2">
        <v>3.65</v>
      </c>
      <c r="G429" s="2" t="s">
        <v>354</v>
      </c>
      <c r="H429" s="9">
        <v>-1</v>
      </c>
      <c r="I429">
        <v>-1</v>
      </c>
      <c r="K429" s="2"/>
      <c r="L429" s="2"/>
      <c r="M429" s="2"/>
      <c r="N429" s="23">
        <v>0</v>
      </c>
      <c r="O429" s="2">
        <v>3.84</v>
      </c>
      <c r="P429" s="2">
        <v>3.84</v>
      </c>
      <c r="Q429" s="2">
        <v>32.520000000000003</v>
      </c>
      <c r="R429" s="2" t="s">
        <v>1131</v>
      </c>
      <c r="S429" s="2"/>
      <c r="T429" s="23">
        <v>0</v>
      </c>
      <c r="U429" s="23"/>
      <c r="V429" s="23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O429">
        <v>20</v>
      </c>
      <c r="AP429" s="21">
        <v>0</v>
      </c>
      <c r="AQ429" s="21"/>
      <c r="AR429" s="28">
        <v>1.882352941176471</v>
      </c>
      <c r="AS429" s="28">
        <v>2.3529411764705879</v>
      </c>
      <c r="AT429" s="28">
        <v>0.47058823529411759</v>
      </c>
      <c r="AU429" s="28">
        <v>0</v>
      </c>
      <c r="AV429" s="28">
        <v>0.4</v>
      </c>
      <c r="AW429" s="28">
        <v>0.5</v>
      </c>
      <c r="AX429" s="28">
        <v>9.9999999999999992E-2</v>
      </c>
      <c r="AY429" s="28">
        <v>0</v>
      </c>
      <c r="AZ429" s="25">
        <v>0.82</v>
      </c>
      <c r="BA429" s="25">
        <v>3.44</v>
      </c>
      <c r="BB429" s="25">
        <v>2.62</v>
      </c>
      <c r="BC429" s="25">
        <v>2.6023529411764699</v>
      </c>
      <c r="BD429">
        <v>2.6023529411764712</v>
      </c>
      <c r="BE429">
        <v>5.9643402149912346</v>
      </c>
    </row>
    <row r="430" spans="1:57" x14ac:dyDescent="0.3">
      <c r="A430" s="2" t="s">
        <v>953</v>
      </c>
      <c r="B430" s="17" t="s">
        <v>955</v>
      </c>
      <c r="C430" s="13"/>
      <c r="D430" s="2"/>
      <c r="E430" s="2"/>
      <c r="F430" s="2">
        <v>3.58</v>
      </c>
      <c r="G430" s="2" t="s">
        <v>354</v>
      </c>
      <c r="H430" s="9">
        <v>-1</v>
      </c>
      <c r="I430">
        <v>-1</v>
      </c>
      <c r="K430" s="2"/>
      <c r="L430" s="2"/>
      <c r="M430" s="2"/>
      <c r="N430" s="23">
        <v>0</v>
      </c>
      <c r="O430" s="2">
        <v>3.82</v>
      </c>
      <c r="P430" s="2">
        <v>3.82</v>
      </c>
      <c r="Q430" s="2">
        <v>14.9</v>
      </c>
      <c r="R430" s="2" t="s">
        <v>439</v>
      </c>
      <c r="S430" s="2"/>
      <c r="T430" s="23">
        <v>0</v>
      </c>
      <c r="U430" s="23"/>
      <c r="V430" s="23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O430">
        <v>20</v>
      </c>
      <c r="AP430" s="21">
        <v>0</v>
      </c>
      <c r="AQ430" s="21"/>
      <c r="AR430" s="28">
        <v>1.882352941176471</v>
      </c>
      <c r="AS430" s="28">
        <v>2.3529411764705879</v>
      </c>
      <c r="AT430" s="28">
        <v>0.47058823529411759</v>
      </c>
      <c r="AU430" s="28">
        <v>0</v>
      </c>
      <c r="AV430" s="28">
        <v>0.4</v>
      </c>
      <c r="AW430" s="28">
        <v>0.5</v>
      </c>
      <c r="AX430" s="28">
        <v>9.9999999999999992E-2</v>
      </c>
      <c r="AY430" s="28">
        <v>0</v>
      </c>
      <c r="AZ430" s="25">
        <v>0.82</v>
      </c>
      <c r="BA430" s="25">
        <v>3.44</v>
      </c>
      <c r="BB430" s="25">
        <v>2.62</v>
      </c>
      <c r="BC430" s="25">
        <v>2.6429411764705879</v>
      </c>
      <c r="BD430">
        <v>2.6429411764705879</v>
      </c>
      <c r="BE430">
        <v>6.1068400427809717</v>
      </c>
    </row>
    <row r="431" spans="1:57" x14ac:dyDescent="0.3">
      <c r="A431" s="2" t="s">
        <v>353</v>
      </c>
      <c r="B431" s="13" t="s">
        <v>834</v>
      </c>
      <c r="C431" s="13"/>
      <c r="D431" s="2"/>
      <c r="E431" s="2"/>
      <c r="F431" s="2">
        <v>3.55</v>
      </c>
      <c r="G431" s="2" t="s">
        <v>354</v>
      </c>
      <c r="H431" s="9">
        <v>-1</v>
      </c>
      <c r="I431">
        <v>-1</v>
      </c>
      <c r="K431" s="2"/>
      <c r="L431" s="2"/>
      <c r="M431" s="2"/>
      <c r="N431" s="23">
        <v>0</v>
      </c>
      <c r="O431" s="2">
        <v>3.8050000000000002</v>
      </c>
      <c r="P431" s="2">
        <v>3.8050000000000002</v>
      </c>
      <c r="Q431" s="2">
        <v>27.44</v>
      </c>
      <c r="R431" s="2" t="s">
        <v>1131</v>
      </c>
      <c r="S431" s="2"/>
      <c r="T431" s="23">
        <v>0</v>
      </c>
      <c r="U431" s="23"/>
      <c r="V431" s="23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O431">
        <v>20</v>
      </c>
      <c r="AP431" s="21">
        <v>0</v>
      </c>
      <c r="AQ431" s="21"/>
      <c r="AR431" s="28">
        <v>1.882352941176471</v>
      </c>
      <c r="AS431" s="28">
        <v>2.3529411764705879</v>
      </c>
      <c r="AT431" s="28">
        <v>0.47058823529411759</v>
      </c>
      <c r="AU431" s="28">
        <v>0</v>
      </c>
      <c r="AV431" s="28">
        <v>0.4</v>
      </c>
      <c r="AW431" s="28">
        <v>0.5</v>
      </c>
      <c r="AX431" s="28">
        <v>9.9999999999999992E-2</v>
      </c>
      <c r="AY431" s="28">
        <v>0</v>
      </c>
      <c r="AZ431" s="25">
        <v>1.1000000000000001</v>
      </c>
      <c r="BA431" s="25">
        <v>3.44</v>
      </c>
      <c r="BB431" s="25">
        <v>2.34</v>
      </c>
      <c r="BC431" s="25">
        <v>2.6835294117647059</v>
      </c>
      <c r="BD431">
        <v>2.6835294117647059</v>
      </c>
      <c r="BE431">
        <v>6.2493398705707062</v>
      </c>
    </row>
    <row r="432" spans="1:57" s="2" customFormat="1" x14ac:dyDescent="0.3">
      <c r="A432" s="2" t="s">
        <v>142</v>
      </c>
      <c r="B432" s="34" t="s">
        <v>766</v>
      </c>
      <c r="C432" s="34"/>
      <c r="F432" s="2">
        <v>4.3600000000000003</v>
      </c>
      <c r="G432" s="2" t="s">
        <v>357</v>
      </c>
      <c r="H432" s="35">
        <v>-1</v>
      </c>
      <c r="I432" s="2">
        <v>-1</v>
      </c>
      <c r="J432" s="2" t="s">
        <v>1164</v>
      </c>
      <c r="N432" s="29">
        <v>0</v>
      </c>
      <c r="O432" s="2">
        <v>3.89</v>
      </c>
      <c r="P432" s="2">
        <v>3.89</v>
      </c>
      <c r="Q432" s="2">
        <v>10.48</v>
      </c>
      <c r="R432" s="2" t="s">
        <v>440</v>
      </c>
      <c r="T432" s="29">
        <v>0</v>
      </c>
      <c r="AO432" s="2">
        <v>14</v>
      </c>
      <c r="AP432" s="29">
        <v>0</v>
      </c>
      <c r="AR432" s="2">
        <v>1.9090909090909089</v>
      </c>
      <c r="AS432" s="2">
        <v>2.545454545454545</v>
      </c>
      <c r="AT432" s="2">
        <v>0.54545454545454541</v>
      </c>
      <c r="AU432" s="2">
        <v>2.9090909090909092</v>
      </c>
      <c r="AV432" s="2">
        <v>0.2413793103448276</v>
      </c>
      <c r="AW432" s="2">
        <v>0.32183908045977011</v>
      </c>
      <c r="AX432" s="2">
        <v>6.8965517241379309E-2</v>
      </c>
      <c r="AY432" s="2">
        <v>0.36781609195402298</v>
      </c>
      <c r="AZ432" s="29">
        <v>1.1399999999999999</v>
      </c>
      <c r="BA432" s="29">
        <v>3.44</v>
      </c>
      <c r="BB432" s="29">
        <v>2.2999999999999998</v>
      </c>
      <c r="BC432" s="29">
        <v>2.7654545454545452</v>
      </c>
      <c r="BD432" s="2">
        <v>2.7654545454545461</v>
      </c>
      <c r="BE432" s="2">
        <v>6.4215922727137267</v>
      </c>
    </row>
    <row r="433" spans="1:57" x14ac:dyDescent="0.3">
      <c r="A433" s="2" t="s">
        <v>355</v>
      </c>
      <c r="B433" s="13" t="s">
        <v>835</v>
      </c>
      <c r="C433" s="13"/>
      <c r="D433" s="2"/>
      <c r="E433" s="2"/>
      <c r="F433" s="2">
        <v>4.49</v>
      </c>
      <c r="G433" s="2" t="s">
        <v>357</v>
      </c>
      <c r="H433" s="9">
        <v>-1</v>
      </c>
      <c r="I433">
        <v>-1</v>
      </c>
      <c r="J433" t="s">
        <v>1180</v>
      </c>
      <c r="K433" s="2"/>
      <c r="L433" s="2"/>
      <c r="M433" s="2"/>
      <c r="N433" s="23">
        <v>0</v>
      </c>
      <c r="O433" s="2">
        <v>-1</v>
      </c>
      <c r="P433" s="2"/>
      <c r="Q433" s="2"/>
      <c r="R433" s="2"/>
      <c r="S433" s="2"/>
      <c r="T433" s="23">
        <v>0</v>
      </c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O433">
        <v>14</v>
      </c>
      <c r="AP433" s="21">
        <v>0</v>
      </c>
      <c r="AR433" s="28">
        <v>1.9090909090909089</v>
      </c>
      <c r="AS433" s="28">
        <v>2.545454545454545</v>
      </c>
      <c r="AT433" s="28">
        <v>0.54545454545454541</v>
      </c>
      <c r="AU433" s="28">
        <v>2.9090909090909092</v>
      </c>
      <c r="AV433" s="28">
        <v>0.2413793103448276</v>
      </c>
      <c r="AW433" s="28">
        <v>0.32183908045977011</v>
      </c>
      <c r="AX433" s="28">
        <v>6.8965517241379309E-2</v>
      </c>
      <c r="AY433" s="28">
        <v>0.36781609195402298</v>
      </c>
      <c r="AZ433" s="25">
        <v>0.98</v>
      </c>
      <c r="BA433" s="25">
        <v>3.44</v>
      </c>
      <c r="BB433" s="25">
        <v>2.46</v>
      </c>
      <c r="BC433" s="25">
        <v>2.6545454545454539</v>
      </c>
      <c r="BD433">
        <v>2.6545454545454539</v>
      </c>
      <c r="BE433">
        <v>6.0423528007272722</v>
      </c>
    </row>
    <row r="434" spans="1:57" x14ac:dyDescent="0.3">
      <c r="A434" s="2" t="s">
        <v>143</v>
      </c>
      <c r="B434" s="13" t="s">
        <v>767</v>
      </c>
      <c r="C434" s="13"/>
      <c r="D434" s="2"/>
      <c r="E434" s="2"/>
      <c r="F434" s="2">
        <v>4.38</v>
      </c>
      <c r="G434" s="2" t="s">
        <v>357</v>
      </c>
      <c r="H434" s="9">
        <v>-1</v>
      </c>
      <c r="I434">
        <v>-1</v>
      </c>
      <c r="J434" t="s">
        <v>1181</v>
      </c>
      <c r="K434" s="2"/>
      <c r="L434" s="2"/>
      <c r="M434" s="2"/>
      <c r="N434" s="23">
        <v>0</v>
      </c>
      <c r="O434" s="2">
        <v>-1</v>
      </c>
      <c r="P434" s="2"/>
      <c r="Q434" s="2">
        <v>21.024000000000001</v>
      </c>
      <c r="R434" s="2"/>
      <c r="S434" s="2"/>
      <c r="T434" s="23">
        <v>0</v>
      </c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O434">
        <v>14</v>
      </c>
      <c r="AP434" s="21">
        <v>0</v>
      </c>
      <c r="AR434" s="28">
        <v>1.9090909090909089</v>
      </c>
      <c r="AS434" s="28">
        <v>2.545454545454545</v>
      </c>
      <c r="AT434" s="28">
        <v>0.54545454545454541</v>
      </c>
      <c r="AU434" s="28">
        <v>2.9090909090909092</v>
      </c>
      <c r="AV434" s="28">
        <v>0.2413793103448276</v>
      </c>
      <c r="AW434" s="28">
        <v>0.32183908045977011</v>
      </c>
      <c r="AX434" s="28">
        <v>6.8965517241379309E-2</v>
      </c>
      <c r="AY434" s="28">
        <v>0.36781609195402298</v>
      </c>
      <c r="AZ434" s="25">
        <v>0.93</v>
      </c>
      <c r="BA434" s="25">
        <v>3.44</v>
      </c>
      <c r="BB434" s="25">
        <v>2.5099999999999998</v>
      </c>
      <c r="BC434" s="25">
        <v>2.65</v>
      </c>
      <c r="BD434">
        <v>2.649999999999999</v>
      </c>
      <c r="BE434">
        <v>6.0276818459090906</v>
      </c>
    </row>
    <row r="435" spans="1:57" x14ac:dyDescent="0.3">
      <c r="A435" s="2" t="s">
        <v>356</v>
      </c>
      <c r="B435" s="13" t="s">
        <v>836</v>
      </c>
      <c r="C435" s="13"/>
      <c r="D435" s="2"/>
      <c r="E435" s="2"/>
      <c r="F435" s="2">
        <v>4.38</v>
      </c>
      <c r="G435" s="2" t="s">
        <v>357</v>
      </c>
      <c r="H435" s="9">
        <v>-1</v>
      </c>
      <c r="I435">
        <v>-1</v>
      </c>
      <c r="J435" t="s">
        <v>1182</v>
      </c>
      <c r="K435" s="2"/>
      <c r="L435" s="2"/>
      <c r="M435" s="2"/>
      <c r="N435" s="23">
        <v>0</v>
      </c>
      <c r="O435" s="2">
        <v>-1</v>
      </c>
      <c r="P435" s="2"/>
      <c r="Q435" s="2"/>
      <c r="R435" s="2"/>
      <c r="S435" s="2"/>
      <c r="T435" s="23">
        <v>0</v>
      </c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O435">
        <v>14</v>
      </c>
      <c r="AP435" s="21">
        <v>0</v>
      </c>
      <c r="AR435" s="28">
        <v>1.9090909090909089</v>
      </c>
      <c r="AS435" s="28">
        <v>2.545454545454545</v>
      </c>
      <c r="AT435" s="28">
        <v>0.54545454545454541</v>
      </c>
      <c r="AU435" s="28">
        <v>2.9090909090909092</v>
      </c>
      <c r="AV435" s="28">
        <v>0.2413793103448276</v>
      </c>
      <c r="AW435" s="28">
        <v>0.32183908045977011</v>
      </c>
      <c r="AX435" s="28">
        <v>6.8965517241379309E-2</v>
      </c>
      <c r="AY435" s="28">
        <v>0.36781609195402298</v>
      </c>
      <c r="AZ435" s="25">
        <v>0.82</v>
      </c>
      <c r="BA435" s="25">
        <v>3.44</v>
      </c>
      <c r="BB435" s="25">
        <v>2.62</v>
      </c>
      <c r="BC435" s="25">
        <v>2.64</v>
      </c>
      <c r="BD435">
        <v>2.64</v>
      </c>
      <c r="BE435">
        <v>5.9892781936363626</v>
      </c>
    </row>
    <row r="436" spans="1:57" x14ac:dyDescent="0.3">
      <c r="A436" s="2" t="s">
        <v>12</v>
      </c>
      <c r="B436" s="13" t="s">
        <v>697</v>
      </c>
      <c r="C436" s="13"/>
      <c r="D436" s="2"/>
      <c r="E436" s="2"/>
      <c r="F436" s="2">
        <v>4.54</v>
      </c>
      <c r="G436" s="2" t="s">
        <v>357</v>
      </c>
      <c r="H436" s="9">
        <v>-1</v>
      </c>
      <c r="I436">
        <v>-1</v>
      </c>
      <c r="J436" t="s">
        <v>1145</v>
      </c>
      <c r="K436" s="2"/>
      <c r="L436" s="2"/>
      <c r="M436" s="2"/>
      <c r="N436" s="23">
        <v>0</v>
      </c>
      <c r="O436" s="2">
        <v>-1</v>
      </c>
      <c r="P436" s="2"/>
      <c r="Q436" s="2"/>
      <c r="R436" s="2"/>
      <c r="S436" s="2"/>
      <c r="T436" s="23">
        <v>0</v>
      </c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O436">
        <v>14</v>
      </c>
      <c r="AP436" s="21">
        <v>0</v>
      </c>
      <c r="AR436" s="28">
        <v>1.9090909090909089</v>
      </c>
      <c r="AS436" s="28">
        <v>2.545454545454545</v>
      </c>
      <c r="AT436" s="28">
        <v>0.54545454545454541</v>
      </c>
      <c r="AU436" s="28">
        <v>2.9090909090909092</v>
      </c>
      <c r="AV436" s="28">
        <v>0.2413793103448276</v>
      </c>
      <c r="AW436" s="28">
        <v>0.32183908045977011</v>
      </c>
      <c r="AX436" s="28">
        <v>6.8965517241379309E-2</v>
      </c>
      <c r="AY436" s="28">
        <v>0.36781609195402298</v>
      </c>
      <c r="AZ436" s="25">
        <v>0.82</v>
      </c>
      <c r="BA436" s="25">
        <v>3.44</v>
      </c>
      <c r="BB436" s="25">
        <v>2.62</v>
      </c>
      <c r="BC436" s="25">
        <v>2.64</v>
      </c>
      <c r="BD436">
        <v>2.64</v>
      </c>
      <c r="BE436">
        <v>5.9811382595454541</v>
      </c>
    </row>
    <row r="437" spans="1:57" x14ac:dyDescent="0.3">
      <c r="A437" s="2" t="s">
        <v>144</v>
      </c>
      <c r="B437" s="13" t="s">
        <v>768</v>
      </c>
      <c r="C437" s="13"/>
      <c r="D437" s="2"/>
      <c r="E437" s="2"/>
      <c r="F437" s="2">
        <v>4.4000000000000004</v>
      </c>
      <c r="G437" s="2" t="s">
        <v>357</v>
      </c>
      <c r="H437" s="9">
        <v>-1</v>
      </c>
      <c r="I437">
        <v>-1</v>
      </c>
      <c r="J437" t="s">
        <v>1183</v>
      </c>
      <c r="K437" s="2"/>
      <c r="L437" s="2"/>
      <c r="M437" s="2"/>
      <c r="N437" s="23">
        <v>0</v>
      </c>
      <c r="O437" s="2">
        <v>-1</v>
      </c>
      <c r="P437" s="2"/>
      <c r="Q437" s="2"/>
      <c r="R437" s="2"/>
      <c r="S437" s="2"/>
      <c r="T437" s="23">
        <v>0</v>
      </c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O437">
        <v>14</v>
      </c>
      <c r="AP437" s="21">
        <v>0</v>
      </c>
      <c r="AR437" s="28">
        <v>1.9090909090909089</v>
      </c>
      <c r="AS437" s="28">
        <v>2.545454545454545</v>
      </c>
      <c r="AT437" s="28">
        <v>0.54545454545454541</v>
      </c>
      <c r="AU437" s="28">
        <v>2.9090909090909092</v>
      </c>
      <c r="AV437" s="28">
        <v>0.2413793103448276</v>
      </c>
      <c r="AW437" s="28">
        <v>0.32183908045977011</v>
      </c>
      <c r="AX437" s="28">
        <v>6.8965517241379309E-2</v>
      </c>
      <c r="AY437" s="28">
        <v>0.36781609195402298</v>
      </c>
      <c r="AZ437" s="25">
        <v>0.79</v>
      </c>
      <c r="BA437" s="25">
        <v>3.44</v>
      </c>
      <c r="BB437" s="25">
        <v>2.65</v>
      </c>
      <c r="BC437" s="25">
        <v>2.6372727272727272</v>
      </c>
      <c r="BD437">
        <v>2.6372727272727272</v>
      </c>
      <c r="BE437">
        <v>5.967615153519545</v>
      </c>
    </row>
    <row r="438" spans="1:57" x14ac:dyDescent="0.3">
      <c r="A438" s="2" t="s">
        <v>63</v>
      </c>
      <c r="B438" s="13" t="s">
        <v>773</v>
      </c>
      <c r="C438" s="13"/>
      <c r="D438" s="2"/>
      <c r="E438" s="2"/>
      <c r="F438" s="2">
        <v>3.5</v>
      </c>
      <c r="G438" s="2" t="s">
        <v>361</v>
      </c>
      <c r="H438" s="9">
        <v>-1</v>
      </c>
      <c r="I438">
        <v>-1</v>
      </c>
      <c r="K438" s="2"/>
      <c r="L438" s="2"/>
      <c r="M438" s="2"/>
      <c r="N438" s="23">
        <v>0</v>
      </c>
      <c r="O438" s="2">
        <v>3.82</v>
      </c>
      <c r="P438" s="2">
        <v>3.82</v>
      </c>
      <c r="Q438" s="2">
        <v>16</v>
      </c>
      <c r="R438" s="2" t="s">
        <v>519</v>
      </c>
      <c r="S438" s="2">
        <v>16</v>
      </c>
      <c r="T438" s="23">
        <v>0</v>
      </c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O438">
        <v>20</v>
      </c>
      <c r="AP438" s="21">
        <v>0</v>
      </c>
      <c r="AR438" s="28">
        <v>1.75</v>
      </c>
      <c r="AS438" s="28">
        <v>2.5</v>
      </c>
      <c r="AT438" s="28">
        <v>0.75</v>
      </c>
      <c r="AU438" s="28">
        <v>0</v>
      </c>
      <c r="AV438" s="28">
        <v>0.35</v>
      </c>
      <c r="AW438" s="28">
        <v>0.5</v>
      </c>
      <c r="AX438" s="28">
        <v>0.15</v>
      </c>
      <c r="AY438" s="28">
        <v>0</v>
      </c>
      <c r="AZ438" s="25">
        <v>1</v>
      </c>
      <c r="BA438" s="25">
        <v>3.44</v>
      </c>
      <c r="BB438" s="25">
        <v>2.44</v>
      </c>
      <c r="BC438" s="25">
        <v>2.7124999999999999</v>
      </c>
      <c r="BD438">
        <v>2.7124999999999999</v>
      </c>
      <c r="BE438">
        <v>6.264025610615688</v>
      </c>
    </row>
    <row r="439" spans="1:57" x14ac:dyDescent="0.3">
      <c r="A439" s="2" t="s">
        <v>366</v>
      </c>
      <c r="B439" s="18" t="s">
        <v>1024</v>
      </c>
      <c r="C439" s="13"/>
      <c r="D439" s="2"/>
      <c r="E439" s="2"/>
      <c r="F439" s="2">
        <v>3.62</v>
      </c>
      <c r="G439" s="2" t="s">
        <v>361</v>
      </c>
      <c r="H439" s="9">
        <v>-1</v>
      </c>
      <c r="I439">
        <v>-1</v>
      </c>
      <c r="K439" s="2"/>
      <c r="L439" s="2"/>
      <c r="M439" s="2"/>
      <c r="N439" s="23">
        <v>0</v>
      </c>
      <c r="O439" s="2">
        <v>3.86</v>
      </c>
      <c r="P439" s="2">
        <v>3.86</v>
      </c>
      <c r="Q439" s="2">
        <v>25.4</v>
      </c>
      <c r="R439" s="2" t="s">
        <v>519</v>
      </c>
      <c r="S439" s="2">
        <v>25.4</v>
      </c>
      <c r="T439" s="23">
        <v>0</v>
      </c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O439">
        <v>20</v>
      </c>
      <c r="AP439" s="21">
        <v>0</v>
      </c>
      <c r="AR439" s="28">
        <v>1.53125</v>
      </c>
      <c r="AS439" s="28">
        <v>1.59375</v>
      </c>
      <c r="AT439" s="28">
        <v>0.375</v>
      </c>
      <c r="AU439" s="28">
        <v>0</v>
      </c>
      <c r="AV439" s="28">
        <v>0.4375</v>
      </c>
      <c r="AW439" s="28">
        <v>0.45535714285714279</v>
      </c>
      <c r="AX439" s="28">
        <v>0.1071428571428571</v>
      </c>
      <c r="AY439" s="28">
        <v>0</v>
      </c>
      <c r="AZ439" s="25">
        <v>1</v>
      </c>
      <c r="BA439" s="25">
        <v>3.44</v>
      </c>
      <c r="BB439" s="25">
        <v>2.44</v>
      </c>
      <c r="BC439" s="25">
        <v>2.5262500000000001</v>
      </c>
      <c r="BD439">
        <v>2.5262500000000001</v>
      </c>
      <c r="BE439">
        <v>6.6075924153816246</v>
      </c>
    </row>
    <row r="440" spans="1:57" x14ac:dyDescent="0.3">
      <c r="A440" s="2" t="s">
        <v>347</v>
      </c>
      <c r="B440" s="18" t="s">
        <v>1025</v>
      </c>
      <c r="C440" s="13"/>
      <c r="D440" s="2"/>
      <c r="E440" s="2"/>
      <c r="F440" s="2">
        <v>3.5</v>
      </c>
      <c r="G440" s="2" t="s">
        <v>361</v>
      </c>
      <c r="H440" s="9">
        <v>-1</v>
      </c>
      <c r="I440">
        <v>-1</v>
      </c>
      <c r="K440" s="2"/>
      <c r="L440" s="2"/>
      <c r="M440" s="2"/>
      <c r="N440" s="23">
        <v>0</v>
      </c>
      <c r="O440" s="2">
        <v>3.86</v>
      </c>
      <c r="P440" s="2">
        <v>3.86</v>
      </c>
      <c r="Q440" s="2">
        <v>35.799999999999997</v>
      </c>
      <c r="R440" s="2" t="s">
        <v>519</v>
      </c>
      <c r="S440" s="2">
        <v>17.899999999999999</v>
      </c>
      <c r="T440" s="23">
        <v>0</v>
      </c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O440">
        <v>22</v>
      </c>
      <c r="AP440" s="21">
        <v>0</v>
      </c>
      <c r="AR440" s="28">
        <v>1.6</v>
      </c>
      <c r="AS440" s="28">
        <v>1.92</v>
      </c>
      <c r="AT440" s="28">
        <v>0.48</v>
      </c>
      <c r="AU440" s="28">
        <v>0</v>
      </c>
      <c r="AV440" s="28">
        <v>0.4</v>
      </c>
      <c r="AW440" s="28">
        <v>0.48</v>
      </c>
      <c r="AX440" s="28">
        <v>0.12</v>
      </c>
      <c r="AY440" s="28">
        <v>0</v>
      </c>
      <c r="AZ440" s="25">
        <v>1</v>
      </c>
      <c r="BA440" s="25">
        <v>3.44</v>
      </c>
      <c r="BB440" s="25">
        <v>2.44</v>
      </c>
      <c r="BC440" s="25">
        <v>2.6055999999999999</v>
      </c>
      <c r="BD440">
        <v>2.6055999999999999</v>
      </c>
      <c r="BE440">
        <v>6.5338195732382802</v>
      </c>
    </row>
    <row r="441" spans="1:57" x14ac:dyDescent="0.3">
      <c r="A441" s="2" t="s">
        <v>358</v>
      </c>
      <c r="B441" s="13" t="s">
        <v>837</v>
      </c>
      <c r="C441" s="13"/>
      <c r="D441" s="2"/>
      <c r="E441" s="2"/>
      <c r="F441" s="2">
        <v>3.44</v>
      </c>
      <c r="G441" s="2" t="s">
        <v>361</v>
      </c>
      <c r="H441" s="9">
        <v>-1</v>
      </c>
      <c r="I441">
        <v>-1</v>
      </c>
      <c r="K441" s="2"/>
      <c r="L441" s="2"/>
      <c r="M441" s="2"/>
      <c r="N441" s="23">
        <v>0</v>
      </c>
      <c r="O441" s="2">
        <v>3.79</v>
      </c>
      <c r="P441" s="2">
        <v>3.79</v>
      </c>
      <c r="Q441" s="2">
        <v>27.2</v>
      </c>
      <c r="R441" s="2" t="s">
        <v>519</v>
      </c>
      <c r="S441" s="2">
        <v>13.6</v>
      </c>
      <c r="T441" s="23">
        <v>0</v>
      </c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O441">
        <v>20</v>
      </c>
      <c r="AP441" s="21">
        <v>0</v>
      </c>
      <c r="AR441" s="28">
        <v>1.9375</v>
      </c>
      <c r="AS441" s="28">
        <v>2.5</v>
      </c>
      <c r="AT441" s="28">
        <v>0.5</v>
      </c>
      <c r="AU441" s="28">
        <v>0</v>
      </c>
      <c r="AV441" s="28">
        <v>0.39240506329113922</v>
      </c>
      <c r="AW441" s="28">
        <v>0.50632911392405067</v>
      </c>
      <c r="AX441" s="28">
        <v>0.1012658227848101</v>
      </c>
      <c r="AY441" s="28">
        <v>0</v>
      </c>
      <c r="AZ441" s="25">
        <v>1.1000000000000001</v>
      </c>
      <c r="BA441" s="25">
        <v>3.44</v>
      </c>
      <c r="BB441" s="25">
        <v>2.34</v>
      </c>
      <c r="BC441" s="25">
        <v>2.7137500000000001</v>
      </c>
      <c r="BD441">
        <v>2.7137500000000001</v>
      </c>
      <c r="BE441">
        <v>6.1913913437406878</v>
      </c>
    </row>
    <row r="442" spans="1:57" x14ac:dyDescent="0.3">
      <c r="A442" s="2" t="s">
        <v>359</v>
      </c>
      <c r="B442" s="18" t="s">
        <v>1026</v>
      </c>
      <c r="C442" s="13"/>
      <c r="D442" s="2"/>
      <c r="E442" s="2"/>
      <c r="F442" s="2">
        <v>3.39</v>
      </c>
      <c r="G442" s="2" t="s">
        <v>361</v>
      </c>
      <c r="H442" s="9">
        <v>-1</v>
      </c>
      <c r="I442">
        <v>-1</v>
      </c>
      <c r="K442" s="2"/>
      <c r="L442" s="2"/>
      <c r="M442" s="2"/>
      <c r="N442" s="23">
        <v>0</v>
      </c>
      <c r="O442" s="2">
        <v>3.82</v>
      </c>
      <c r="P442" s="2">
        <v>3.82</v>
      </c>
      <c r="Q442" s="2">
        <v>20.2</v>
      </c>
      <c r="R442" s="2" t="s">
        <v>519</v>
      </c>
      <c r="S442" s="2">
        <v>20.2</v>
      </c>
      <c r="T442" s="23">
        <v>0</v>
      </c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O442">
        <v>20</v>
      </c>
      <c r="AP442" s="21">
        <v>0</v>
      </c>
      <c r="AR442" s="28">
        <v>1.6923076923076921</v>
      </c>
      <c r="AS442" s="28">
        <v>1.8076923076923079</v>
      </c>
      <c r="AT442" s="28">
        <v>0.30769230769230771</v>
      </c>
      <c r="AU442" s="28">
        <v>0</v>
      </c>
      <c r="AV442" s="28">
        <v>0.44444444444444448</v>
      </c>
      <c r="AW442" s="28">
        <v>0.47474747474747481</v>
      </c>
      <c r="AX442" s="28">
        <v>8.0808080808080815E-2</v>
      </c>
      <c r="AY442" s="28">
        <v>0</v>
      </c>
      <c r="AZ442" s="25">
        <v>1.1000000000000001</v>
      </c>
      <c r="BA442" s="25">
        <v>3.44</v>
      </c>
      <c r="BB442" s="25">
        <v>2.34</v>
      </c>
      <c r="BC442" s="25">
        <v>2.5753846153846158</v>
      </c>
      <c r="BD442">
        <v>2.5753846153846149</v>
      </c>
      <c r="BE442">
        <v>6.5020131619541548</v>
      </c>
    </row>
    <row r="443" spans="1:57" x14ac:dyDescent="0.3">
      <c r="A443" s="2" t="s">
        <v>360</v>
      </c>
      <c r="B443" s="18" t="s">
        <v>1027</v>
      </c>
      <c r="C443" s="13"/>
      <c r="D443" s="2"/>
      <c r="E443" s="2"/>
      <c r="F443" s="2">
        <v>3.41</v>
      </c>
      <c r="G443" s="2" t="s">
        <v>361</v>
      </c>
      <c r="H443" s="9">
        <v>-1</v>
      </c>
      <c r="I443">
        <v>-1</v>
      </c>
      <c r="K443" s="2"/>
      <c r="L443" s="2"/>
      <c r="M443" s="2"/>
      <c r="N443" s="23">
        <v>0</v>
      </c>
      <c r="O443" s="2">
        <v>3.83</v>
      </c>
      <c r="P443" s="2">
        <v>3.83</v>
      </c>
      <c r="Q443" s="2">
        <v>39.5</v>
      </c>
      <c r="R443" s="2" t="s">
        <v>519</v>
      </c>
      <c r="S443" s="2">
        <v>19.8</v>
      </c>
      <c r="T443" s="23">
        <v>0</v>
      </c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O443">
        <v>22</v>
      </c>
      <c r="AP443" s="21">
        <v>0</v>
      </c>
      <c r="AR443" s="28">
        <v>1.72</v>
      </c>
      <c r="AS443" s="28">
        <v>1.92</v>
      </c>
      <c r="AT443" s="28">
        <v>0.32</v>
      </c>
      <c r="AU443" s="28">
        <v>0</v>
      </c>
      <c r="AV443" s="28">
        <v>0.43434343434343442</v>
      </c>
      <c r="AW443" s="28">
        <v>0.48484848484848492</v>
      </c>
      <c r="AX443" s="28">
        <v>8.0808080808080815E-2</v>
      </c>
      <c r="AY443" s="28">
        <v>0</v>
      </c>
      <c r="AZ443" s="25">
        <v>1.1000000000000001</v>
      </c>
      <c r="BA443" s="25">
        <v>3.44</v>
      </c>
      <c r="BB443" s="25">
        <v>2.34</v>
      </c>
      <c r="BC443" s="25">
        <v>2.6063999999999998</v>
      </c>
      <c r="BD443">
        <v>2.6063999999999998</v>
      </c>
      <c r="BE443">
        <v>6.4873336424382799</v>
      </c>
    </row>
    <row r="444" spans="1:57" s="5" customFormat="1" x14ac:dyDescent="0.3">
      <c r="A444" s="2" t="s">
        <v>63</v>
      </c>
      <c r="B444" s="34" t="s">
        <v>773</v>
      </c>
      <c r="C444" s="34"/>
      <c r="D444" s="2"/>
      <c r="E444" s="2"/>
      <c r="F444" s="2">
        <v>3.49</v>
      </c>
      <c r="G444" s="2" t="s">
        <v>362</v>
      </c>
      <c r="H444" s="35">
        <v>-1</v>
      </c>
      <c r="I444" s="2">
        <v>-1</v>
      </c>
      <c r="J444" s="2"/>
      <c r="K444" s="2"/>
      <c r="L444" s="2"/>
      <c r="M444" s="2"/>
      <c r="N444" s="29">
        <v>0</v>
      </c>
      <c r="O444" s="2">
        <v>3.8531</v>
      </c>
      <c r="P444" s="2">
        <v>3.8531</v>
      </c>
      <c r="Q444" s="2">
        <v>16.2151</v>
      </c>
      <c r="R444" s="2" t="s">
        <v>519</v>
      </c>
      <c r="T444" s="41">
        <v>0</v>
      </c>
      <c r="AO444" s="5">
        <v>20</v>
      </c>
      <c r="AP444" s="41">
        <v>0</v>
      </c>
      <c r="AR444" s="5">
        <v>1.75</v>
      </c>
      <c r="AS444" s="5">
        <v>2.5</v>
      </c>
      <c r="AT444" s="5">
        <v>0.75</v>
      </c>
      <c r="AU444" s="5">
        <v>0</v>
      </c>
      <c r="AV444" s="5">
        <v>0.35</v>
      </c>
      <c r="AW444" s="5">
        <v>0.5</v>
      </c>
      <c r="AX444" s="5">
        <v>0.15</v>
      </c>
      <c r="AY444" s="5">
        <v>0</v>
      </c>
      <c r="AZ444" s="41">
        <v>1</v>
      </c>
      <c r="BA444" s="41">
        <v>3.44</v>
      </c>
      <c r="BB444" s="41">
        <v>2.44</v>
      </c>
      <c r="BC444" s="41">
        <v>2.7124999999999999</v>
      </c>
      <c r="BD444" s="5">
        <v>2.7124999999999999</v>
      </c>
      <c r="BE444" s="5">
        <v>6.264025610615688</v>
      </c>
    </row>
    <row r="445" spans="1:57" s="5" customFormat="1" x14ac:dyDescent="0.3">
      <c r="A445" s="2" t="s">
        <v>363</v>
      </c>
      <c r="B445" s="48" t="s">
        <v>1028</v>
      </c>
      <c r="C445" s="34"/>
      <c r="D445" s="2"/>
      <c r="E445" s="2"/>
      <c r="F445" s="2">
        <v>3.56</v>
      </c>
      <c r="G445" s="2" t="s">
        <v>362</v>
      </c>
      <c r="H445" s="35">
        <v>-1</v>
      </c>
      <c r="I445" s="2">
        <v>-1</v>
      </c>
      <c r="J445" s="2"/>
      <c r="K445" s="2"/>
      <c r="L445" s="2"/>
      <c r="M445" s="2"/>
      <c r="N445" s="29">
        <v>0</v>
      </c>
      <c r="O445" s="2">
        <v>3.86</v>
      </c>
      <c r="P445" s="2">
        <v>3.86</v>
      </c>
      <c r="Q445" s="2">
        <v>16.079999999999998</v>
      </c>
      <c r="R445" s="2" t="s">
        <v>519</v>
      </c>
      <c r="T445" s="41">
        <v>0</v>
      </c>
      <c r="AO445" s="5">
        <v>20</v>
      </c>
      <c r="AP445" s="41">
        <v>0</v>
      </c>
      <c r="AR445" s="5">
        <v>1.5909090909090911</v>
      </c>
      <c r="AS445" s="5">
        <v>1.9090909090909089</v>
      </c>
      <c r="AT445" s="5">
        <v>0.54545454545454541</v>
      </c>
      <c r="AU445" s="5">
        <v>0</v>
      </c>
      <c r="AV445" s="5">
        <v>0.3932584269662921</v>
      </c>
      <c r="AW445" s="5">
        <v>0.47191011235955049</v>
      </c>
      <c r="AX445" s="5">
        <v>0.1348314606741573</v>
      </c>
      <c r="AY445" s="5">
        <v>0</v>
      </c>
      <c r="AZ445" s="41">
        <v>1</v>
      </c>
      <c r="BA445" s="41">
        <v>3.44</v>
      </c>
      <c r="BB445" s="41">
        <v>2.44</v>
      </c>
      <c r="BC445" s="41">
        <v>2.5886363636363638</v>
      </c>
      <c r="BD445" s="5">
        <v>2.588636363636363</v>
      </c>
      <c r="BE445" s="5">
        <v>6.4712814579593632</v>
      </c>
    </row>
    <row r="446" spans="1:57" s="5" customFormat="1" x14ac:dyDescent="0.3">
      <c r="A446" s="2" t="s">
        <v>364</v>
      </c>
      <c r="B446" s="48" t="s">
        <v>1029</v>
      </c>
      <c r="C446" s="34"/>
      <c r="D446" s="2"/>
      <c r="E446" s="2"/>
      <c r="F446" s="2">
        <v>3.6</v>
      </c>
      <c r="G446" s="2" t="s">
        <v>362</v>
      </c>
      <c r="H446" s="35">
        <v>-1</v>
      </c>
      <c r="I446" s="2">
        <v>-1</v>
      </c>
      <c r="J446" s="2"/>
      <c r="K446" s="2"/>
      <c r="L446" s="2"/>
      <c r="M446" s="2"/>
      <c r="N446" s="29">
        <v>0</v>
      </c>
      <c r="O446" s="2">
        <v>3.87</v>
      </c>
      <c r="P446" s="2">
        <v>3.87</v>
      </c>
      <c r="Q446" s="2">
        <v>20.49</v>
      </c>
      <c r="R446" s="2" t="s">
        <v>519</v>
      </c>
      <c r="T446" s="41">
        <v>0</v>
      </c>
      <c r="AO446" s="5">
        <v>20</v>
      </c>
      <c r="AP446" s="41">
        <v>0</v>
      </c>
      <c r="AR446" s="5">
        <v>1.56</v>
      </c>
      <c r="AS446" s="5">
        <v>1.76</v>
      </c>
      <c r="AT446" s="5">
        <v>0.48</v>
      </c>
      <c r="AU446" s="5">
        <v>0</v>
      </c>
      <c r="AV446" s="5">
        <v>0.41052631578947368</v>
      </c>
      <c r="AW446" s="5">
        <v>0.4631578947368421</v>
      </c>
      <c r="AX446" s="5">
        <v>0.12631578947368419</v>
      </c>
      <c r="AY446" s="5">
        <v>0</v>
      </c>
      <c r="AZ446" s="41">
        <v>1</v>
      </c>
      <c r="BA446" s="41">
        <v>3.44</v>
      </c>
      <c r="BB446" s="41">
        <v>2.44</v>
      </c>
      <c r="BC446" s="41">
        <v>2.556</v>
      </c>
      <c r="BD446" s="5">
        <v>2.556</v>
      </c>
      <c r="BE446" s="5">
        <v>6.5192970192323214</v>
      </c>
    </row>
    <row r="447" spans="1:57" s="5" customFormat="1" x14ac:dyDescent="0.3">
      <c r="A447" s="2" t="s">
        <v>365</v>
      </c>
      <c r="B447" s="48" t="s">
        <v>1030</v>
      </c>
      <c r="C447" s="34"/>
      <c r="D447" s="2"/>
      <c r="E447" s="2"/>
      <c r="F447" s="2">
        <v>3.55</v>
      </c>
      <c r="G447" s="2" t="s">
        <v>362</v>
      </c>
      <c r="H447" s="35">
        <v>-1</v>
      </c>
      <c r="I447" s="2">
        <v>-1</v>
      </c>
      <c r="J447" s="2"/>
      <c r="K447" s="2"/>
      <c r="L447" s="2"/>
      <c r="M447" s="2"/>
      <c r="N447" s="29">
        <v>0</v>
      </c>
      <c r="O447" s="2">
        <v>3.87</v>
      </c>
      <c r="P447" s="2">
        <v>3.87</v>
      </c>
      <c r="Q447" s="2">
        <v>22.22</v>
      </c>
      <c r="R447" s="2" t="s">
        <v>519</v>
      </c>
      <c r="T447" s="41">
        <v>0</v>
      </c>
      <c r="AO447" s="5">
        <v>20</v>
      </c>
      <c r="AP447" s="41">
        <v>0</v>
      </c>
      <c r="AR447" s="5">
        <v>1.535714285714286</v>
      </c>
      <c r="AS447" s="5">
        <v>1.642857142857143</v>
      </c>
      <c r="AT447" s="5">
        <v>0.42857142857142849</v>
      </c>
      <c r="AU447" s="5">
        <v>0</v>
      </c>
      <c r="AV447" s="5">
        <v>0.42574257425742579</v>
      </c>
      <c r="AW447" s="5">
        <v>0.45544554455445541</v>
      </c>
      <c r="AX447" s="5">
        <v>0.11881188118811881</v>
      </c>
      <c r="AY447" s="5">
        <v>0</v>
      </c>
      <c r="AZ447" s="41">
        <v>1</v>
      </c>
      <c r="BA447" s="41">
        <v>3.44</v>
      </c>
      <c r="BB447" s="41">
        <v>2.44</v>
      </c>
      <c r="BC447" s="41">
        <v>2.530357142857143</v>
      </c>
      <c r="BD447" s="5">
        <v>2.530357142857143</v>
      </c>
      <c r="BE447" s="5">
        <v>6.5570235316610717</v>
      </c>
    </row>
    <row r="448" spans="1:57" s="5" customFormat="1" x14ac:dyDescent="0.3">
      <c r="A448" s="2" t="s">
        <v>366</v>
      </c>
      <c r="B448" s="48" t="s">
        <v>1031</v>
      </c>
      <c r="C448" s="34"/>
      <c r="D448" s="2"/>
      <c r="E448" s="2"/>
      <c r="F448" s="2">
        <v>3.62</v>
      </c>
      <c r="G448" s="2" t="s">
        <v>362</v>
      </c>
      <c r="H448" s="35">
        <v>-1</v>
      </c>
      <c r="I448" s="2">
        <v>-1</v>
      </c>
      <c r="J448" s="2"/>
      <c r="K448" s="2"/>
      <c r="L448" s="2"/>
      <c r="M448" s="2"/>
      <c r="N448" s="29">
        <v>0</v>
      </c>
      <c r="O448" s="2">
        <v>3.86</v>
      </c>
      <c r="P448" s="2">
        <v>3.86</v>
      </c>
      <c r="Q448" s="2">
        <v>25.35</v>
      </c>
      <c r="R448" s="2" t="s">
        <v>519</v>
      </c>
      <c r="T448" s="41">
        <v>0</v>
      </c>
      <c r="AO448" s="5">
        <v>20</v>
      </c>
      <c r="AP448" s="41">
        <v>0</v>
      </c>
      <c r="AR448" s="5">
        <v>1.5161290322580649</v>
      </c>
      <c r="AS448" s="5">
        <v>1.5483870967741939</v>
      </c>
      <c r="AT448" s="5">
        <v>0.38709677419354838</v>
      </c>
      <c r="AU448" s="5">
        <v>0</v>
      </c>
      <c r="AV448" s="5">
        <v>0.43925233644859812</v>
      </c>
      <c r="AW448" s="5">
        <v>0.44859813084112149</v>
      </c>
      <c r="AX448" s="5">
        <v>0.1121495327102804</v>
      </c>
      <c r="AY448" s="5">
        <v>0</v>
      </c>
      <c r="AZ448" s="41">
        <v>1</v>
      </c>
      <c r="BA448" s="41">
        <v>3.44</v>
      </c>
      <c r="BB448" s="41">
        <v>2.44</v>
      </c>
      <c r="BC448" s="41">
        <v>2.5096774193548388</v>
      </c>
      <c r="BD448" s="5">
        <v>2.5096774193548388</v>
      </c>
      <c r="BE448" s="5">
        <v>6.587448138458452</v>
      </c>
    </row>
    <row r="449" spans="1:57" s="5" customFormat="1" x14ac:dyDescent="0.3">
      <c r="A449" s="2" t="s">
        <v>367</v>
      </c>
      <c r="B449" s="48" t="s">
        <v>1032</v>
      </c>
      <c r="C449" s="34"/>
      <c r="D449" s="2"/>
      <c r="E449" s="2"/>
      <c r="F449" s="2">
        <v>3.55</v>
      </c>
      <c r="G449" s="2" t="s">
        <v>362</v>
      </c>
      <c r="H449" s="35">
        <v>-1</v>
      </c>
      <c r="I449" s="2">
        <v>-1</v>
      </c>
      <c r="J449" s="2"/>
      <c r="K449" s="2"/>
      <c r="L449" s="2"/>
      <c r="M449" s="2"/>
      <c r="N449" s="29">
        <v>0</v>
      </c>
      <c r="O449" s="2">
        <v>3.86</v>
      </c>
      <c r="P449" s="2">
        <v>3.86</v>
      </c>
      <c r="Q449" s="2">
        <v>29.53</v>
      </c>
      <c r="R449" s="2" t="s">
        <v>519</v>
      </c>
      <c r="T449" s="41">
        <v>0</v>
      </c>
      <c r="AO449" s="5">
        <v>20</v>
      </c>
      <c r="AP449" s="41">
        <v>0</v>
      </c>
      <c r="AR449" s="5">
        <v>1.486486486486486</v>
      </c>
      <c r="AS449" s="5">
        <v>1.405405405405405</v>
      </c>
      <c r="AT449" s="5">
        <v>0.32432432432432429</v>
      </c>
      <c r="AU449" s="5">
        <v>0</v>
      </c>
      <c r="AV449" s="5">
        <v>0.4621848739495798</v>
      </c>
      <c r="AW449" s="5">
        <v>0.43697478991596639</v>
      </c>
      <c r="AX449" s="5">
        <v>0.1008403361344538</v>
      </c>
      <c r="AY449" s="5">
        <v>0</v>
      </c>
      <c r="AZ449" s="41">
        <v>1</v>
      </c>
      <c r="BA449" s="41">
        <v>3.44</v>
      </c>
      <c r="BB449" s="41">
        <v>2.44</v>
      </c>
      <c r="BC449" s="41">
        <v>2.4783783783783782</v>
      </c>
      <c r="BD449" s="5">
        <v>2.478378378378379</v>
      </c>
      <c r="BE449" s="5">
        <v>6.6334961919896216</v>
      </c>
    </row>
    <row r="450" spans="1:57" s="5" customFormat="1" x14ac:dyDescent="0.3">
      <c r="A450" s="2" t="s">
        <v>368</v>
      </c>
      <c r="B450" s="48" t="s">
        <v>1033</v>
      </c>
      <c r="C450" s="34"/>
      <c r="D450" s="2"/>
      <c r="E450" s="2"/>
      <c r="F450" s="2">
        <v>2.6</v>
      </c>
      <c r="G450" s="2" t="s">
        <v>362</v>
      </c>
      <c r="H450" s="35">
        <v>-1</v>
      </c>
      <c r="I450" s="2">
        <v>-1</v>
      </c>
      <c r="J450" s="2"/>
      <c r="K450" s="2"/>
      <c r="L450" s="2"/>
      <c r="M450" s="2"/>
      <c r="N450" s="29">
        <v>0</v>
      </c>
      <c r="O450" s="2">
        <v>3.86</v>
      </c>
      <c r="P450" s="2">
        <v>3.86</v>
      </c>
      <c r="Q450" s="2">
        <v>33.53</v>
      </c>
      <c r="R450" s="2" t="s">
        <v>519</v>
      </c>
      <c r="T450" s="41">
        <v>0</v>
      </c>
      <c r="AO450" s="5">
        <v>20</v>
      </c>
      <c r="AP450" s="41">
        <v>0</v>
      </c>
      <c r="AR450" s="5">
        <v>1.4651162790697669</v>
      </c>
      <c r="AS450" s="5">
        <v>1.3023255813953489</v>
      </c>
      <c r="AT450" s="5">
        <v>0.27906976744186052</v>
      </c>
      <c r="AU450" s="5">
        <v>0</v>
      </c>
      <c r="AV450" s="5">
        <v>0.48091603053435111</v>
      </c>
      <c r="AW450" s="5">
        <v>0.4274809160305344</v>
      </c>
      <c r="AX450" s="5">
        <v>9.1603053435114504E-2</v>
      </c>
      <c r="AY450" s="5">
        <v>0</v>
      </c>
      <c r="AZ450" s="41">
        <v>1</v>
      </c>
      <c r="BA450" s="41">
        <v>3.44</v>
      </c>
      <c r="BB450" s="41">
        <v>2.44</v>
      </c>
      <c r="BC450" s="41">
        <v>2.4558139534883718</v>
      </c>
      <c r="BD450" s="5">
        <v>2.4558139534883718</v>
      </c>
      <c r="BE450" s="5">
        <v>6.6666936259306979</v>
      </c>
    </row>
    <row r="451" spans="1:57" x14ac:dyDescent="0.3">
      <c r="A451" s="2" t="s">
        <v>353</v>
      </c>
      <c r="B451" s="13" t="s">
        <v>834</v>
      </c>
      <c r="C451" s="13"/>
      <c r="D451" s="2"/>
      <c r="E451" s="2"/>
      <c r="F451" s="2">
        <v>3.44</v>
      </c>
      <c r="G451" s="2" t="s">
        <v>380</v>
      </c>
      <c r="H451" s="9">
        <v>-1</v>
      </c>
      <c r="I451">
        <v>-1</v>
      </c>
      <c r="K451" s="2"/>
      <c r="L451" s="2"/>
      <c r="M451" s="2"/>
      <c r="N451" s="23">
        <v>0</v>
      </c>
      <c r="O451" s="2">
        <v>3.79</v>
      </c>
      <c r="P451" s="2">
        <v>3.79</v>
      </c>
      <c r="Q451" s="2">
        <v>27.2</v>
      </c>
      <c r="R451" s="2" t="s">
        <v>519</v>
      </c>
      <c r="S451" s="2">
        <v>13.6</v>
      </c>
      <c r="T451" s="23">
        <v>0</v>
      </c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O451">
        <v>20</v>
      </c>
      <c r="AP451" s="21">
        <v>0</v>
      </c>
      <c r="AR451" s="28">
        <v>1.882352941176471</v>
      </c>
      <c r="AS451" s="28">
        <v>2.3529411764705879</v>
      </c>
      <c r="AT451" s="28">
        <v>0.47058823529411759</v>
      </c>
      <c r="AU451" s="28">
        <v>0</v>
      </c>
      <c r="AV451" s="28">
        <v>0.4</v>
      </c>
      <c r="AW451" s="28">
        <v>0.5</v>
      </c>
      <c r="AX451" s="28">
        <v>9.9999999999999992E-2</v>
      </c>
      <c r="AY451" s="28">
        <v>0</v>
      </c>
      <c r="AZ451" s="25">
        <v>1.1000000000000001</v>
      </c>
      <c r="BA451" s="25">
        <v>3.44</v>
      </c>
      <c r="BB451" s="25">
        <v>2.34</v>
      </c>
      <c r="BC451" s="25">
        <v>2.6835294117647059</v>
      </c>
      <c r="BD451">
        <v>2.6835294117647059</v>
      </c>
      <c r="BE451">
        <v>6.2493398705707062</v>
      </c>
    </row>
    <row r="452" spans="1:57" x14ac:dyDescent="0.3">
      <c r="A452" s="2" t="s">
        <v>369</v>
      </c>
      <c r="B452" s="18" t="s">
        <v>1034</v>
      </c>
      <c r="C452" s="13"/>
      <c r="D452" s="2"/>
      <c r="E452" s="2"/>
      <c r="F452" s="2">
        <v>3.34</v>
      </c>
      <c r="G452" s="2" t="s">
        <v>380</v>
      </c>
      <c r="H452" s="9">
        <v>-1</v>
      </c>
      <c r="I452">
        <v>-1</v>
      </c>
      <c r="K452" s="2"/>
      <c r="L452" s="2"/>
      <c r="M452" s="2"/>
      <c r="N452" s="23">
        <v>0</v>
      </c>
      <c r="O452" s="2">
        <v>3.83</v>
      </c>
      <c r="P452" s="2">
        <v>3.83</v>
      </c>
      <c r="Q452" s="2">
        <v>36.700000000000003</v>
      </c>
      <c r="R452" s="2" t="s">
        <v>519</v>
      </c>
      <c r="S452" s="2">
        <v>18.399999999999999</v>
      </c>
      <c r="T452" s="23">
        <v>0</v>
      </c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O452">
        <v>20</v>
      </c>
      <c r="AP452" s="21">
        <v>0</v>
      </c>
      <c r="AR452" s="28">
        <v>1.7391304347826091</v>
      </c>
      <c r="AS452" s="28">
        <v>1.956521739130435</v>
      </c>
      <c r="AT452" s="28">
        <v>0.34782608695652167</v>
      </c>
      <c r="AU452" s="28">
        <v>0</v>
      </c>
      <c r="AV452" s="28">
        <v>0.43010752688172038</v>
      </c>
      <c r="AW452" s="28">
        <v>0.48387096774193539</v>
      </c>
      <c r="AX452" s="28">
        <v>8.6021505376344079E-2</v>
      </c>
      <c r="AY452" s="28">
        <v>0</v>
      </c>
      <c r="AZ452" s="25">
        <v>1.1000000000000001</v>
      </c>
      <c r="BA452" s="25">
        <v>3.44</v>
      </c>
      <c r="BB452" s="25">
        <v>2.34</v>
      </c>
      <c r="BC452" s="25">
        <v>2.609130434782609</v>
      </c>
      <c r="BD452">
        <v>2.609130434782609</v>
      </c>
      <c r="BE452">
        <v>6.4538308176133041</v>
      </c>
    </row>
    <row r="453" spans="1:57" x14ac:dyDescent="0.3">
      <c r="A453" s="2" t="s">
        <v>370</v>
      </c>
      <c r="B453" s="18" t="s">
        <v>1026</v>
      </c>
      <c r="C453" s="13"/>
      <c r="D453" s="2"/>
      <c r="E453" s="2"/>
      <c r="F453" s="2">
        <v>3.39</v>
      </c>
      <c r="G453" s="2" t="s">
        <v>380</v>
      </c>
      <c r="H453" s="9">
        <v>-1</v>
      </c>
      <c r="I453">
        <v>-1</v>
      </c>
      <c r="K453" s="2"/>
      <c r="L453" s="2"/>
      <c r="M453" s="2"/>
      <c r="N453" s="23">
        <v>0</v>
      </c>
      <c r="O453" s="2">
        <v>3.82</v>
      </c>
      <c r="P453" s="2">
        <v>3.82</v>
      </c>
      <c r="Q453" s="2">
        <v>20.2</v>
      </c>
      <c r="R453" s="2" t="s">
        <v>519</v>
      </c>
      <c r="S453" s="2">
        <v>20.2</v>
      </c>
      <c r="T453" s="23">
        <v>0</v>
      </c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O453">
        <v>20</v>
      </c>
      <c r="AP453" s="21">
        <v>0</v>
      </c>
      <c r="AR453" s="28">
        <v>1.6923076923076921</v>
      </c>
      <c r="AS453" s="28">
        <v>1.8076923076923079</v>
      </c>
      <c r="AT453" s="28">
        <v>0.30769230769230771</v>
      </c>
      <c r="AU453" s="28">
        <v>0</v>
      </c>
      <c r="AV453" s="28">
        <v>0.44444444444444448</v>
      </c>
      <c r="AW453" s="28">
        <v>0.47474747474747481</v>
      </c>
      <c r="AX453" s="28">
        <v>8.0808080808080815E-2</v>
      </c>
      <c r="AY453" s="28">
        <v>0</v>
      </c>
      <c r="AZ453" s="25">
        <v>1.1000000000000001</v>
      </c>
      <c r="BA453" s="25">
        <v>3.44</v>
      </c>
      <c r="BB453" s="25">
        <v>2.34</v>
      </c>
      <c r="BC453" s="25">
        <v>2.5753846153846158</v>
      </c>
      <c r="BD453">
        <v>2.5753846153846149</v>
      </c>
      <c r="BE453">
        <v>6.5020131619541548</v>
      </c>
    </row>
    <row r="454" spans="1:57" x14ac:dyDescent="0.3">
      <c r="A454" s="2" t="s">
        <v>371</v>
      </c>
      <c r="B454" s="18" t="s">
        <v>1035</v>
      </c>
      <c r="C454" s="13"/>
      <c r="D454" s="2"/>
      <c r="E454" s="2"/>
      <c r="F454" s="2">
        <v>3.4</v>
      </c>
      <c r="G454" s="2" t="s">
        <v>380</v>
      </c>
      <c r="H454" s="9">
        <v>-1</v>
      </c>
      <c r="I454">
        <v>-1</v>
      </c>
      <c r="K454" s="2"/>
      <c r="L454" s="2"/>
      <c r="M454" s="2"/>
      <c r="N454" s="23">
        <v>0</v>
      </c>
      <c r="O454" s="2">
        <v>3.82</v>
      </c>
      <c r="P454" s="2">
        <v>3.82</v>
      </c>
      <c r="Q454" s="2">
        <v>21.7</v>
      </c>
      <c r="R454" s="2" t="s">
        <v>519</v>
      </c>
      <c r="S454" s="2">
        <v>21.7</v>
      </c>
      <c r="T454" s="23">
        <v>0</v>
      </c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O454">
        <v>20</v>
      </c>
      <c r="AP454" s="21">
        <v>0</v>
      </c>
      <c r="AR454" s="28">
        <v>1.655172413793103</v>
      </c>
      <c r="AS454" s="28">
        <v>1.6896551724137929</v>
      </c>
      <c r="AT454" s="28">
        <v>0.27586206896551718</v>
      </c>
      <c r="AU454" s="28">
        <v>0</v>
      </c>
      <c r="AV454" s="28">
        <v>0.45714285714285707</v>
      </c>
      <c r="AW454" s="28">
        <v>0.46666666666666667</v>
      </c>
      <c r="AX454" s="28">
        <v>7.6190476190476197E-2</v>
      </c>
      <c r="AY454" s="28">
        <v>0</v>
      </c>
      <c r="AZ454" s="25">
        <v>1.1000000000000001</v>
      </c>
      <c r="BA454" s="25">
        <v>3.44</v>
      </c>
      <c r="BB454" s="25">
        <v>2.34</v>
      </c>
      <c r="BC454" s="25">
        <v>2.5486206896551722</v>
      </c>
      <c r="BD454">
        <v>2.5486206896551722</v>
      </c>
      <c r="BE454">
        <v>6.5402267453968976</v>
      </c>
    </row>
    <row r="455" spans="1:57" x14ac:dyDescent="0.3">
      <c r="A455" s="2" t="s">
        <v>372</v>
      </c>
      <c r="B455" s="18" t="s">
        <v>1036</v>
      </c>
      <c r="C455" s="13"/>
      <c r="D455" s="2"/>
      <c r="E455" s="2"/>
      <c r="F455" s="2">
        <v>3.42</v>
      </c>
      <c r="G455" s="2" t="s">
        <v>380</v>
      </c>
      <c r="H455" s="9">
        <v>-1</v>
      </c>
      <c r="I455">
        <v>-1</v>
      </c>
      <c r="K455" s="2"/>
      <c r="L455" s="2"/>
      <c r="M455" s="2"/>
      <c r="N455" s="23">
        <v>0</v>
      </c>
      <c r="O455" s="2">
        <v>3.81</v>
      </c>
      <c r="P455" s="2">
        <v>3.81</v>
      </c>
      <c r="Q455" s="2">
        <v>24.7</v>
      </c>
      <c r="R455" s="2" t="s">
        <v>519</v>
      </c>
      <c r="S455" s="2">
        <v>24.7</v>
      </c>
      <c r="T455" s="23">
        <v>0</v>
      </c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O455">
        <v>20</v>
      </c>
      <c r="AP455" s="21">
        <v>0</v>
      </c>
      <c r="AR455" s="28">
        <v>1.625</v>
      </c>
      <c r="AS455" s="28">
        <v>1.59375</v>
      </c>
      <c r="AT455" s="28">
        <v>0.25</v>
      </c>
      <c r="AU455" s="28">
        <v>0</v>
      </c>
      <c r="AV455" s="28">
        <v>0.46846846846846851</v>
      </c>
      <c r="AW455" s="28">
        <v>0.45945945945945948</v>
      </c>
      <c r="AX455" s="28">
        <v>7.2072072072072071E-2</v>
      </c>
      <c r="AY455" s="28">
        <v>0</v>
      </c>
      <c r="AZ455" s="25">
        <v>1.1000000000000001</v>
      </c>
      <c r="BA455" s="25">
        <v>3.44</v>
      </c>
      <c r="BB455" s="25">
        <v>2.34</v>
      </c>
      <c r="BC455" s="25">
        <v>2.526875</v>
      </c>
      <c r="BD455">
        <v>2.526875</v>
      </c>
      <c r="BE455">
        <v>6.5712752819441249</v>
      </c>
    </row>
    <row r="456" spans="1:57" x14ac:dyDescent="0.3">
      <c r="A456" s="2" t="s">
        <v>373</v>
      </c>
      <c r="B456" s="18" t="s">
        <v>1037</v>
      </c>
      <c r="C456" s="13"/>
      <c r="D456" s="2"/>
      <c r="E456" s="2"/>
      <c r="F456" s="2">
        <v>3.41</v>
      </c>
      <c r="G456" s="2" t="s">
        <v>380</v>
      </c>
      <c r="H456" s="9">
        <v>-1</v>
      </c>
      <c r="I456">
        <v>-1</v>
      </c>
      <c r="K456" s="2"/>
      <c r="L456" s="2"/>
      <c r="M456" s="2"/>
      <c r="N456" s="23">
        <v>0</v>
      </c>
      <c r="O456" s="2">
        <v>3.87</v>
      </c>
      <c r="P456" s="2">
        <v>3.87</v>
      </c>
      <c r="Q456" s="2">
        <v>29.4</v>
      </c>
      <c r="R456" s="2" t="s">
        <v>519</v>
      </c>
      <c r="S456" s="2">
        <v>29.4</v>
      </c>
      <c r="T456" s="23">
        <v>0</v>
      </c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O456">
        <v>20</v>
      </c>
      <c r="AP456" s="21">
        <v>0</v>
      </c>
      <c r="AR456" s="28">
        <v>1.5789473684210531</v>
      </c>
      <c r="AS456" s="28">
        <v>1.4473684210526321</v>
      </c>
      <c r="AT456" s="28">
        <v>0.2105263157894737</v>
      </c>
      <c r="AU456" s="28">
        <v>0</v>
      </c>
      <c r="AV456" s="28">
        <v>0.48780487804878048</v>
      </c>
      <c r="AW456" s="28">
        <v>0.44715447154471538</v>
      </c>
      <c r="AX456" s="28">
        <v>6.5040650406504058E-2</v>
      </c>
      <c r="AY456" s="28">
        <v>0</v>
      </c>
      <c r="AZ456" s="25">
        <v>1.1000000000000001</v>
      </c>
      <c r="BA456" s="25">
        <v>3.44</v>
      </c>
      <c r="BB456" s="25">
        <v>2.34</v>
      </c>
      <c r="BC456" s="25">
        <v>2.4936842105263159</v>
      </c>
      <c r="BD456">
        <v>2.4936842105263159</v>
      </c>
      <c r="BE456">
        <v>6.6186651535162104</v>
      </c>
    </row>
    <row r="457" spans="1:57" x14ac:dyDescent="0.3">
      <c r="A457" s="2" t="s">
        <v>374</v>
      </c>
      <c r="B457" s="18" t="s">
        <v>1038</v>
      </c>
      <c r="C457" s="13"/>
      <c r="D457" s="2"/>
      <c r="E457" s="2"/>
      <c r="F457" s="2">
        <v>3.4</v>
      </c>
      <c r="G457" s="2" t="s">
        <v>380</v>
      </c>
      <c r="H457" s="9">
        <v>-1</v>
      </c>
      <c r="I457">
        <v>-1</v>
      </c>
      <c r="K457" s="2"/>
      <c r="L457" s="2"/>
      <c r="M457" s="2"/>
      <c r="N457" s="23">
        <v>0</v>
      </c>
      <c r="O457" s="2">
        <v>3.85</v>
      </c>
      <c r="P457" s="2">
        <v>3.85</v>
      </c>
      <c r="Q457" s="2">
        <v>34.200000000000003</v>
      </c>
      <c r="R457" s="2" t="s">
        <v>519</v>
      </c>
      <c r="S457" s="2">
        <v>34.200000000000003</v>
      </c>
      <c r="T457" s="23">
        <v>0</v>
      </c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O457">
        <v>20</v>
      </c>
      <c r="AP457" s="21">
        <v>0</v>
      </c>
      <c r="AR457" s="28">
        <v>1.545454545454545</v>
      </c>
      <c r="AS457" s="28">
        <v>1.3409090909090911</v>
      </c>
      <c r="AT457" s="28">
        <v>0.1818181818181818</v>
      </c>
      <c r="AU457" s="28">
        <v>0</v>
      </c>
      <c r="AV457" s="28">
        <v>0.50370370370370365</v>
      </c>
      <c r="AW457" s="28">
        <v>0.437037037037037</v>
      </c>
      <c r="AX457" s="28">
        <v>5.9259259259259248E-2</v>
      </c>
      <c r="AY457" s="28">
        <v>0</v>
      </c>
      <c r="AZ457" s="25">
        <v>1.1000000000000001</v>
      </c>
      <c r="BA457" s="25">
        <v>3.44</v>
      </c>
      <c r="BB457" s="25">
        <v>2.34</v>
      </c>
      <c r="BC457" s="25">
        <v>2.4695454545454552</v>
      </c>
      <c r="BD457">
        <v>2.4695454545454538</v>
      </c>
      <c r="BE457">
        <v>6.6531305146595452</v>
      </c>
    </row>
    <row r="458" spans="1:57" x14ac:dyDescent="0.3">
      <c r="A458" s="2" t="s">
        <v>375</v>
      </c>
      <c r="B458" s="18" t="s">
        <v>1039</v>
      </c>
      <c r="C458" s="13"/>
      <c r="D458" s="2"/>
      <c r="E458" s="2"/>
      <c r="F458" s="2">
        <v>3.33</v>
      </c>
      <c r="G458" s="2" t="s">
        <v>380</v>
      </c>
      <c r="H458" s="9">
        <v>-1</v>
      </c>
      <c r="I458">
        <v>-1</v>
      </c>
      <c r="K458" s="2"/>
      <c r="L458" s="2"/>
      <c r="M458" s="2"/>
      <c r="N458" s="23">
        <v>0</v>
      </c>
      <c r="O458" s="2">
        <v>3.81</v>
      </c>
      <c r="P458" s="2">
        <v>3.81</v>
      </c>
      <c r="Q458" s="2">
        <v>35.1</v>
      </c>
      <c r="R458" s="2" t="s">
        <v>519</v>
      </c>
      <c r="S458" s="2">
        <v>17.600000000000001</v>
      </c>
      <c r="T458" s="23">
        <v>0</v>
      </c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O458">
        <v>22</v>
      </c>
      <c r="AP458" s="21">
        <v>0</v>
      </c>
      <c r="AR458" s="28">
        <v>1.7727272727272729</v>
      </c>
      <c r="AS458" s="28">
        <v>2.0909090909090908</v>
      </c>
      <c r="AT458" s="28">
        <v>0.36363636363636359</v>
      </c>
      <c r="AU458" s="28">
        <v>0</v>
      </c>
      <c r="AV458" s="28">
        <v>0.41935483870967738</v>
      </c>
      <c r="AW458" s="28">
        <v>0.49462365591397839</v>
      </c>
      <c r="AX458" s="28">
        <v>8.6021505376344079E-2</v>
      </c>
      <c r="AY458" s="28">
        <v>0</v>
      </c>
      <c r="AZ458" s="25">
        <v>1.1000000000000001</v>
      </c>
      <c r="BA458" s="25">
        <v>3.44</v>
      </c>
      <c r="BB458" s="25">
        <v>2.34</v>
      </c>
      <c r="BC458" s="25">
        <v>2.645909090909091</v>
      </c>
      <c r="BD458">
        <v>2.645909090909091</v>
      </c>
      <c r="BE458">
        <v>6.4349594388752269</v>
      </c>
    </row>
    <row r="459" spans="1:57" x14ac:dyDescent="0.3">
      <c r="A459" s="2" t="s">
        <v>376</v>
      </c>
      <c r="B459" s="18" t="s">
        <v>1027</v>
      </c>
      <c r="C459" s="13"/>
      <c r="D459" s="2"/>
      <c r="E459" s="2"/>
      <c r="F459" s="2">
        <v>3.41</v>
      </c>
      <c r="G459" s="2" t="s">
        <v>380</v>
      </c>
      <c r="H459" s="9">
        <v>-1</v>
      </c>
      <c r="I459">
        <v>-1</v>
      </c>
      <c r="K459" s="2"/>
      <c r="L459" s="2"/>
      <c r="M459" s="2"/>
      <c r="N459" s="23">
        <v>0</v>
      </c>
      <c r="O459" s="2">
        <v>3.83</v>
      </c>
      <c r="P459" s="2">
        <v>3.83</v>
      </c>
      <c r="Q459" s="2">
        <v>39.5</v>
      </c>
      <c r="R459" s="2" t="s">
        <v>519</v>
      </c>
      <c r="S459" s="2">
        <v>19.8</v>
      </c>
      <c r="T459" s="23">
        <v>0</v>
      </c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O459">
        <v>22</v>
      </c>
      <c r="AP459" s="21">
        <v>0</v>
      </c>
      <c r="AR459" s="28">
        <v>1.72</v>
      </c>
      <c r="AS459" s="28">
        <v>1.92</v>
      </c>
      <c r="AT459" s="28">
        <v>0.32</v>
      </c>
      <c r="AU459" s="28">
        <v>0</v>
      </c>
      <c r="AV459" s="28">
        <v>0.43434343434343442</v>
      </c>
      <c r="AW459" s="28">
        <v>0.48484848484848492</v>
      </c>
      <c r="AX459" s="28">
        <v>8.0808080808080815E-2</v>
      </c>
      <c r="AY459" s="28">
        <v>0</v>
      </c>
      <c r="AZ459" s="25">
        <v>1.1000000000000001</v>
      </c>
      <c r="BA459" s="25">
        <v>3.44</v>
      </c>
      <c r="BB459" s="25">
        <v>2.34</v>
      </c>
      <c r="BC459" s="25">
        <v>2.6063999999999998</v>
      </c>
      <c r="BD459">
        <v>2.6063999999999998</v>
      </c>
      <c r="BE459">
        <v>6.4873336424382799</v>
      </c>
    </row>
    <row r="460" spans="1:57" x14ac:dyDescent="0.3">
      <c r="A460" s="2" t="s">
        <v>377</v>
      </c>
      <c r="B460" s="18" t="s">
        <v>1040</v>
      </c>
      <c r="C460" s="13"/>
      <c r="D460" s="2"/>
      <c r="E460" s="2"/>
      <c r="F460" s="2">
        <v>3.38</v>
      </c>
      <c r="G460" s="2" t="s">
        <v>380</v>
      </c>
      <c r="H460" s="9">
        <v>-1</v>
      </c>
      <c r="I460">
        <v>-1</v>
      </c>
      <c r="K460" s="2"/>
      <c r="L460" s="2"/>
      <c r="M460" s="2"/>
      <c r="N460" s="23">
        <v>0</v>
      </c>
      <c r="O460" s="2">
        <v>3.83</v>
      </c>
      <c r="P460" s="2">
        <v>3.83</v>
      </c>
      <c r="Q460" s="2">
        <v>44.2</v>
      </c>
      <c r="R460" s="2" t="s">
        <v>519</v>
      </c>
      <c r="S460" s="2">
        <v>22.1</v>
      </c>
      <c r="T460" s="23">
        <v>0</v>
      </c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O460">
        <v>22</v>
      </c>
      <c r="AP460" s="21">
        <v>0</v>
      </c>
      <c r="AR460" s="28">
        <v>1.678571428571429</v>
      </c>
      <c r="AS460" s="28">
        <v>1.785714285714286</v>
      </c>
      <c r="AT460" s="28">
        <v>0.2857142857142857</v>
      </c>
      <c r="AU460" s="28">
        <v>0</v>
      </c>
      <c r="AV460" s="28">
        <v>0.44761904761904758</v>
      </c>
      <c r="AW460" s="28">
        <v>0.47619047619047622</v>
      </c>
      <c r="AX460" s="28">
        <v>7.6190476190476183E-2</v>
      </c>
      <c r="AY460" s="28">
        <v>0</v>
      </c>
      <c r="AZ460" s="25">
        <v>1.1000000000000001</v>
      </c>
      <c r="BA460" s="25">
        <v>3.44</v>
      </c>
      <c r="BB460" s="25">
        <v>2.34</v>
      </c>
      <c r="BC460" s="25">
        <v>2.5753571428571429</v>
      </c>
      <c r="BD460">
        <v>2.5753571428571429</v>
      </c>
      <c r="BE460">
        <v>6.5284848023806781</v>
      </c>
    </row>
    <row r="461" spans="1:57" x14ac:dyDescent="0.3">
      <c r="A461" s="2" t="s">
        <v>378</v>
      </c>
      <c r="B461" s="18" t="s">
        <v>1041</v>
      </c>
      <c r="C461" s="13"/>
      <c r="D461" s="2"/>
      <c r="E461" s="2"/>
      <c r="F461" s="2">
        <v>3.4</v>
      </c>
      <c r="G461" s="2" t="s">
        <v>380</v>
      </c>
      <c r="H461" s="9">
        <v>-1</v>
      </c>
      <c r="I461">
        <v>-1</v>
      </c>
      <c r="K461" s="2"/>
      <c r="L461" s="2"/>
      <c r="M461" s="2"/>
      <c r="N461" s="23">
        <v>0</v>
      </c>
      <c r="O461" s="2">
        <v>3.82</v>
      </c>
      <c r="P461" s="2">
        <v>3.82</v>
      </c>
      <c r="Q461" s="2">
        <v>48.5</v>
      </c>
      <c r="R461" s="2" t="s">
        <v>519</v>
      </c>
      <c r="S461" s="2">
        <v>24.3</v>
      </c>
      <c r="T461" s="23">
        <v>0</v>
      </c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O461">
        <v>22</v>
      </c>
      <c r="AP461" s="21">
        <v>0</v>
      </c>
      <c r="AR461" s="28">
        <v>1.645161290322581</v>
      </c>
      <c r="AS461" s="28">
        <v>1.67741935483871</v>
      </c>
      <c r="AT461" s="28">
        <v>0.25806451612903231</v>
      </c>
      <c r="AU461" s="28">
        <v>0</v>
      </c>
      <c r="AV461" s="28">
        <v>0.45945945945945948</v>
      </c>
      <c r="AW461" s="28">
        <v>0.46846846846846851</v>
      </c>
      <c r="AX461" s="28">
        <v>7.2072072072072071E-2</v>
      </c>
      <c r="AY461" s="28">
        <v>0</v>
      </c>
      <c r="AZ461" s="25">
        <v>1.1000000000000001</v>
      </c>
      <c r="BA461" s="25">
        <v>3.44</v>
      </c>
      <c r="BB461" s="25">
        <v>2.34</v>
      </c>
      <c r="BC461" s="25">
        <v>2.5503225806451608</v>
      </c>
      <c r="BD461">
        <v>2.5503225806451608</v>
      </c>
      <c r="BE461">
        <v>6.5616712216890649</v>
      </c>
    </row>
    <row r="462" spans="1:57" x14ac:dyDescent="0.3">
      <c r="A462" s="2" t="s">
        <v>379</v>
      </c>
      <c r="B462" s="18" t="s">
        <v>1042</v>
      </c>
      <c r="C462" s="13"/>
      <c r="D462" s="2"/>
      <c r="E462" s="2"/>
      <c r="F462" s="2">
        <v>3.4</v>
      </c>
      <c r="G462" s="2" t="s">
        <v>380</v>
      </c>
      <c r="H462" s="9">
        <v>-1</v>
      </c>
      <c r="I462">
        <v>-1</v>
      </c>
      <c r="K462" s="2"/>
      <c r="L462" s="2"/>
      <c r="M462" s="2"/>
      <c r="N462" s="23">
        <v>0</v>
      </c>
      <c r="O462" s="2">
        <v>3.82</v>
      </c>
      <c r="P462" s="2">
        <v>3.82</v>
      </c>
      <c r="Q462" s="2">
        <v>29.2</v>
      </c>
      <c r="R462" s="2" t="s">
        <v>519</v>
      </c>
      <c r="S462" s="2">
        <v>29.2</v>
      </c>
      <c r="T462" s="23">
        <v>0</v>
      </c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O462">
        <v>22</v>
      </c>
      <c r="AP462" s="21">
        <v>0</v>
      </c>
      <c r="AR462" s="28">
        <v>1.594594594594595</v>
      </c>
      <c r="AS462" s="28">
        <v>1.513513513513514</v>
      </c>
      <c r="AT462" s="28">
        <v>0.2162162162162162</v>
      </c>
      <c r="AU462" s="28">
        <v>0</v>
      </c>
      <c r="AV462" s="28">
        <v>0.47967479674796748</v>
      </c>
      <c r="AW462" s="28">
        <v>0.45528455284552849</v>
      </c>
      <c r="AX462" s="28">
        <v>6.5040650406504072E-2</v>
      </c>
      <c r="AY462" s="28">
        <v>0</v>
      </c>
      <c r="AZ462" s="25">
        <v>1.1000000000000001</v>
      </c>
      <c r="BA462" s="25">
        <v>3.44</v>
      </c>
      <c r="BB462" s="25">
        <v>2.34</v>
      </c>
      <c r="BC462" s="25">
        <v>2.512432432432433</v>
      </c>
      <c r="BD462">
        <v>2.512432432432433</v>
      </c>
      <c r="BE462">
        <v>6.6118993157774328</v>
      </c>
    </row>
    <row r="463" spans="1:57" x14ac:dyDescent="0.3">
      <c r="A463" s="2" t="s">
        <v>1134</v>
      </c>
      <c r="B463" s="18" t="s">
        <v>1043</v>
      </c>
      <c r="C463" s="13"/>
      <c r="D463" s="2"/>
      <c r="E463" s="2"/>
      <c r="F463" s="2">
        <v>3.38</v>
      </c>
      <c r="G463" s="2" t="s">
        <v>380</v>
      </c>
      <c r="H463" s="9">
        <v>-1</v>
      </c>
      <c r="I463">
        <v>-1</v>
      </c>
      <c r="K463" s="2"/>
      <c r="L463" s="2"/>
      <c r="M463" s="2"/>
      <c r="N463" s="23">
        <v>0</v>
      </c>
      <c r="O463" s="2">
        <v>3.82</v>
      </c>
      <c r="P463" s="2">
        <v>3.82</v>
      </c>
      <c r="Q463" s="2">
        <v>31.3</v>
      </c>
      <c r="R463" s="2" t="s">
        <v>519</v>
      </c>
      <c r="S463" s="2">
        <v>31.3</v>
      </c>
      <c r="T463" s="23">
        <v>0</v>
      </c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O463">
        <v>0</v>
      </c>
      <c r="AP463" s="21">
        <v>0</v>
      </c>
      <c r="AR463" s="28">
        <v>1.558139534883721</v>
      </c>
      <c r="AS463" s="28">
        <v>1.3953488372093019</v>
      </c>
      <c r="AT463" s="28">
        <v>0.186046511627907</v>
      </c>
      <c r="AU463" s="28">
        <v>0</v>
      </c>
      <c r="AV463" s="28">
        <v>0.49629629629629629</v>
      </c>
      <c r="AW463" s="28">
        <v>0.44444444444444448</v>
      </c>
      <c r="AX463" s="28">
        <v>5.9259259259259262E-2</v>
      </c>
      <c r="AY463" s="28">
        <v>0</v>
      </c>
      <c r="AZ463" s="25">
        <v>1.1000000000000001</v>
      </c>
      <c r="BA463" s="25">
        <v>3.44</v>
      </c>
      <c r="BB463" s="25">
        <v>2.34</v>
      </c>
      <c r="BC463" s="25">
        <v>2.4851162790697678</v>
      </c>
      <c r="BD463">
        <v>2.485116279069767</v>
      </c>
      <c r="BE463">
        <v>6.6481102673295114</v>
      </c>
    </row>
    <row r="464" spans="1:57" x14ac:dyDescent="0.3">
      <c r="A464" s="2" t="s">
        <v>381</v>
      </c>
      <c r="B464" s="13" t="s">
        <v>838</v>
      </c>
      <c r="C464" s="13"/>
      <c r="D464" s="2"/>
      <c r="E464" s="2"/>
      <c r="F464" s="2">
        <v>3.47</v>
      </c>
      <c r="G464" s="2" t="s">
        <v>380</v>
      </c>
      <c r="H464" s="9">
        <v>-1</v>
      </c>
      <c r="I464">
        <v>-1</v>
      </c>
      <c r="K464" s="2"/>
      <c r="L464" s="2"/>
      <c r="M464" s="2"/>
      <c r="N464" s="23">
        <v>0</v>
      </c>
      <c r="O464" s="2">
        <v>3.78</v>
      </c>
      <c r="P464" s="2">
        <v>3.78</v>
      </c>
      <c r="Q464" s="2">
        <v>27.2</v>
      </c>
      <c r="R464" s="2" t="s">
        <v>519</v>
      </c>
      <c r="S464" s="2">
        <v>13.6</v>
      </c>
      <c r="T464" s="23">
        <v>0</v>
      </c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O464">
        <v>20</v>
      </c>
      <c r="AP464" s="21">
        <v>0</v>
      </c>
      <c r="AR464" s="28">
        <v>1.882352941176471</v>
      </c>
      <c r="AS464" s="28">
        <v>2.3529411764705879</v>
      </c>
      <c r="AT464" s="28">
        <v>0.35294117647058831</v>
      </c>
      <c r="AU464" s="28">
        <v>0.47058823529411759</v>
      </c>
      <c r="AV464" s="28">
        <v>0.37209302325581389</v>
      </c>
      <c r="AW464" s="28">
        <v>0.46511627906976749</v>
      </c>
      <c r="AX464" s="28">
        <v>6.9767441860465129E-2</v>
      </c>
      <c r="AY464" s="28">
        <v>9.3023255813953487E-2</v>
      </c>
      <c r="AZ464" s="25">
        <v>1.1399999999999999</v>
      </c>
      <c r="BA464" s="25">
        <v>3.44</v>
      </c>
      <c r="BB464" s="25">
        <v>2.2999999999999998</v>
      </c>
      <c r="BC464" s="25">
        <v>2.6882352941176468</v>
      </c>
      <c r="BD464">
        <v>2.6882352941176468</v>
      </c>
      <c r="BE464">
        <v>6.2192249941001183</v>
      </c>
    </row>
    <row r="465" spans="1:57" x14ac:dyDescent="0.3">
      <c r="A465" s="2" t="s">
        <v>382</v>
      </c>
      <c r="B465" s="18" t="s">
        <v>1044</v>
      </c>
      <c r="C465" s="13"/>
      <c r="D465" s="2"/>
      <c r="E465" s="2"/>
      <c r="F465" s="2">
        <v>3.4</v>
      </c>
      <c r="G465" s="2" t="s">
        <v>380</v>
      </c>
      <c r="H465" s="9">
        <v>-1</v>
      </c>
      <c r="I465">
        <v>-1</v>
      </c>
      <c r="K465" s="2"/>
      <c r="L465" s="2"/>
      <c r="M465" s="2"/>
      <c r="N465" s="23">
        <v>0</v>
      </c>
      <c r="O465" s="2">
        <v>3.81</v>
      </c>
      <c r="P465" s="2">
        <v>3.81</v>
      </c>
      <c r="Q465" s="2">
        <v>35.4</v>
      </c>
      <c r="R465" s="2" t="s">
        <v>519</v>
      </c>
      <c r="S465" s="2">
        <v>17.7</v>
      </c>
      <c r="T465" s="23">
        <v>0</v>
      </c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O465">
        <v>20</v>
      </c>
      <c r="AP465" s="21">
        <v>0</v>
      </c>
      <c r="AR465" s="28">
        <v>1.695652173913043</v>
      </c>
      <c r="AS465" s="28">
        <v>1.826086956521739</v>
      </c>
      <c r="AT465" s="28">
        <v>0.2608695652173913</v>
      </c>
      <c r="AU465" s="28">
        <v>0.34782608695652167</v>
      </c>
      <c r="AV465" s="28">
        <v>0.41052631578947368</v>
      </c>
      <c r="AW465" s="28">
        <v>0.44210526315789472</v>
      </c>
      <c r="AX465" s="28">
        <v>6.3157894736842107E-2</v>
      </c>
      <c r="AY465" s="28">
        <v>8.4210526315789472E-2</v>
      </c>
      <c r="AZ465" s="25">
        <v>1.1399999999999999</v>
      </c>
      <c r="BA465" s="25">
        <v>3.44</v>
      </c>
      <c r="BB465" s="25">
        <v>2.2999999999999998</v>
      </c>
      <c r="BC465" s="25">
        <v>2.5760869565217388</v>
      </c>
      <c r="BD465">
        <v>2.5760869565217388</v>
      </c>
      <c r="BE465">
        <v>6.4291568349981301</v>
      </c>
    </row>
    <row r="466" spans="1:57" x14ac:dyDescent="0.3">
      <c r="A466" s="2" t="s">
        <v>383</v>
      </c>
      <c r="B466" s="18" t="s">
        <v>1045</v>
      </c>
      <c r="C466" s="13"/>
      <c r="D466" s="2"/>
      <c r="E466" s="2"/>
      <c r="F466" s="2">
        <v>3.32</v>
      </c>
      <c r="G466" s="2" t="s">
        <v>380</v>
      </c>
      <c r="H466" s="9">
        <v>-1</v>
      </c>
      <c r="I466">
        <v>-1</v>
      </c>
      <c r="K466" s="2"/>
      <c r="L466" s="2"/>
      <c r="M466" s="2"/>
      <c r="N466" s="23">
        <v>0</v>
      </c>
      <c r="O466" s="2">
        <v>3.8</v>
      </c>
      <c r="P466" s="2">
        <v>3.8</v>
      </c>
      <c r="Q466" s="2">
        <v>19.899999999999999</v>
      </c>
      <c r="R466" s="2" t="s">
        <v>519</v>
      </c>
      <c r="S466" s="2">
        <v>19.899999999999999</v>
      </c>
      <c r="T466" s="23">
        <v>0</v>
      </c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O466">
        <v>20</v>
      </c>
      <c r="AP466" s="21">
        <v>0</v>
      </c>
      <c r="AR466" s="28">
        <v>1.653846153846154</v>
      </c>
      <c r="AS466" s="28">
        <v>1.6923076923076921</v>
      </c>
      <c r="AT466" s="28">
        <v>0.23076923076923081</v>
      </c>
      <c r="AU466" s="28">
        <v>0.30769230769230771</v>
      </c>
      <c r="AV466" s="28">
        <v>0.42574257425742568</v>
      </c>
      <c r="AW466" s="28">
        <v>0.43564356435643559</v>
      </c>
      <c r="AX466" s="28">
        <v>5.940594059405941E-2</v>
      </c>
      <c r="AY466" s="28">
        <v>7.9207920792079209E-2</v>
      </c>
      <c r="AZ466" s="25">
        <v>1.1399999999999999</v>
      </c>
      <c r="BA466" s="25">
        <v>3.44</v>
      </c>
      <c r="BB466" s="25">
        <v>2.2999999999999998</v>
      </c>
      <c r="BC466" s="25">
        <v>2.546153846153846</v>
      </c>
      <c r="BD466">
        <v>2.546153846153846</v>
      </c>
      <c r="BE466">
        <v>6.4801861773330387</v>
      </c>
    </row>
    <row r="467" spans="1:57" x14ac:dyDescent="0.3">
      <c r="A467" s="2" t="s">
        <v>384</v>
      </c>
      <c r="B467" s="18" t="s">
        <v>1046</v>
      </c>
      <c r="C467" s="13"/>
      <c r="D467" s="2"/>
      <c r="E467" s="2"/>
      <c r="F467" s="2">
        <v>3.33</v>
      </c>
      <c r="G467" s="2" t="s">
        <v>380</v>
      </c>
      <c r="H467" s="9">
        <v>-1</v>
      </c>
      <c r="I467">
        <v>-1</v>
      </c>
      <c r="K467" s="2"/>
      <c r="L467" s="2"/>
      <c r="M467" s="2"/>
      <c r="N467" s="23">
        <v>0</v>
      </c>
      <c r="O467" s="2">
        <v>3.78</v>
      </c>
      <c r="P467" s="2">
        <v>3.78</v>
      </c>
      <c r="Q467" s="2">
        <v>21.5</v>
      </c>
      <c r="R467" s="2" t="s">
        <v>519</v>
      </c>
      <c r="S467" s="2">
        <v>21.5</v>
      </c>
      <c r="T467" s="23">
        <v>0</v>
      </c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O467">
        <v>20</v>
      </c>
      <c r="AP467" s="21">
        <v>0</v>
      </c>
      <c r="AR467" s="28">
        <v>1.6206896551724139</v>
      </c>
      <c r="AS467" s="28">
        <v>1.586206896551724</v>
      </c>
      <c r="AT467" s="28">
        <v>0.2068965517241379</v>
      </c>
      <c r="AU467" s="28">
        <v>0.27586206896551718</v>
      </c>
      <c r="AV467" s="28">
        <v>0.43925233644859812</v>
      </c>
      <c r="AW467" s="28">
        <v>0.42990654205607481</v>
      </c>
      <c r="AX467" s="28">
        <v>5.6074766355140193E-2</v>
      </c>
      <c r="AY467" s="28">
        <v>7.476635514018691E-2</v>
      </c>
      <c r="AZ467" s="25">
        <v>1.1399999999999999</v>
      </c>
      <c r="BA467" s="25">
        <v>3.44</v>
      </c>
      <c r="BB467" s="25">
        <v>2.2999999999999998</v>
      </c>
      <c r="BC467" s="25">
        <v>2.522413793103448</v>
      </c>
      <c r="BD467">
        <v>2.522413793103448</v>
      </c>
      <c r="BE467">
        <v>6.5206577247021036</v>
      </c>
    </row>
    <row r="468" spans="1:57" x14ac:dyDescent="0.3">
      <c r="A468" s="2" t="s">
        <v>385</v>
      </c>
      <c r="B468" s="18" t="s">
        <v>1047</v>
      </c>
      <c r="C468" s="13"/>
      <c r="D468" s="2"/>
      <c r="E468" s="2"/>
      <c r="F468" s="2">
        <v>3.33</v>
      </c>
      <c r="G468" s="2" t="s">
        <v>380</v>
      </c>
      <c r="H468" s="9">
        <v>-1</v>
      </c>
      <c r="I468">
        <v>-1</v>
      </c>
      <c r="K468" s="2"/>
      <c r="L468" s="2"/>
      <c r="M468" s="2"/>
      <c r="N468" s="23">
        <v>0</v>
      </c>
      <c r="O468" s="2">
        <v>3.78</v>
      </c>
      <c r="P468" s="2">
        <v>3.78</v>
      </c>
      <c r="Q468" s="2">
        <v>24.4</v>
      </c>
      <c r="R468" s="2" t="s">
        <v>519</v>
      </c>
      <c r="S468" s="2">
        <v>24.4</v>
      </c>
      <c r="T468" s="23">
        <v>0</v>
      </c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O468">
        <v>20</v>
      </c>
      <c r="AP468" s="21">
        <v>0</v>
      </c>
      <c r="AR468" s="28">
        <v>1.59375</v>
      </c>
      <c r="AS468" s="28">
        <v>1.5</v>
      </c>
      <c r="AT468" s="28">
        <v>0.1875</v>
      </c>
      <c r="AU468" s="28">
        <v>0.25</v>
      </c>
      <c r="AV468" s="28">
        <v>0.45132743362831862</v>
      </c>
      <c r="AW468" s="28">
        <v>0.4247787610619469</v>
      </c>
      <c r="AX468" s="28">
        <v>5.3097345132743362E-2</v>
      </c>
      <c r="AY468" s="28">
        <v>7.0796460176991149E-2</v>
      </c>
      <c r="AZ468" s="25">
        <v>1.1399999999999999</v>
      </c>
      <c r="BA468" s="25">
        <v>3.44</v>
      </c>
      <c r="BB468" s="25">
        <v>2.2999999999999998</v>
      </c>
      <c r="BC468" s="25">
        <v>2.5031249999999998</v>
      </c>
      <c r="BD468">
        <v>2.5031249999999998</v>
      </c>
      <c r="BE468">
        <v>6.5535408569394704</v>
      </c>
    </row>
    <row r="469" spans="1:57" x14ac:dyDescent="0.3">
      <c r="A469" s="2" t="s">
        <v>386</v>
      </c>
      <c r="B469" s="18" t="s">
        <v>1048</v>
      </c>
      <c r="C469" s="13"/>
      <c r="D469" s="2"/>
      <c r="E469" s="2"/>
      <c r="F469" s="2">
        <v>3.35</v>
      </c>
      <c r="G469" s="2" t="s">
        <v>380</v>
      </c>
      <c r="H469" s="9">
        <v>-1</v>
      </c>
      <c r="I469">
        <v>-1</v>
      </c>
      <c r="K469" s="2"/>
      <c r="L469" s="2"/>
      <c r="M469" s="2"/>
      <c r="N469" s="23">
        <v>0</v>
      </c>
      <c r="O469" s="2">
        <v>3.8</v>
      </c>
      <c r="P469" s="2">
        <v>3.8</v>
      </c>
      <c r="Q469" s="2">
        <v>29.2</v>
      </c>
      <c r="R469" s="2" t="s">
        <v>519</v>
      </c>
      <c r="S469" s="2">
        <v>29.2</v>
      </c>
      <c r="T469" s="23">
        <v>0</v>
      </c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O469">
        <v>20</v>
      </c>
      <c r="AP469" s="21">
        <v>0</v>
      </c>
      <c r="AR469" s="28">
        <v>1.5526315789473679</v>
      </c>
      <c r="AS469" s="28">
        <v>1.368421052631579</v>
      </c>
      <c r="AT469" s="28">
        <v>0.15789473684210531</v>
      </c>
      <c r="AU469" s="28">
        <v>0.2105263157894737</v>
      </c>
      <c r="AV469" s="28">
        <v>0.47199999999999998</v>
      </c>
      <c r="AW469" s="28">
        <v>0.41599999999999998</v>
      </c>
      <c r="AX469" s="28">
        <v>4.8000000000000001E-2</v>
      </c>
      <c r="AY469" s="28">
        <v>6.4000000000000001E-2</v>
      </c>
      <c r="AZ469" s="25">
        <v>1.1399999999999999</v>
      </c>
      <c r="BA469" s="25">
        <v>3.44</v>
      </c>
      <c r="BB469" s="25">
        <v>2.2999999999999998</v>
      </c>
      <c r="BC469" s="25">
        <v>2.4736842105263159</v>
      </c>
      <c r="BD469">
        <v>2.473684210526315</v>
      </c>
      <c r="BE469">
        <v>6.6037309008807101</v>
      </c>
    </row>
    <row r="470" spans="1:57" x14ac:dyDescent="0.3">
      <c r="A470" s="2" t="s">
        <v>387</v>
      </c>
      <c r="B470" s="18" t="s">
        <v>1049</v>
      </c>
      <c r="C470" s="13"/>
      <c r="D470" s="2"/>
      <c r="E470" s="2"/>
      <c r="F470" s="2">
        <v>3.36</v>
      </c>
      <c r="G470" s="2" t="s">
        <v>380</v>
      </c>
      <c r="H470" s="9">
        <v>-1</v>
      </c>
      <c r="I470">
        <v>-1</v>
      </c>
      <c r="K470" s="2"/>
      <c r="L470" s="2"/>
      <c r="M470" s="2"/>
      <c r="N470" s="23">
        <v>0</v>
      </c>
      <c r="O470" s="2">
        <v>3.8</v>
      </c>
      <c r="P470" s="2">
        <v>3.8</v>
      </c>
      <c r="Q470" s="2">
        <v>33.4</v>
      </c>
      <c r="R470" s="2" t="s">
        <v>519</v>
      </c>
      <c r="S470" s="2">
        <v>33.4</v>
      </c>
      <c r="T470" s="23">
        <v>0</v>
      </c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O470">
        <v>20</v>
      </c>
      <c r="AP470" s="21">
        <v>0</v>
      </c>
      <c r="AR470" s="28">
        <v>1.5227272727272729</v>
      </c>
      <c r="AS470" s="28">
        <v>1.2727272727272729</v>
      </c>
      <c r="AT470" s="28">
        <v>0.13636363636363641</v>
      </c>
      <c r="AU470" s="28">
        <v>0.1818181818181818</v>
      </c>
      <c r="AV470" s="28">
        <v>0.48905109489051091</v>
      </c>
      <c r="AW470" s="28">
        <v>0.40875912408759119</v>
      </c>
      <c r="AX470" s="28">
        <v>4.3795620437956199E-2</v>
      </c>
      <c r="AY470" s="28">
        <v>5.8394160583941597E-2</v>
      </c>
      <c r="AZ470" s="25">
        <v>1.1399999999999999</v>
      </c>
      <c r="BA470" s="25">
        <v>3.44</v>
      </c>
      <c r="BB470" s="25">
        <v>2.2999999999999998</v>
      </c>
      <c r="BC470" s="25">
        <v>2.452272727272728</v>
      </c>
      <c r="BD470">
        <v>2.4522727272727272</v>
      </c>
      <c r="BE470">
        <v>6.6402327510197949</v>
      </c>
    </row>
    <row r="471" spans="1:57" x14ac:dyDescent="0.3">
      <c r="A471" s="2" t="s">
        <v>388</v>
      </c>
      <c r="B471" s="18" t="s">
        <v>1050</v>
      </c>
      <c r="C471" s="13"/>
      <c r="D471" s="2"/>
      <c r="E471" s="2"/>
      <c r="F471" s="2">
        <v>3.33</v>
      </c>
      <c r="G471" s="2" t="s">
        <v>380</v>
      </c>
      <c r="H471" s="9">
        <v>-1</v>
      </c>
      <c r="I471">
        <v>-1</v>
      </c>
      <c r="K471" s="2"/>
      <c r="L471" s="2"/>
      <c r="M471" s="2"/>
      <c r="N471" s="23">
        <v>0</v>
      </c>
      <c r="O471" s="2">
        <v>3.76</v>
      </c>
      <c r="P471" s="2">
        <v>3.76</v>
      </c>
      <c r="Q471" s="2">
        <v>34.1</v>
      </c>
      <c r="R471" s="2" t="s">
        <v>519</v>
      </c>
      <c r="S471" s="2">
        <v>17.100000000000001</v>
      </c>
      <c r="T471" s="23">
        <v>0</v>
      </c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O471">
        <v>22</v>
      </c>
      <c r="AP471" s="21">
        <v>0</v>
      </c>
      <c r="AR471" s="28">
        <v>1.7391304347826091</v>
      </c>
      <c r="AS471" s="28">
        <v>2</v>
      </c>
      <c r="AT471" s="28">
        <v>0.2608695652173913</v>
      </c>
      <c r="AU471" s="28">
        <v>0.34782608695652167</v>
      </c>
      <c r="AV471" s="28">
        <v>0.4</v>
      </c>
      <c r="AW471" s="28">
        <v>0.46</v>
      </c>
      <c r="AX471" s="28">
        <v>0.06</v>
      </c>
      <c r="AY471" s="28">
        <v>0.08</v>
      </c>
      <c r="AZ471" s="25">
        <v>1.1399999999999999</v>
      </c>
      <c r="BA471" s="25">
        <v>3.44</v>
      </c>
      <c r="BB471" s="25">
        <v>2.2999999999999998</v>
      </c>
      <c r="BC471" s="25">
        <v>2.63</v>
      </c>
      <c r="BD471">
        <v>2.63</v>
      </c>
      <c r="BE471">
        <v>6.444942219787217</v>
      </c>
    </row>
    <row r="472" spans="1:57" x14ac:dyDescent="0.3">
      <c r="A472" s="2" t="s">
        <v>389</v>
      </c>
      <c r="B472" s="18" t="s">
        <v>1051</v>
      </c>
      <c r="C472" s="13"/>
      <c r="D472" s="2"/>
      <c r="E472" s="2"/>
      <c r="F472" s="2">
        <v>3.33</v>
      </c>
      <c r="G472" s="2" t="s">
        <v>380</v>
      </c>
      <c r="H472" s="9">
        <v>-1</v>
      </c>
      <c r="I472">
        <v>-1</v>
      </c>
      <c r="K472" s="2"/>
      <c r="L472" s="2"/>
      <c r="M472" s="2"/>
      <c r="N472" s="23">
        <v>0</v>
      </c>
      <c r="O472" s="2">
        <v>3.77</v>
      </c>
      <c r="P472" s="2">
        <v>3.77</v>
      </c>
      <c r="Q472" s="2">
        <v>40.9</v>
      </c>
      <c r="R472" s="2" t="s">
        <v>519</v>
      </c>
      <c r="S472" s="2">
        <v>20.5</v>
      </c>
      <c r="T472" s="23">
        <v>0</v>
      </c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O472">
        <v>22</v>
      </c>
      <c r="AP472" s="21">
        <v>0</v>
      </c>
      <c r="AR472" s="28">
        <v>1.6923076923076921</v>
      </c>
      <c r="AS472" s="28">
        <v>1.846153846153846</v>
      </c>
      <c r="AT472" s="28">
        <v>0.23076923076923081</v>
      </c>
      <c r="AU472" s="28">
        <v>0.30769230769230771</v>
      </c>
      <c r="AV472" s="28">
        <v>0.41509433962264147</v>
      </c>
      <c r="AW472" s="28">
        <v>0.45283018867924529</v>
      </c>
      <c r="AX472" s="28">
        <v>5.6603773584905669E-2</v>
      </c>
      <c r="AY472" s="28">
        <v>7.5471698113207558E-2</v>
      </c>
      <c r="AZ472" s="25">
        <v>1.1399999999999999</v>
      </c>
      <c r="BA472" s="25">
        <v>3.44</v>
      </c>
      <c r="BB472" s="25">
        <v>2.2999999999999998</v>
      </c>
      <c r="BC472" s="25">
        <v>2.5938461538461541</v>
      </c>
      <c r="BD472">
        <v>2.5938461538461541</v>
      </c>
      <c r="BE472">
        <v>6.4941501715695384</v>
      </c>
    </row>
    <row r="473" spans="1:57" x14ac:dyDescent="0.3">
      <c r="A473" s="2" t="s">
        <v>390</v>
      </c>
      <c r="B473" s="18" t="s">
        <v>1052</v>
      </c>
      <c r="C473" s="13"/>
      <c r="D473" s="2"/>
      <c r="E473" s="2"/>
      <c r="F473" s="2">
        <v>3.32</v>
      </c>
      <c r="G473" s="2" t="s">
        <v>380</v>
      </c>
      <c r="H473" s="9">
        <v>-1</v>
      </c>
      <c r="I473">
        <v>-1</v>
      </c>
      <c r="K473" s="2"/>
      <c r="L473" s="2"/>
      <c r="M473" s="2"/>
      <c r="N473" s="23">
        <v>0</v>
      </c>
      <c r="O473" s="2">
        <v>3.79</v>
      </c>
      <c r="P473" s="2">
        <v>3.79</v>
      </c>
      <c r="Q473" s="2">
        <v>43.8</v>
      </c>
      <c r="R473" s="2" t="s">
        <v>519</v>
      </c>
      <c r="S473" s="2">
        <v>21.9</v>
      </c>
      <c r="T473" s="23">
        <v>0</v>
      </c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O473">
        <v>22</v>
      </c>
      <c r="AP473" s="21">
        <v>0</v>
      </c>
      <c r="AR473" s="28">
        <v>1.655172413793103</v>
      </c>
      <c r="AS473" s="28">
        <v>1.7241379310344831</v>
      </c>
      <c r="AT473" s="28">
        <v>0.2068965517241379</v>
      </c>
      <c r="AU473" s="28">
        <v>0.27586206896551718</v>
      </c>
      <c r="AV473" s="28">
        <v>0.42857142857142849</v>
      </c>
      <c r="AW473" s="28">
        <v>0.4464285714285714</v>
      </c>
      <c r="AX473" s="28">
        <v>5.3571428571428568E-2</v>
      </c>
      <c r="AY473" s="28">
        <v>7.1428571428571425E-2</v>
      </c>
      <c r="AZ473" s="25">
        <v>1.1399999999999999</v>
      </c>
      <c r="BA473" s="25">
        <v>3.44</v>
      </c>
      <c r="BB473" s="25">
        <v>2.2999999999999998</v>
      </c>
      <c r="BC473" s="25">
        <v>2.5651724137931029</v>
      </c>
      <c r="BD473">
        <v>2.5651724137931029</v>
      </c>
      <c r="BE473">
        <v>6.53317716781069</v>
      </c>
    </row>
    <row r="474" spans="1:57" x14ac:dyDescent="0.3">
      <c r="A474" s="2" t="s">
        <v>391</v>
      </c>
      <c r="B474" s="18" t="s">
        <v>1053</v>
      </c>
      <c r="C474" s="13"/>
      <c r="D474" s="2"/>
      <c r="E474" s="2"/>
      <c r="F474" s="2">
        <v>3.33</v>
      </c>
      <c r="G474" s="2" t="s">
        <v>380</v>
      </c>
      <c r="H474" s="9">
        <v>-1</v>
      </c>
      <c r="I474">
        <v>-1</v>
      </c>
      <c r="K474" s="2"/>
      <c r="L474" s="2"/>
      <c r="M474" s="2"/>
      <c r="N474" s="23">
        <v>0</v>
      </c>
      <c r="O474" s="2">
        <v>3.78</v>
      </c>
      <c r="P474" s="2">
        <v>3.78</v>
      </c>
      <c r="Q474" s="2">
        <v>47.3</v>
      </c>
      <c r="R474" s="2" t="s">
        <v>519</v>
      </c>
      <c r="S474" s="2">
        <v>23.7</v>
      </c>
      <c r="T474" s="23">
        <v>0</v>
      </c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O474">
        <v>22</v>
      </c>
      <c r="AP474" s="21">
        <v>0</v>
      </c>
      <c r="AR474" s="28">
        <v>1.625</v>
      </c>
      <c r="AS474" s="28">
        <v>1.625</v>
      </c>
      <c r="AT474" s="28">
        <v>0.1875</v>
      </c>
      <c r="AU474" s="28">
        <v>0.25</v>
      </c>
      <c r="AV474" s="28">
        <v>0.44067796610169491</v>
      </c>
      <c r="AW474" s="28">
        <v>0.44067796610169491</v>
      </c>
      <c r="AX474" s="28">
        <v>5.0847457627118647E-2</v>
      </c>
      <c r="AY474" s="28">
        <v>6.7796610169491525E-2</v>
      </c>
      <c r="AZ474" s="25">
        <v>1.1399999999999999</v>
      </c>
      <c r="BA474" s="25">
        <v>3.44</v>
      </c>
      <c r="BB474" s="25">
        <v>2.2999999999999998</v>
      </c>
      <c r="BC474" s="25">
        <v>2.5418750000000001</v>
      </c>
      <c r="BD474">
        <v>2.5418750000000001</v>
      </c>
      <c r="BE474">
        <v>6.5648866022566246</v>
      </c>
    </row>
    <row r="475" spans="1:57" x14ac:dyDescent="0.3">
      <c r="A475" s="2" t="s">
        <v>392</v>
      </c>
      <c r="B475" s="18" t="s">
        <v>1054</v>
      </c>
      <c r="C475" s="13"/>
      <c r="D475" s="2"/>
      <c r="E475" s="2"/>
      <c r="F475" s="2">
        <v>3.35</v>
      </c>
      <c r="G475" s="2" t="s">
        <v>380</v>
      </c>
      <c r="H475" s="9">
        <v>-1</v>
      </c>
      <c r="I475">
        <v>-1</v>
      </c>
      <c r="K475" s="2"/>
      <c r="L475" s="2"/>
      <c r="M475" s="2"/>
      <c r="N475" s="23">
        <v>0</v>
      </c>
      <c r="O475" s="2">
        <v>3.81</v>
      </c>
      <c r="P475" s="2">
        <v>3.81</v>
      </c>
      <c r="Q475" s="2">
        <v>28.3</v>
      </c>
      <c r="R475" s="2" t="s">
        <v>519</v>
      </c>
      <c r="S475" s="2">
        <v>28.3</v>
      </c>
      <c r="T475" s="23">
        <v>0</v>
      </c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O475">
        <v>22</v>
      </c>
      <c r="AP475" s="21">
        <v>0</v>
      </c>
      <c r="AR475" s="28">
        <v>1.5789473684210531</v>
      </c>
      <c r="AS475" s="28">
        <v>1.4736842105263159</v>
      </c>
      <c r="AT475" s="28">
        <v>0.15789473684210531</v>
      </c>
      <c r="AU475" s="28">
        <v>0.2105263157894737</v>
      </c>
      <c r="AV475" s="28">
        <v>0.46153846153846162</v>
      </c>
      <c r="AW475" s="28">
        <v>0.43076923076923068</v>
      </c>
      <c r="AX475" s="28">
        <v>4.6153846153846149E-2</v>
      </c>
      <c r="AY475" s="28">
        <v>6.1538461538461528E-2</v>
      </c>
      <c r="AZ475" s="25">
        <v>1.1399999999999999</v>
      </c>
      <c r="BA475" s="25">
        <v>3.44</v>
      </c>
      <c r="BB475" s="25">
        <v>2.2999999999999998</v>
      </c>
      <c r="BC475" s="25">
        <v>2.5063157894736841</v>
      </c>
      <c r="BD475">
        <v>2.5063157894736841</v>
      </c>
      <c r="BE475">
        <v>6.6132852127267361</v>
      </c>
    </row>
    <row r="476" spans="1:57" x14ac:dyDescent="0.3">
      <c r="A476" s="2" t="s">
        <v>1133</v>
      </c>
      <c r="B476" s="18" t="s">
        <v>1055</v>
      </c>
      <c r="C476" s="13"/>
      <c r="D476" s="2"/>
      <c r="E476" s="2"/>
      <c r="F476" s="2">
        <v>3.36</v>
      </c>
      <c r="G476" s="2" t="s">
        <v>380</v>
      </c>
      <c r="H476" s="9">
        <v>-1</v>
      </c>
      <c r="I476">
        <v>-1</v>
      </c>
      <c r="K476" s="2"/>
      <c r="L476" s="2"/>
      <c r="M476" s="2"/>
      <c r="N476" s="23">
        <v>0</v>
      </c>
      <c r="O476" s="2">
        <v>3.74</v>
      </c>
      <c r="P476" s="2">
        <v>3.74</v>
      </c>
      <c r="Q476" s="2">
        <v>30.8</v>
      </c>
      <c r="R476" s="2" t="s">
        <v>519</v>
      </c>
      <c r="S476" s="2">
        <v>30.8</v>
      </c>
      <c r="T476" s="23">
        <v>0</v>
      </c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O476">
        <v>22</v>
      </c>
      <c r="AP476" s="21">
        <v>0</v>
      </c>
      <c r="AR476" s="28">
        <v>1.545454545454545</v>
      </c>
      <c r="AS476" s="28">
        <v>1.363636363636364</v>
      </c>
      <c r="AT476" s="28">
        <v>0.13636363636363641</v>
      </c>
      <c r="AU476" s="28">
        <v>0.1818181818181818</v>
      </c>
      <c r="AV476" s="28">
        <v>0.47887323943661969</v>
      </c>
      <c r="AW476" s="28">
        <v>0.42253521126760563</v>
      </c>
      <c r="AX476" s="28">
        <v>4.2253521126760563E-2</v>
      </c>
      <c r="AY476" s="28">
        <v>5.6338028169014093E-2</v>
      </c>
      <c r="AZ476" s="25">
        <v>1.1399999999999999</v>
      </c>
      <c r="BA476" s="25">
        <v>3.44</v>
      </c>
      <c r="BB476" s="25">
        <v>2.2999999999999998</v>
      </c>
      <c r="BC476" s="25">
        <v>2.4804545454545459</v>
      </c>
      <c r="BD476">
        <v>2.480454545454545</v>
      </c>
      <c r="BE476">
        <v>6.6484842021595449</v>
      </c>
    </row>
    <row r="477" spans="1:57" x14ac:dyDescent="0.3">
      <c r="A477" s="1" t="s">
        <v>394</v>
      </c>
      <c r="B477" s="18" t="s">
        <v>1056</v>
      </c>
      <c r="C477" s="13"/>
      <c r="D477" s="2"/>
      <c r="E477" s="2"/>
      <c r="F477" s="2">
        <v>3.29</v>
      </c>
      <c r="G477" s="2" t="s">
        <v>393</v>
      </c>
      <c r="H477" s="9">
        <v>-1</v>
      </c>
      <c r="I477">
        <v>-1</v>
      </c>
      <c r="K477" s="2"/>
      <c r="L477" s="2"/>
      <c r="M477" s="2"/>
      <c r="N477" s="23">
        <v>0</v>
      </c>
      <c r="O477" s="2">
        <v>3.85</v>
      </c>
      <c r="P477" s="2">
        <v>3.85</v>
      </c>
      <c r="Q477" s="2">
        <v>21.37</v>
      </c>
      <c r="R477" s="2" t="s">
        <v>1131</v>
      </c>
      <c r="S477" s="2"/>
      <c r="T477" s="23">
        <v>0</v>
      </c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O477">
        <v>26</v>
      </c>
      <c r="AP477" s="21">
        <v>0</v>
      </c>
      <c r="AR477" s="28">
        <v>1.791666666666667</v>
      </c>
      <c r="AS477" s="28">
        <v>2.416666666666667</v>
      </c>
      <c r="AT477" s="28">
        <v>1.166666666666667</v>
      </c>
      <c r="AU477" s="28">
        <v>1.166666666666667</v>
      </c>
      <c r="AV477" s="28">
        <v>0.27388535031847128</v>
      </c>
      <c r="AW477" s="28">
        <v>0.36942675159235672</v>
      </c>
      <c r="AX477" s="28">
        <v>0.178343949044586</v>
      </c>
      <c r="AY477" s="28">
        <v>0.178343949044586</v>
      </c>
      <c r="AZ477" s="25">
        <v>0.82</v>
      </c>
      <c r="BA477" s="25">
        <v>3.44</v>
      </c>
      <c r="BB477" s="25">
        <v>2.62</v>
      </c>
      <c r="BC477" s="25">
        <v>2.689166666666666</v>
      </c>
      <c r="BD477">
        <v>2.6891666666666669</v>
      </c>
      <c r="BE477">
        <v>6.2990365295585002</v>
      </c>
    </row>
    <row r="478" spans="1:57" s="5" customFormat="1" x14ac:dyDescent="0.3">
      <c r="A478" s="5" t="s">
        <v>395</v>
      </c>
      <c r="B478" s="43" t="s">
        <v>1057</v>
      </c>
      <c r="C478" s="39"/>
      <c r="F478" s="5">
        <v>3.17</v>
      </c>
      <c r="G478" s="5" t="s">
        <v>393</v>
      </c>
      <c r="H478" s="40">
        <v>-2</v>
      </c>
      <c r="I478" s="5">
        <v>-1</v>
      </c>
      <c r="N478" s="41">
        <v>0</v>
      </c>
      <c r="O478" s="5">
        <v>-1</v>
      </c>
      <c r="Q478" s="5">
        <v>21.88</v>
      </c>
      <c r="T478" s="41">
        <v>0</v>
      </c>
      <c r="AO478" s="5">
        <v>26</v>
      </c>
      <c r="AP478" s="41">
        <v>0</v>
      </c>
      <c r="AR478" s="5">
        <v>1.7272727272727271</v>
      </c>
      <c r="AS478" s="5">
        <v>2.1818181818181821</v>
      </c>
      <c r="AT478" s="5">
        <v>1.0181818181818181</v>
      </c>
      <c r="AU478" s="5">
        <v>1.0181818181818181</v>
      </c>
      <c r="AV478" s="5">
        <v>0.29051987767584098</v>
      </c>
      <c r="AW478" s="5">
        <v>0.36697247706422009</v>
      </c>
      <c r="AX478" s="5">
        <v>0.17125382262996941</v>
      </c>
      <c r="AY478" s="5">
        <v>0.17125382262996941</v>
      </c>
      <c r="AZ478" s="41">
        <v>0.82</v>
      </c>
      <c r="BA478" s="41">
        <v>3.44</v>
      </c>
      <c r="BB478" s="41">
        <v>2.62</v>
      </c>
      <c r="BC478" s="41">
        <v>2.6647272727272728</v>
      </c>
      <c r="BD478" s="5">
        <v>2.6647272727272728</v>
      </c>
      <c r="BE478" s="5">
        <v>6.4638943890893454</v>
      </c>
    </row>
    <row r="479" spans="1:57" s="5" customFormat="1" x14ac:dyDescent="0.3">
      <c r="A479" s="5" t="s">
        <v>396</v>
      </c>
      <c r="B479" s="43" t="s">
        <v>1058</v>
      </c>
      <c r="C479" s="39"/>
      <c r="F479" s="5">
        <v>3.19</v>
      </c>
      <c r="G479" s="5" t="s">
        <v>393</v>
      </c>
      <c r="H479" s="40">
        <v>-2</v>
      </c>
      <c r="I479" s="5">
        <v>-1</v>
      </c>
      <c r="N479" s="41">
        <v>0</v>
      </c>
      <c r="O479" s="5">
        <v>-1</v>
      </c>
      <c r="Q479" s="5">
        <v>23.3</v>
      </c>
      <c r="T479" s="41">
        <v>0</v>
      </c>
      <c r="AO479" s="5">
        <v>26</v>
      </c>
      <c r="AP479" s="41">
        <v>0</v>
      </c>
      <c r="AR479" s="5">
        <v>1.693548387096774</v>
      </c>
      <c r="AS479" s="5">
        <v>2.0483870967741939</v>
      </c>
      <c r="AT479" s="5">
        <v>1.064516129032258</v>
      </c>
      <c r="AU479" s="5">
        <v>1.129032258064516</v>
      </c>
      <c r="AV479" s="5">
        <v>0.28532608695652167</v>
      </c>
      <c r="AW479" s="5">
        <v>0.34510869565217389</v>
      </c>
      <c r="AX479" s="5">
        <v>0.17934782608695651</v>
      </c>
      <c r="AY479" s="5">
        <v>0.19021739130434781</v>
      </c>
      <c r="AZ479" s="41">
        <v>0.82</v>
      </c>
      <c r="BA479" s="41">
        <v>3.44</v>
      </c>
      <c r="BB479" s="41">
        <v>2.62</v>
      </c>
      <c r="BC479" s="41">
        <v>2.620645161290323</v>
      </c>
      <c r="BD479" s="5">
        <v>2.620645161290323</v>
      </c>
      <c r="BE479" s="5">
        <v>6.4654289883277096</v>
      </c>
    </row>
    <row r="480" spans="1:57" s="5" customFormat="1" x14ac:dyDescent="0.3">
      <c r="A480" s="5" t="s">
        <v>397</v>
      </c>
      <c r="B480" s="43" t="s">
        <v>1059</v>
      </c>
      <c r="C480" s="39"/>
      <c r="F480" s="5">
        <v>3.19</v>
      </c>
      <c r="G480" s="5" t="s">
        <v>393</v>
      </c>
      <c r="H480" s="40">
        <v>-2</v>
      </c>
      <c r="I480" s="5">
        <v>-1</v>
      </c>
      <c r="N480" s="41">
        <v>0</v>
      </c>
      <c r="O480" s="5">
        <v>-1</v>
      </c>
      <c r="Q480" s="5">
        <v>25.26</v>
      </c>
      <c r="T480" s="41">
        <v>0</v>
      </c>
      <c r="U480" s="41"/>
      <c r="V480" s="41"/>
      <c r="AO480" s="5">
        <v>26</v>
      </c>
      <c r="AP480" s="41">
        <v>0</v>
      </c>
      <c r="AQ480" s="41"/>
      <c r="AR480" s="5">
        <v>1.661764705882353</v>
      </c>
      <c r="AS480" s="5">
        <v>1.9264705882352939</v>
      </c>
      <c r="AT480" s="5">
        <v>0.97058823529411764</v>
      </c>
      <c r="AU480" s="5">
        <v>1.029411764705882</v>
      </c>
      <c r="AV480" s="5">
        <v>0.29736842105263162</v>
      </c>
      <c r="AW480" s="5">
        <v>0.34473684210526317</v>
      </c>
      <c r="AX480" s="5">
        <v>0.1736842105263158</v>
      </c>
      <c r="AY480" s="5">
        <v>0.18421052631578949</v>
      </c>
      <c r="AZ480" s="41">
        <v>0.82</v>
      </c>
      <c r="BA480" s="41">
        <v>3.44</v>
      </c>
      <c r="BB480" s="41">
        <v>2.62</v>
      </c>
      <c r="BC480" s="41">
        <v>2.5938235294117651</v>
      </c>
      <c r="BD480" s="5">
        <v>2.5938235294117651</v>
      </c>
      <c r="BE480" s="5">
        <v>6.5012509424665001</v>
      </c>
    </row>
    <row r="481" spans="1:57" s="5" customFormat="1" x14ac:dyDescent="0.3">
      <c r="A481" s="5" t="s">
        <v>398</v>
      </c>
      <c r="B481" s="43" t="s">
        <v>1060</v>
      </c>
      <c r="C481" s="39"/>
      <c r="F481" s="5">
        <v>3.17</v>
      </c>
      <c r="G481" s="5" t="s">
        <v>393</v>
      </c>
      <c r="H481" s="40">
        <v>-2</v>
      </c>
      <c r="I481" s="5">
        <v>-1</v>
      </c>
      <c r="N481" s="41">
        <v>0</v>
      </c>
      <c r="O481" s="5">
        <v>-1</v>
      </c>
      <c r="Q481" s="5">
        <v>27.23</v>
      </c>
      <c r="T481" s="41">
        <v>0</v>
      </c>
      <c r="U481" s="41"/>
      <c r="V481" s="41"/>
      <c r="AO481" s="5">
        <v>26</v>
      </c>
      <c r="AP481" s="41">
        <v>0</v>
      </c>
      <c r="AQ481" s="41"/>
      <c r="AR481" s="5">
        <v>1.6351351351351351</v>
      </c>
      <c r="AS481" s="5">
        <v>1.8243243243243239</v>
      </c>
      <c r="AT481" s="5">
        <v>0.89189189189189189</v>
      </c>
      <c r="AU481" s="5">
        <v>0.94594594594594594</v>
      </c>
      <c r="AV481" s="5">
        <v>0.30867346938775508</v>
      </c>
      <c r="AW481" s="5">
        <v>0.34438775510204078</v>
      </c>
      <c r="AX481" s="5">
        <v>0.1683673469387755</v>
      </c>
      <c r="AY481" s="5">
        <v>0.1785714285714286</v>
      </c>
      <c r="AZ481" s="41">
        <v>0.82</v>
      </c>
      <c r="BA481" s="41">
        <v>3.44</v>
      </c>
      <c r="BB481" s="41">
        <v>2.62</v>
      </c>
      <c r="BC481" s="41">
        <v>2.5713513513513511</v>
      </c>
      <c r="BD481" s="5">
        <v>2.571351351351352</v>
      </c>
      <c r="BE481" s="5">
        <v>6.5312639310692706</v>
      </c>
    </row>
    <row r="482" spans="1:57" s="5" customFormat="1" x14ac:dyDescent="0.3">
      <c r="A482" s="5" t="s">
        <v>399</v>
      </c>
      <c r="B482" s="43" t="s">
        <v>1061</v>
      </c>
      <c r="C482" s="39"/>
      <c r="F482" s="5">
        <v>3.15</v>
      </c>
      <c r="G482" s="5" t="s">
        <v>393</v>
      </c>
      <c r="H482" s="40">
        <v>-2</v>
      </c>
      <c r="I482" s="5">
        <v>-1</v>
      </c>
      <c r="N482" s="41">
        <v>0</v>
      </c>
      <c r="O482" s="5">
        <v>-1</v>
      </c>
      <c r="Q482" s="5">
        <v>33.19</v>
      </c>
      <c r="T482" s="41">
        <v>0</v>
      </c>
      <c r="U482" s="41"/>
      <c r="V482" s="41"/>
      <c r="AO482" s="5">
        <v>26</v>
      </c>
      <c r="AP482" s="41">
        <v>0</v>
      </c>
      <c r="AQ482" s="41"/>
      <c r="AR482" s="5">
        <v>1.593023255813953</v>
      </c>
      <c r="AS482" s="5">
        <v>1.6627906976744189</v>
      </c>
      <c r="AT482" s="5">
        <v>0.76744186046511631</v>
      </c>
      <c r="AU482" s="5">
        <v>0.81395348837209303</v>
      </c>
      <c r="AV482" s="5">
        <v>0.32932692307692307</v>
      </c>
      <c r="AW482" s="5">
        <v>0.34375000000000011</v>
      </c>
      <c r="AX482" s="5">
        <v>0.1586538461538462</v>
      </c>
      <c r="AY482" s="5">
        <v>0.16826923076923081</v>
      </c>
      <c r="AZ482" s="41">
        <v>0.82</v>
      </c>
      <c r="BA482" s="41">
        <v>3.44</v>
      </c>
      <c r="BB482" s="41">
        <v>2.62</v>
      </c>
      <c r="BC482" s="41">
        <v>2.5358139534883719</v>
      </c>
      <c r="BD482" s="5">
        <v>2.5358139534883719</v>
      </c>
      <c r="BE482" s="5">
        <v>6.5787263316503957</v>
      </c>
    </row>
    <row r="483" spans="1:57" s="5" customFormat="1" x14ac:dyDescent="0.3">
      <c r="A483" s="5" t="s">
        <v>400</v>
      </c>
      <c r="B483" s="43" t="s">
        <v>1062</v>
      </c>
      <c r="C483" s="39"/>
      <c r="F483" s="5">
        <v>3.15</v>
      </c>
      <c r="G483" s="5" t="s">
        <v>393</v>
      </c>
      <c r="H483" s="49">
        <v>-2</v>
      </c>
      <c r="I483" s="5">
        <v>-1</v>
      </c>
      <c r="N483" s="41">
        <v>0</v>
      </c>
      <c r="O483" s="5">
        <v>-1</v>
      </c>
      <c r="Q483" s="5">
        <v>38.67</v>
      </c>
      <c r="T483" s="41">
        <v>0</v>
      </c>
      <c r="U483" s="41"/>
      <c r="V483" s="41"/>
      <c r="AO483" s="5">
        <v>26</v>
      </c>
      <c r="AP483" s="41">
        <v>0</v>
      </c>
      <c r="AQ483" s="41"/>
      <c r="AR483" s="5">
        <v>1.561224489795918</v>
      </c>
      <c r="AS483" s="5">
        <v>1.5408163265306121</v>
      </c>
      <c r="AT483" s="5">
        <v>0.67346938775510201</v>
      </c>
      <c r="AU483" s="5">
        <v>0.7142857142857143</v>
      </c>
      <c r="AV483" s="5">
        <v>0.34772727272727277</v>
      </c>
      <c r="AW483" s="5">
        <v>0.3431818181818182</v>
      </c>
      <c r="AX483" s="5">
        <v>0.15</v>
      </c>
      <c r="AY483" s="5">
        <v>0.15909090909090909</v>
      </c>
      <c r="AZ483" s="41">
        <v>0.82</v>
      </c>
      <c r="BA483" s="41">
        <v>3.44</v>
      </c>
      <c r="BB483" s="41">
        <v>2.62</v>
      </c>
      <c r="BC483" s="41">
        <v>2.5089795918367348</v>
      </c>
      <c r="BD483" s="5">
        <v>2.5089795918367348</v>
      </c>
      <c r="BE483" s="5">
        <v>6.6145652871912439</v>
      </c>
    </row>
    <row r="484" spans="1:57" x14ac:dyDescent="0.3">
      <c r="A484" s="2" t="s">
        <v>381</v>
      </c>
      <c r="B484" s="13" t="s">
        <v>838</v>
      </c>
      <c r="C484" s="13"/>
      <c r="D484" s="2"/>
      <c r="E484" s="2"/>
      <c r="F484" s="2">
        <v>3.46</v>
      </c>
      <c r="G484" s="2" t="s">
        <v>401</v>
      </c>
      <c r="H484" s="9">
        <v>-1</v>
      </c>
      <c r="I484">
        <v>-1</v>
      </c>
      <c r="K484" s="2"/>
      <c r="L484" s="2"/>
      <c r="M484" s="2"/>
      <c r="N484" s="23">
        <v>0</v>
      </c>
      <c r="O484" s="2">
        <v>3.7829999999999999</v>
      </c>
      <c r="P484" s="2">
        <v>3.7829999999999999</v>
      </c>
      <c r="Q484" s="2">
        <v>27.18</v>
      </c>
      <c r="R484" s="2" t="s">
        <v>1131</v>
      </c>
      <c r="S484" s="2"/>
      <c r="T484" s="23">
        <v>0</v>
      </c>
      <c r="U484" s="23"/>
      <c r="V484" s="23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O484">
        <v>20</v>
      </c>
      <c r="AP484" s="21">
        <v>0</v>
      </c>
      <c r="AQ484" s="21"/>
      <c r="AR484" s="28">
        <v>1.882352941176471</v>
      </c>
      <c r="AS484" s="28">
        <v>2.3529411764705879</v>
      </c>
      <c r="AT484" s="28">
        <v>0.35294117647058831</v>
      </c>
      <c r="AU484" s="28">
        <v>0.47058823529411759</v>
      </c>
      <c r="AV484" s="28">
        <v>0.37209302325581389</v>
      </c>
      <c r="AW484" s="28">
        <v>0.46511627906976749</v>
      </c>
      <c r="AX484" s="28">
        <v>6.9767441860465129E-2</v>
      </c>
      <c r="AY484" s="28">
        <v>9.3023255813953487E-2</v>
      </c>
      <c r="AZ484" s="25">
        <v>1.1399999999999999</v>
      </c>
      <c r="BA484" s="25">
        <v>3.44</v>
      </c>
      <c r="BB484" s="25">
        <v>2.2999999999999998</v>
      </c>
      <c r="BC484" s="25">
        <v>2.6882352941176468</v>
      </c>
      <c r="BD484">
        <v>2.6882352941176468</v>
      </c>
      <c r="BE484">
        <v>6.2192249941001183</v>
      </c>
    </row>
    <row r="485" spans="1:57" x14ac:dyDescent="0.3">
      <c r="A485" s="2" t="s">
        <v>385</v>
      </c>
      <c r="B485" s="18" t="s">
        <v>1063</v>
      </c>
      <c r="C485" s="13"/>
      <c r="D485" s="2"/>
      <c r="E485" s="2"/>
      <c r="F485" s="2">
        <v>3.58</v>
      </c>
      <c r="G485" s="2" t="s">
        <v>401</v>
      </c>
      <c r="H485" s="9">
        <v>-1</v>
      </c>
      <c r="I485">
        <v>-1</v>
      </c>
      <c r="K485" s="2"/>
      <c r="L485" s="2"/>
      <c r="M485" s="2"/>
      <c r="N485" s="23">
        <v>0</v>
      </c>
      <c r="O485" s="2">
        <v>3.802</v>
      </c>
      <c r="P485" s="2">
        <v>3.802</v>
      </c>
      <c r="Q485" s="2">
        <v>24.7</v>
      </c>
      <c r="R485" s="2" t="s">
        <v>439</v>
      </c>
      <c r="S485" s="2"/>
      <c r="T485" s="23">
        <v>0</v>
      </c>
      <c r="U485" s="23"/>
      <c r="V485" s="23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O485">
        <v>20</v>
      </c>
      <c r="AP485" s="21">
        <v>0</v>
      </c>
      <c r="AQ485" s="21"/>
      <c r="AR485" s="28">
        <v>1.606060606060606</v>
      </c>
      <c r="AS485" s="28">
        <v>1.545454545454545</v>
      </c>
      <c r="AT485" s="28">
        <v>0.1818181818181818</v>
      </c>
      <c r="AU485" s="28">
        <v>0.2424242424242424</v>
      </c>
      <c r="AV485" s="28">
        <v>0.44915254237288132</v>
      </c>
      <c r="AW485" s="28">
        <v>0.43220338983050849</v>
      </c>
      <c r="AX485" s="28">
        <v>5.0847457627118647E-2</v>
      </c>
      <c r="AY485" s="28">
        <v>6.7796610169491525E-2</v>
      </c>
      <c r="AZ485" s="25">
        <v>1.1399999999999999</v>
      </c>
      <c r="BA485" s="25">
        <v>3.44</v>
      </c>
      <c r="BB485" s="25">
        <v>2.2999999999999998</v>
      </c>
      <c r="BC485" s="25">
        <v>2.51939393939394</v>
      </c>
      <c r="BD485">
        <v>2.51939393939394</v>
      </c>
      <c r="BE485">
        <v>6.5741021946079687</v>
      </c>
    </row>
    <row r="486" spans="1:57" x14ac:dyDescent="0.3">
      <c r="A486" s="2" t="s">
        <v>51</v>
      </c>
      <c r="B486" s="13" t="s">
        <v>703</v>
      </c>
      <c r="C486" s="13"/>
      <c r="D486" s="2"/>
      <c r="E486" s="2"/>
      <c r="F486" s="2">
        <v>5.5</v>
      </c>
      <c r="G486" s="2" t="s">
        <v>52</v>
      </c>
      <c r="H486" s="9" t="s">
        <v>536</v>
      </c>
      <c r="I486" t="s">
        <v>617</v>
      </c>
      <c r="K486" s="2"/>
      <c r="L486" s="2"/>
      <c r="M486" s="2"/>
      <c r="N486" s="23">
        <v>1</v>
      </c>
      <c r="O486" s="2">
        <v>-1</v>
      </c>
      <c r="P486" s="2"/>
      <c r="Q486" s="2"/>
      <c r="R486" s="2"/>
      <c r="S486" s="2"/>
      <c r="T486" s="23">
        <v>12.88926011</v>
      </c>
      <c r="U486" s="23">
        <v>12.88926011</v>
      </c>
      <c r="V486" s="23">
        <v>12.88926011</v>
      </c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O486">
        <v>18</v>
      </c>
      <c r="AP486" s="21">
        <v>195.03203980213701</v>
      </c>
      <c r="AQ486" s="21">
        <v>9.2292528029042184E-2</v>
      </c>
      <c r="AR486" s="28">
        <v>2</v>
      </c>
      <c r="AS486" s="28">
        <v>3</v>
      </c>
      <c r="AT486" s="28">
        <v>1.857142857142857</v>
      </c>
      <c r="AU486" s="28">
        <v>4</v>
      </c>
      <c r="AV486" s="28">
        <v>0.18421052631578949</v>
      </c>
      <c r="AW486" s="28">
        <v>0.27631578947368418</v>
      </c>
      <c r="AX486" s="28">
        <v>0.1710526315789474</v>
      </c>
      <c r="AY486" s="28">
        <v>0.36842105263157893</v>
      </c>
      <c r="AZ486" s="25">
        <v>0.95</v>
      </c>
      <c r="BA486" s="25">
        <v>3.44</v>
      </c>
      <c r="BB486" s="25">
        <v>2.4900000000000002</v>
      </c>
      <c r="BC486" s="25">
        <v>2.782142857142857</v>
      </c>
      <c r="BD486">
        <v>2.7821428571428579</v>
      </c>
      <c r="BE486">
        <v>6.2021612289285706</v>
      </c>
    </row>
    <row r="487" spans="1:57" x14ac:dyDescent="0.3">
      <c r="A487" s="2" t="s">
        <v>403</v>
      </c>
      <c r="B487" s="17" t="s">
        <v>956</v>
      </c>
      <c r="C487" s="13"/>
      <c r="D487" s="2"/>
      <c r="E487" s="2"/>
      <c r="F487" s="2">
        <v>3.76</v>
      </c>
      <c r="G487" s="2" t="s">
        <v>402</v>
      </c>
      <c r="H487" s="9">
        <v>-1</v>
      </c>
      <c r="I487">
        <v>-1</v>
      </c>
      <c r="K487" s="2"/>
      <c r="L487" s="2"/>
      <c r="M487" s="2"/>
      <c r="N487" s="23">
        <v>0</v>
      </c>
      <c r="O487" s="2">
        <v>3.9</v>
      </c>
      <c r="P487" s="2">
        <v>3.9</v>
      </c>
      <c r="Q487" s="2">
        <f>15.91*2</f>
        <v>31.82</v>
      </c>
      <c r="R487" s="2"/>
      <c r="S487" s="2"/>
      <c r="T487" s="23">
        <v>0</v>
      </c>
      <c r="U487" s="23"/>
      <c r="V487" s="23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O487">
        <v>20</v>
      </c>
      <c r="AP487" s="21">
        <v>0</v>
      </c>
      <c r="AQ487" s="21"/>
      <c r="AR487" s="28">
        <v>1.882352941176471</v>
      </c>
      <c r="AS487" s="28">
        <v>2.3529411764705879</v>
      </c>
      <c r="AT487" s="28">
        <v>0.43529411764705878</v>
      </c>
      <c r="AU487" s="28">
        <v>0.82352941176470584</v>
      </c>
      <c r="AV487" s="28">
        <v>0.34261241970021411</v>
      </c>
      <c r="AW487" s="28">
        <v>0.42826552462526768</v>
      </c>
      <c r="AX487" s="28">
        <v>7.922912205567452E-2</v>
      </c>
      <c r="AY487" s="28">
        <v>0.1498929336188437</v>
      </c>
      <c r="AZ487" s="25">
        <v>0.82</v>
      </c>
      <c r="BA487" s="25">
        <v>3.44</v>
      </c>
      <c r="BB487" s="25">
        <v>2.62</v>
      </c>
      <c r="BC487" s="25">
        <v>2.5324117647058819</v>
      </c>
      <c r="BD487">
        <v>2.532941176470588</v>
      </c>
      <c r="BE487">
        <v>5.690008021176471</v>
      </c>
    </row>
    <row r="488" spans="1:57" s="2" customFormat="1" x14ac:dyDescent="0.3">
      <c r="A488" s="2" t="s">
        <v>404</v>
      </c>
      <c r="B488" s="33" t="s">
        <v>957</v>
      </c>
      <c r="C488" s="34"/>
      <c r="F488" s="2">
        <v>3.88</v>
      </c>
      <c r="G488" s="2" t="s">
        <v>402</v>
      </c>
      <c r="H488" s="35">
        <v>-1</v>
      </c>
      <c r="I488" s="2">
        <v>-1</v>
      </c>
      <c r="N488" s="29">
        <v>0</v>
      </c>
      <c r="O488" s="2">
        <v>3.8050000000000002</v>
      </c>
      <c r="P488" s="2">
        <v>3.8050000000000002</v>
      </c>
      <c r="Q488" s="2">
        <v>27.44</v>
      </c>
      <c r="R488" s="2" t="s">
        <v>1131</v>
      </c>
      <c r="T488" s="29">
        <v>0</v>
      </c>
      <c r="U488" s="29"/>
      <c r="V488" s="29"/>
      <c r="AO488" s="2">
        <v>20</v>
      </c>
      <c r="AP488" s="29">
        <v>0</v>
      </c>
      <c r="AQ488" s="29"/>
      <c r="AR488" s="2">
        <v>1.882352941176471</v>
      </c>
      <c r="AS488" s="2">
        <v>2.3529411764705879</v>
      </c>
      <c r="AT488" s="2">
        <v>0.43529411764705878</v>
      </c>
      <c r="AU488" s="2">
        <v>0.82352941176470584</v>
      </c>
      <c r="AV488" s="2">
        <v>0.34261241970021411</v>
      </c>
      <c r="AW488" s="2">
        <v>0.42826552462526768</v>
      </c>
      <c r="AX488" s="2">
        <v>7.922912205567452E-2</v>
      </c>
      <c r="AY488" s="2">
        <v>0.1498929336188437</v>
      </c>
      <c r="AZ488" s="29">
        <v>1.1850000000000001</v>
      </c>
      <c r="BA488" s="29">
        <v>3.44</v>
      </c>
      <c r="BB488" s="29">
        <v>2.2549999999999999</v>
      </c>
      <c r="BC488" s="29">
        <v>2.6947647058823532</v>
      </c>
      <c r="BD488" s="2">
        <v>2.6952941176470588</v>
      </c>
      <c r="BE488" s="2">
        <v>6.2494732999824709</v>
      </c>
    </row>
    <row r="489" spans="1:57" x14ac:dyDescent="0.3">
      <c r="A489" s="2" t="s">
        <v>405</v>
      </c>
      <c r="B489" s="17" t="s">
        <v>958</v>
      </c>
      <c r="C489" s="13"/>
      <c r="D489" s="2"/>
      <c r="E489" s="2"/>
      <c r="F489" s="2">
        <v>4.51</v>
      </c>
      <c r="G489" s="2" t="s">
        <v>402</v>
      </c>
      <c r="H489" s="9">
        <v>-1</v>
      </c>
      <c r="I489">
        <v>-1</v>
      </c>
      <c r="J489" s="1" t="s">
        <v>1184</v>
      </c>
      <c r="K489" s="2"/>
      <c r="L489" s="2"/>
      <c r="M489" s="2"/>
      <c r="N489" s="23">
        <v>0</v>
      </c>
      <c r="O489" s="2">
        <v>-1</v>
      </c>
      <c r="P489" s="2"/>
      <c r="Q489" s="2"/>
      <c r="R489" s="2"/>
      <c r="S489" s="2"/>
      <c r="T489" s="23">
        <v>0</v>
      </c>
      <c r="U489" s="23"/>
      <c r="V489" s="23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O489">
        <v>14</v>
      </c>
      <c r="AP489" s="21">
        <v>0</v>
      </c>
      <c r="AQ489" s="21"/>
      <c r="AR489" s="28">
        <v>1.9090909090909089</v>
      </c>
      <c r="AS489" s="28">
        <v>2.545454545454545</v>
      </c>
      <c r="AT489" s="28">
        <v>0.60909090909090913</v>
      </c>
      <c r="AU489" s="28">
        <v>2.790909090909091</v>
      </c>
      <c r="AV489" s="28">
        <v>0.24305555555555561</v>
      </c>
      <c r="AW489" s="28">
        <v>0.32407407407407413</v>
      </c>
      <c r="AX489" s="28">
        <v>7.7546296296296308E-2</v>
      </c>
      <c r="AY489" s="28">
        <v>0.35532407407407413</v>
      </c>
      <c r="AZ489" s="25">
        <v>0.82</v>
      </c>
      <c r="BA489" s="25">
        <v>3.44</v>
      </c>
      <c r="BB489" s="25">
        <v>2.62</v>
      </c>
      <c r="BC489" s="25">
        <v>2.6393636363636359</v>
      </c>
      <c r="BD489">
        <v>2.6363636363636358</v>
      </c>
      <c r="BE489">
        <v>6.0025089159090914</v>
      </c>
    </row>
    <row r="490" spans="1:57" s="2" customFormat="1" x14ac:dyDescent="0.3">
      <c r="A490" s="2" t="s">
        <v>1190</v>
      </c>
      <c r="B490" s="33" t="s">
        <v>959</v>
      </c>
      <c r="C490" s="34"/>
      <c r="F490" s="2">
        <v>5.4</v>
      </c>
      <c r="G490" s="2" t="s">
        <v>402</v>
      </c>
      <c r="H490" s="35">
        <v>-1</v>
      </c>
      <c r="I490" s="2">
        <v>-1</v>
      </c>
      <c r="J490" s="2" t="s">
        <v>1164</v>
      </c>
      <c r="N490" s="29">
        <v>0</v>
      </c>
      <c r="O490" s="2">
        <v>3.89</v>
      </c>
      <c r="P490" s="2">
        <v>3.89</v>
      </c>
      <c r="Q490" s="2">
        <v>10.34</v>
      </c>
      <c r="R490" s="2" t="s">
        <v>440</v>
      </c>
      <c r="T490" s="29">
        <v>0</v>
      </c>
      <c r="U490" s="29"/>
      <c r="V490" s="29"/>
      <c r="AO490" s="2">
        <v>14</v>
      </c>
      <c r="AP490" s="29">
        <v>0</v>
      </c>
      <c r="AQ490" s="29"/>
      <c r="AR490" s="2">
        <v>2</v>
      </c>
      <c r="AS490" s="2">
        <v>2.8</v>
      </c>
      <c r="AT490" s="2">
        <v>0.67</v>
      </c>
      <c r="AU490" s="2">
        <v>3.07</v>
      </c>
      <c r="AV490" s="2">
        <v>0.23419203747072601</v>
      </c>
      <c r="AW490" s="2">
        <v>0.32786885245901642</v>
      </c>
      <c r="AX490" s="2">
        <v>7.8454332552693226E-2</v>
      </c>
      <c r="AY490" s="2">
        <v>0.35948477751756441</v>
      </c>
      <c r="AZ490" s="29">
        <v>1.1000000000000001</v>
      </c>
      <c r="BA490" s="29">
        <v>3.44</v>
      </c>
      <c r="BB490" s="29">
        <v>2.34</v>
      </c>
      <c r="BC490" s="29">
        <v>2.8212999999999999</v>
      </c>
      <c r="BD490" s="2">
        <v>2.8180000000000001</v>
      </c>
      <c r="BE490" s="2">
        <v>6.3696075919999986</v>
      </c>
    </row>
    <row r="491" spans="1:57" x14ac:dyDescent="0.3">
      <c r="A491" s="2" t="s">
        <v>406</v>
      </c>
      <c r="B491" s="17" t="s">
        <v>960</v>
      </c>
      <c r="C491" s="13"/>
      <c r="D491" s="2"/>
      <c r="E491" s="2"/>
      <c r="F491" s="2">
        <v>0.01</v>
      </c>
      <c r="G491" s="2" t="s">
        <v>408</v>
      </c>
      <c r="H491" s="9">
        <v>-1</v>
      </c>
      <c r="I491" t="s">
        <v>673</v>
      </c>
      <c r="K491" s="2"/>
      <c r="L491" s="2"/>
      <c r="M491" s="2"/>
      <c r="N491" s="23">
        <v>0</v>
      </c>
      <c r="O491" s="2">
        <v>5.3959999999999999</v>
      </c>
      <c r="P491" s="2">
        <v>5.4489999999999998</v>
      </c>
      <c r="Q491" s="2">
        <v>20.521999999999998</v>
      </c>
      <c r="R491" s="2" t="s">
        <v>1135</v>
      </c>
      <c r="S491" s="2"/>
      <c r="T491" s="23">
        <v>0</v>
      </c>
      <c r="U491" s="23"/>
      <c r="V491" s="23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O491">
        <v>13.84</v>
      </c>
      <c r="AP491" s="21">
        <v>0</v>
      </c>
      <c r="AQ491" s="21"/>
      <c r="AR491" s="28">
        <v>2</v>
      </c>
      <c r="AS491" s="28">
        <v>2.3221476510067109</v>
      </c>
      <c r="AT491" s="28">
        <v>1.593959731543624</v>
      </c>
      <c r="AU491" s="28">
        <v>0</v>
      </c>
      <c r="AV491" s="28">
        <v>0.33806012478729441</v>
      </c>
      <c r="AW491" s="28">
        <v>0.39251276233692572</v>
      </c>
      <c r="AX491" s="28">
        <v>0.26942711287577992</v>
      </c>
      <c r="AY491" s="28">
        <v>0</v>
      </c>
      <c r="AZ491" s="25">
        <v>1.1000000000000001</v>
      </c>
      <c r="BA491" s="25">
        <v>3.44</v>
      </c>
      <c r="BB491" s="25">
        <v>2.34</v>
      </c>
      <c r="BC491" s="25">
        <v>2.5943624161073831</v>
      </c>
      <c r="BD491">
        <v>2.5943624161073831</v>
      </c>
      <c r="BE491">
        <v>5.8869633505033558</v>
      </c>
    </row>
    <row r="492" spans="1:57" x14ac:dyDescent="0.3">
      <c r="A492" s="2" t="s">
        <v>407</v>
      </c>
      <c r="B492" s="17" t="s">
        <v>961</v>
      </c>
      <c r="C492" s="13"/>
      <c r="D492" s="2"/>
      <c r="E492" s="2"/>
      <c r="F492" s="2">
        <v>0.15</v>
      </c>
      <c r="G492" s="2" t="s">
        <v>408</v>
      </c>
      <c r="H492" s="9">
        <v>-1</v>
      </c>
      <c r="I492" t="s">
        <v>673</v>
      </c>
      <c r="K492" s="2"/>
      <c r="L492" s="2"/>
      <c r="M492" s="2"/>
      <c r="N492" s="23">
        <v>0</v>
      </c>
      <c r="O492" s="2">
        <v>5.484</v>
      </c>
      <c r="P492" s="2">
        <v>5.4790000000000001</v>
      </c>
      <c r="Q492" s="2">
        <v>20.064</v>
      </c>
      <c r="R492" s="2" t="s">
        <v>1135</v>
      </c>
      <c r="S492" s="2"/>
      <c r="T492" s="23">
        <v>0</v>
      </c>
      <c r="U492" s="23"/>
      <c r="V492" s="23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O492">
        <v>12.7</v>
      </c>
      <c r="AP492" s="21">
        <v>0</v>
      </c>
      <c r="AQ492" s="21"/>
      <c r="AR492" s="28">
        <v>2</v>
      </c>
      <c r="AS492" s="28">
        <v>2.2378854625550662</v>
      </c>
      <c r="AT492" s="28">
        <v>1.6740088105726869</v>
      </c>
      <c r="AU492" s="28">
        <v>0</v>
      </c>
      <c r="AV492" s="28">
        <v>0.33830104321907611</v>
      </c>
      <c r="AW492" s="28">
        <v>0.37853949329359171</v>
      </c>
      <c r="AX492" s="28">
        <v>0.2831594634873324</v>
      </c>
      <c r="AY492" s="28">
        <v>0</v>
      </c>
      <c r="AZ492" s="25">
        <v>1.1000000000000001</v>
      </c>
      <c r="BA492" s="25">
        <v>3.44</v>
      </c>
      <c r="BB492" s="25">
        <v>2.34</v>
      </c>
      <c r="BC492" s="25">
        <v>2.5518942731277532</v>
      </c>
      <c r="BD492">
        <v>2.5518942731277532</v>
      </c>
      <c r="BE492">
        <v>5.8039684980176212</v>
      </c>
    </row>
    <row r="493" spans="1:57" x14ac:dyDescent="0.3">
      <c r="A493" s="2" t="s">
        <v>409</v>
      </c>
      <c r="B493" s="17" t="s">
        <v>962</v>
      </c>
      <c r="C493" s="13"/>
      <c r="D493" s="2"/>
      <c r="E493" s="2"/>
      <c r="F493" s="2">
        <v>3.22</v>
      </c>
      <c r="G493" s="2" t="s">
        <v>411</v>
      </c>
      <c r="H493" s="9">
        <v>-1</v>
      </c>
      <c r="I493">
        <v>-1</v>
      </c>
      <c r="K493" s="2"/>
      <c r="L493" s="2"/>
      <c r="M493" s="2"/>
      <c r="N493" s="23">
        <v>0</v>
      </c>
      <c r="O493" s="2">
        <v>7.8239999999999998</v>
      </c>
      <c r="P493" s="2">
        <v>7.8432000000000004</v>
      </c>
      <c r="Q493" s="2">
        <v>7.9165000000000001</v>
      </c>
      <c r="R493" s="2" t="s">
        <v>1136</v>
      </c>
      <c r="S493" s="2"/>
      <c r="T493" s="23">
        <v>0</v>
      </c>
      <c r="U493" s="23"/>
      <c r="V493" s="23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O493">
        <v>6</v>
      </c>
      <c r="AP493" s="21">
        <v>0</v>
      </c>
      <c r="AQ493" s="21"/>
      <c r="AR493" s="28">
        <v>1.7690531177829101</v>
      </c>
      <c r="AS493" s="28">
        <v>2.7713625866050808</v>
      </c>
      <c r="AT493" s="28">
        <v>1</v>
      </c>
      <c r="AU493" s="28">
        <v>0</v>
      </c>
      <c r="AV493" s="28">
        <v>0.31929970821175491</v>
      </c>
      <c r="AW493" s="28">
        <v>0.50020842017507294</v>
      </c>
      <c r="AX493" s="28">
        <v>0.18049187161317221</v>
      </c>
      <c r="AY493" s="28">
        <v>0</v>
      </c>
      <c r="AZ493" s="25">
        <v>1.1000000000000001</v>
      </c>
      <c r="BA493" s="25">
        <v>3.44</v>
      </c>
      <c r="BB493" s="25">
        <v>2.34</v>
      </c>
      <c r="BC493" s="25">
        <v>2.8367205542725169</v>
      </c>
      <c r="BD493">
        <v>2.8367205542725169</v>
      </c>
      <c r="BE493">
        <v>6.3438920491916866</v>
      </c>
    </row>
    <row r="494" spans="1:57" x14ac:dyDescent="0.3">
      <c r="A494" s="2" t="s">
        <v>90</v>
      </c>
      <c r="B494" s="17" t="s">
        <v>963</v>
      </c>
      <c r="C494" s="13"/>
      <c r="D494" s="2"/>
      <c r="E494" s="2"/>
      <c r="F494" s="2">
        <v>3.87</v>
      </c>
      <c r="G494" s="2" t="s">
        <v>411</v>
      </c>
      <c r="H494" s="9">
        <v>-1</v>
      </c>
      <c r="I494">
        <v>-1</v>
      </c>
      <c r="K494" s="2"/>
      <c r="L494" s="2"/>
      <c r="M494" s="2"/>
      <c r="N494" s="23">
        <v>0</v>
      </c>
      <c r="O494" s="2">
        <v>3.9186000000000001</v>
      </c>
      <c r="P494" s="2">
        <v>3.9186000000000001</v>
      </c>
      <c r="Q494" s="2">
        <v>7.9149000000000003</v>
      </c>
      <c r="R494" s="2" t="s">
        <v>439</v>
      </c>
      <c r="S494" s="2"/>
      <c r="T494" s="23">
        <v>0</v>
      </c>
      <c r="U494" s="23"/>
      <c r="V494" s="23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O494">
        <v>6</v>
      </c>
      <c r="AP494" s="21">
        <v>0</v>
      </c>
      <c r="AQ494" s="21"/>
      <c r="AR494" s="28">
        <v>2</v>
      </c>
      <c r="AS494" s="28">
        <v>2.7713625866050808</v>
      </c>
      <c r="AT494" s="28">
        <v>0.76905311778290997</v>
      </c>
      <c r="AU494" s="28">
        <v>3.2332563510392611</v>
      </c>
      <c r="AV494" s="28">
        <v>0.2279547249276126</v>
      </c>
      <c r="AW494" s="28">
        <v>0.31587259805211898</v>
      </c>
      <c r="AX494" s="28">
        <v>8.765464595946304E-2</v>
      </c>
      <c r="AY494" s="28">
        <v>0.36851803106080561</v>
      </c>
      <c r="AZ494" s="25">
        <v>1.1000000000000001</v>
      </c>
      <c r="BA494" s="25">
        <v>3.44</v>
      </c>
      <c r="BB494" s="25">
        <v>2.34</v>
      </c>
      <c r="BC494" s="25">
        <v>2.813625866050808</v>
      </c>
      <c r="BD494">
        <v>2.8136258660508089</v>
      </c>
      <c r="BE494">
        <v>6.3665749591224019</v>
      </c>
    </row>
    <row r="495" spans="1:57" x14ac:dyDescent="0.3">
      <c r="A495" s="2" t="s">
        <v>410</v>
      </c>
      <c r="B495" s="13" t="s">
        <v>839</v>
      </c>
      <c r="C495" s="13"/>
      <c r="D495" s="2"/>
      <c r="E495" s="2"/>
      <c r="F495" s="2">
        <v>3.56</v>
      </c>
      <c r="G495" s="2" t="s">
        <v>411</v>
      </c>
      <c r="H495" s="9" t="s">
        <v>602</v>
      </c>
      <c r="I495" t="s">
        <v>674</v>
      </c>
      <c r="K495" s="2"/>
      <c r="L495" s="2"/>
      <c r="M495" s="2"/>
      <c r="N495" s="23">
        <v>2</v>
      </c>
      <c r="O495" s="2">
        <v>-1</v>
      </c>
      <c r="P495" s="2"/>
      <c r="Q495" s="2"/>
      <c r="R495" s="2"/>
      <c r="S495" s="2"/>
      <c r="T495" s="23">
        <v>5.44114334</v>
      </c>
      <c r="U495" s="23">
        <v>5.44114334</v>
      </c>
      <c r="V495" s="23">
        <v>5.44114334</v>
      </c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O495">
        <v>6</v>
      </c>
      <c r="AP495" s="21">
        <v>112.4131248985337</v>
      </c>
      <c r="AQ495" s="21">
        <v>0.106749100790779</v>
      </c>
      <c r="AR495" s="28">
        <v>2</v>
      </c>
      <c r="AS495" s="28">
        <v>2.4</v>
      </c>
      <c r="AT495" s="28">
        <v>0.4</v>
      </c>
      <c r="AU495" s="28">
        <v>0</v>
      </c>
      <c r="AV495" s="28">
        <v>0.41666666666666669</v>
      </c>
      <c r="AW495" s="28">
        <v>0.5</v>
      </c>
      <c r="AX495" s="28">
        <v>8.3333333333333343E-2</v>
      </c>
      <c r="AY495" s="28">
        <v>0</v>
      </c>
      <c r="AZ495" s="25">
        <v>1</v>
      </c>
      <c r="BA495" s="25">
        <v>3.44</v>
      </c>
      <c r="BB495" s="25">
        <v>2.44</v>
      </c>
      <c r="BC495" s="25">
        <v>2.5720000000000001</v>
      </c>
      <c r="BD495">
        <v>2.5720000000000001</v>
      </c>
      <c r="BE495">
        <v>5.8278852370000003</v>
      </c>
    </row>
    <row r="496" spans="1:57" x14ac:dyDescent="0.3">
      <c r="A496" s="2" t="s">
        <v>413</v>
      </c>
      <c r="B496" s="13" t="s">
        <v>840</v>
      </c>
      <c r="C496" s="13"/>
      <c r="D496" s="2"/>
      <c r="E496" s="2"/>
      <c r="F496" s="2">
        <v>2.86</v>
      </c>
      <c r="G496" s="2" t="s">
        <v>412</v>
      </c>
      <c r="H496" s="9">
        <v>-1</v>
      </c>
      <c r="I496">
        <v>-1</v>
      </c>
      <c r="K496" s="2"/>
      <c r="L496" s="2"/>
      <c r="M496" s="2"/>
      <c r="N496" s="23">
        <v>0</v>
      </c>
      <c r="O496" s="2">
        <v>3.91</v>
      </c>
      <c r="P496" s="2">
        <v>3.91</v>
      </c>
      <c r="Q496" s="2">
        <v>18.495999999999999</v>
      </c>
      <c r="R496" s="2" t="s">
        <v>439</v>
      </c>
      <c r="S496" s="2"/>
      <c r="T496" s="23">
        <v>0</v>
      </c>
      <c r="U496" s="23"/>
      <c r="V496" s="23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O496">
        <v>22</v>
      </c>
      <c r="AP496" s="21">
        <v>0</v>
      </c>
      <c r="AQ496" s="21"/>
      <c r="AR496" s="28">
        <v>2</v>
      </c>
      <c r="AS496" s="28">
        <v>3.052631578947369</v>
      </c>
      <c r="AT496" s="28">
        <v>1.8947368421052631</v>
      </c>
      <c r="AU496" s="28">
        <v>3.6842105263157889</v>
      </c>
      <c r="AV496" s="28">
        <v>0.18811881188118809</v>
      </c>
      <c r="AW496" s="28">
        <v>0.28712871287128722</v>
      </c>
      <c r="AX496" s="28">
        <v>0.17821782178217821</v>
      </c>
      <c r="AY496" s="28">
        <v>0.34653465346534651</v>
      </c>
      <c r="AZ496" s="25">
        <v>0.95</v>
      </c>
      <c r="BA496" s="25">
        <v>3.44</v>
      </c>
      <c r="BB496" s="25">
        <v>2.4900000000000002</v>
      </c>
      <c r="BC496" s="25">
        <v>2.7347368421052631</v>
      </c>
      <c r="BD496">
        <v>2.7347368421052631</v>
      </c>
      <c r="BE496">
        <v>6.1677369702631566</v>
      </c>
    </row>
    <row r="497" spans="1:57" x14ac:dyDescent="0.3">
      <c r="A497" s="2" t="s">
        <v>414</v>
      </c>
      <c r="B497" s="13" t="s">
        <v>841</v>
      </c>
      <c r="C497" s="13"/>
      <c r="D497" s="2"/>
      <c r="E497" s="2"/>
      <c r="F497" s="2">
        <v>2.58</v>
      </c>
      <c r="G497" s="2" t="s">
        <v>412</v>
      </c>
      <c r="H497" s="9">
        <v>-1</v>
      </c>
      <c r="I497">
        <v>-1</v>
      </c>
      <c r="K497" s="2"/>
      <c r="L497" s="2"/>
      <c r="M497" s="2"/>
      <c r="N497" s="23">
        <v>0</v>
      </c>
      <c r="O497" s="2">
        <v>3.9119999999999999</v>
      </c>
      <c r="P497" s="2">
        <v>3.9119999999999999</v>
      </c>
      <c r="Q497" s="2">
        <v>18.582000000000001</v>
      </c>
      <c r="R497" s="2" t="s">
        <v>439</v>
      </c>
      <c r="S497" s="2"/>
      <c r="T497" s="23">
        <v>0</v>
      </c>
      <c r="U497" s="23"/>
      <c r="V497" s="23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O497">
        <v>22</v>
      </c>
      <c r="AP497" s="21">
        <v>0</v>
      </c>
      <c r="AQ497" s="21"/>
      <c r="AR497" s="28">
        <v>2</v>
      </c>
      <c r="AS497" s="28">
        <v>3.1578947368421049</v>
      </c>
      <c r="AT497" s="28">
        <v>2.4210526315789469</v>
      </c>
      <c r="AU497" s="28">
        <v>4.4210526315789478</v>
      </c>
      <c r="AV497" s="28">
        <v>0.16666666666666671</v>
      </c>
      <c r="AW497" s="28">
        <v>0.26315789473684209</v>
      </c>
      <c r="AX497" s="28">
        <v>0.2017543859649123</v>
      </c>
      <c r="AY497" s="28">
        <v>0.36842105263157898</v>
      </c>
      <c r="AZ497" s="25">
        <v>0.95</v>
      </c>
      <c r="BA497" s="25">
        <v>3.44</v>
      </c>
      <c r="BB497" s="25">
        <v>2.4900000000000002</v>
      </c>
      <c r="BC497" s="25">
        <v>2.8073684210526308</v>
      </c>
      <c r="BD497">
        <v>2.8073684210526308</v>
      </c>
      <c r="BE497">
        <v>6.2210650663157896</v>
      </c>
    </row>
    <row r="498" spans="1:57" x14ac:dyDescent="0.3">
      <c r="A498" s="2" t="s">
        <v>415</v>
      </c>
      <c r="B498" s="13" t="s">
        <v>842</v>
      </c>
      <c r="C498" s="13"/>
      <c r="D498" s="2"/>
      <c r="E498" s="2"/>
      <c r="F498" s="2">
        <v>2.57</v>
      </c>
      <c r="G498" s="2" t="s">
        <v>412</v>
      </c>
      <c r="H498" s="9">
        <v>-1</v>
      </c>
      <c r="I498">
        <v>-1</v>
      </c>
      <c r="K498" s="2"/>
      <c r="L498" s="2"/>
      <c r="M498" s="2"/>
      <c r="N498" s="23">
        <v>0</v>
      </c>
      <c r="O498" s="2">
        <v>3.9607600000000001</v>
      </c>
      <c r="P498" s="2">
        <v>3.9607600000000001</v>
      </c>
      <c r="Q498" s="2">
        <v>18.789100000000001</v>
      </c>
      <c r="R498" s="2" t="s">
        <v>439</v>
      </c>
      <c r="S498" s="2"/>
      <c r="T498" s="23">
        <v>0</v>
      </c>
      <c r="U498" s="23"/>
      <c r="V498" s="23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O498">
        <v>22</v>
      </c>
      <c r="AP498" s="21">
        <v>0</v>
      </c>
      <c r="AQ498" s="21"/>
      <c r="AR498" s="28">
        <v>2</v>
      </c>
      <c r="AS498" s="28">
        <v>3.052631578947369</v>
      </c>
      <c r="AT498" s="28">
        <v>1.8947368421052631</v>
      </c>
      <c r="AU498" s="28">
        <v>3.6842105263157889</v>
      </c>
      <c r="AV498" s="28">
        <v>0.18811881188118809</v>
      </c>
      <c r="AW498" s="28">
        <v>0.28712871287128722</v>
      </c>
      <c r="AX498" s="28">
        <v>0.17821782178217821</v>
      </c>
      <c r="AY498" s="28">
        <v>0.34653465346534651</v>
      </c>
      <c r="AZ498" s="25">
        <v>0.89</v>
      </c>
      <c r="BA498" s="25">
        <v>3.44</v>
      </c>
      <c r="BB498" s="25">
        <v>2.5499999999999998</v>
      </c>
      <c r="BC498" s="25">
        <v>2.7284210526315791</v>
      </c>
      <c r="BD498">
        <v>2.7284210526315791</v>
      </c>
      <c r="BE498">
        <v>6.1471768202631578</v>
      </c>
    </row>
    <row r="499" spans="1:57" x14ac:dyDescent="0.3">
      <c r="A499" s="2" t="s">
        <v>416</v>
      </c>
      <c r="B499" s="13" t="s">
        <v>843</v>
      </c>
      <c r="C499" s="13"/>
      <c r="D499" s="2"/>
      <c r="E499" s="2"/>
      <c r="F499" s="2">
        <v>2.6</v>
      </c>
      <c r="G499" s="2" t="s">
        <v>412</v>
      </c>
      <c r="H499" s="9">
        <v>-1</v>
      </c>
      <c r="I499">
        <v>-1</v>
      </c>
      <c r="K499" s="2"/>
      <c r="L499" s="2"/>
      <c r="M499" s="2"/>
      <c r="N499" s="23">
        <v>0</v>
      </c>
      <c r="O499" s="2">
        <v>3.9350499999999999</v>
      </c>
      <c r="P499" s="2">
        <v>3.9350499999999999</v>
      </c>
      <c r="Q499" s="2">
        <v>18.790900000000001</v>
      </c>
      <c r="R499" s="2" t="s">
        <v>439</v>
      </c>
      <c r="S499" s="2"/>
      <c r="T499" s="23">
        <v>0</v>
      </c>
      <c r="U499" s="23"/>
      <c r="V499" s="23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O499">
        <v>22</v>
      </c>
      <c r="AP499" s="21">
        <v>0</v>
      </c>
      <c r="AQ499" s="21"/>
      <c r="AR499" s="28">
        <v>2</v>
      </c>
      <c r="AS499" s="28">
        <v>3.1578947368421049</v>
      </c>
      <c r="AT499" s="28">
        <v>2.4210526315789469</v>
      </c>
      <c r="AU499" s="28">
        <v>4.4210526315789478</v>
      </c>
      <c r="AV499" s="28">
        <v>0.16666666666666671</v>
      </c>
      <c r="AW499" s="28">
        <v>0.26315789473684209</v>
      </c>
      <c r="AX499" s="28">
        <v>0.2017543859649123</v>
      </c>
      <c r="AY499" s="28">
        <v>0.36842105263157898</v>
      </c>
      <c r="AZ499" s="25">
        <v>0.89</v>
      </c>
      <c r="BA499" s="25">
        <v>3.44</v>
      </c>
      <c r="BB499" s="25">
        <v>2.5499999999999998</v>
      </c>
      <c r="BC499" s="25">
        <v>2.804210526315789</v>
      </c>
      <c r="BD499">
        <v>2.804210526315789</v>
      </c>
      <c r="BE499">
        <v>6.2107849913157898</v>
      </c>
    </row>
    <row r="500" spans="1:57" x14ac:dyDescent="0.3">
      <c r="A500" s="2" t="s">
        <v>417</v>
      </c>
      <c r="B500" s="13" t="s">
        <v>844</v>
      </c>
      <c r="C500" s="13"/>
      <c r="D500" s="2"/>
      <c r="E500" s="2"/>
      <c r="F500" s="2">
        <v>2.57</v>
      </c>
      <c r="G500" s="2" t="s">
        <v>412</v>
      </c>
      <c r="H500" s="9">
        <v>-1</v>
      </c>
      <c r="I500">
        <v>-1</v>
      </c>
      <c r="K500" s="2"/>
      <c r="L500" s="2"/>
      <c r="M500" s="2"/>
      <c r="N500" s="23">
        <v>0</v>
      </c>
      <c r="O500" s="2">
        <v>3.8856000000000002</v>
      </c>
      <c r="P500" s="2">
        <v>3.8856000000000002</v>
      </c>
      <c r="Q500" s="2">
        <v>18.356999999999999</v>
      </c>
      <c r="R500" s="2" t="s">
        <v>439</v>
      </c>
      <c r="S500" s="2"/>
      <c r="T500" s="23">
        <v>0</v>
      </c>
      <c r="U500" s="23"/>
      <c r="V500" s="23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O500">
        <v>22</v>
      </c>
      <c r="AP500" s="21">
        <v>0</v>
      </c>
      <c r="AQ500" s="21"/>
      <c r="AR500" s="28">
        <v>2</v>
      </c>
      <c r="AS500" s="28">
        <v>3.2105263157894739</v>
      </c>
      <c r="AT500" s="28">
        <v>2.3684210526315792</v>
      </c>
      <c r="AU500" s="28">
        <v>3.6842105263157889</v>
      </c>
      <c r="AV500" s="28">
        <v>0.17757009345794389</v>
      </c>
      <c r="AW500" s="28">
        <v>0.28504672897196259</v>
      </c>
      <c r="AX500" s="28">
        <v>0.2102803738317757</v>
      </c>
      <c r="AY500" s="28">
        <v>0.32710280373831768</v>
      </c>
      <c r="AZ500" s="25">
        <v>0.95</v>
      </c>
      <c r="BA500" s="25">
        <v>3.44</v>
      </c>
      <c r="BB500" s="25">
        <v>2.4900000000000002</v>
      </c>
      <c r="BC500" s="25">
        <v>2.7931578947368418</v>
      </c>
      <c r="BD500">
        <v>2.7931578947368418</v>
      </c>
      <c r="BE500">
        <v>6.207524303947368</v>
      </c>
    </row>
    <row r="501" spans="1:57" x14ac:dyDescent="0.3">
      <c r="A501" s="2" t="s">
        <v>418</v>
      </c>
      <c r="B501" s="13" t="s">
        <v>845</v>
      </c>
      <c r="C501" s="13"/>
      <c r="D501" s="2"/>
      <c r="E501" s="2"/>
      <c r="F501" s="2">
        <v>2.5</v>
      </c>
      <c r="G501" s="2" t="s">
        <v>412</v>
      </c>
      <c r="H501" s="9">
        <v>-1</v>
      </c>
      <c r="I501">
        <v>-1</v>
      </c>
      <c r="K501" s="2"/>
      <c r="L501" s="2"/>
      <c r="M501" s="2"/>
      <c r="N501" s="23">
        <v>0</v>
      </c>
      <c r="O501" s="2">
        <v>3.9121999999999999</v>
      </c>
      <c r="P501" s="2">
        <v>3.9121999999999999</v>
      </c>
      <c r="Q501" s="2">
        <v>18.724299999999999</v>
      </c>
      <c r="R501" s="2" t="s">
        <v>439</v>
      </c>
      <c r="S501" s="2"/>
      <c r="T501" s="23">
        <v>0</v>
      </c>
      <c r="U501" s="23"/>
      <c r="V501" s="23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O501">
        <v>22</v>
      </c>
      <c r="AP501" s="21">
        <v>0</v>
      </c>
      <c r="AQ501" s="21"/>
      <c r="AR501" s="28">
        <v>2</v>
      </c>
      <c r="AS501" s="28">
        <v>3.2105263157894739</v>
      </c>
      <c r="AT501" s="28">
        <v>2.3684210526315792</v>
      </c>
      <c r="AU501" s="28">
        <v>3.6842105263157889</v>
      </c>
      <c r="AV501" s="28">
        <v>0.17757009345794389</v>
      </c>
      <c r="AW501" s="28">
        <v>0.28504672897196259</v>
      </c>
      <c r="AX501" s="28">
        <v>0.2102803738317757</v>
      </c>
      <c r="AY501" s="28">
        <v>0.32710280373831768</v>
      </c>
      <c r="AZ501" s="25">
        <v>0.89</v>
      </c>
      <c r="BA501" s="25">
        <v>3.44</v>
      </c>
      <c r="BB501" s="25">
        <v>2.5499999999999998</v>
      </c>
      <c r="BC501" s="25">
        <v>2.79</v>
      </c>
      <c r="BD501">
        <v>2.79</v>
      </c>
      <c r="BE501">
        <v>6.1972442289473681</v>
      </c>
    </row>
    <row r="502" spans="1:57" x14ac:dyDescent="0.3">
      <c r="A502" s="2" t="s">
        <v>419</v>
      </c>
      <c r="B502" s="13" t="s">
        <v>846</v>
      </c>
      <c r="C502" s="13"/>
      <c r="D502" s="2"/>
      <c r="E502" s="2"/>
      <c r="F502" s="2">
        <v>2.6</v>
      </c>
      <c r="G502" s="2" t="s">
        <v>412</v>
      </c>
      <c r="H502" s="9">
        <v>-1</v>
      </c>
      <c r="I502">
        <v>-1</v>
      </c>
      <c r="K502" s="2"/>
      <c r="L502" s="2"/>
      <c r="M502" s="2"/>
      <c r="N502" s="23">
        <v>0</v>
      </c>
      <c r="O502" s="2">
        <v>3.8752</v>
      </c>
      <c r="P502" s="2">
        <v>3.8752</v>
      </c>
      <c r="Q502" s="2">
        <v>18.687000000000001</v>
      </c>
      <c r="R502" s="2" t="s">
        <v>439</v>
      </c>
      <c r="S502" s="2"/>
      <c r="T502" s="23">
        <v>0</v>
      </c>
      <c r="U502" s="23"/>
      <c r="V502" s="23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O502">
        <v>22</v>
      </c>
      <c r="AP502" s="21">
        <v>0</v>
      </c>
      <c r="AQ502" s="21"/>
      <c r="AR502" s="28">
        <v>2</v>
      </c>
      <c r="AS502" s="28">
        <v>3.3157894736842111</v>
      </c>
      <c r="AT502" s="28">
        <v>2.8947368421052628</v>
      </c>
      <c r="AU502" s="28">
        <v>4.4210526315789478</v>
      </c>
      <c r="AV502" s="28">
        <v>0.1583333333333333</v>
      </c>
      <c r="AW502" s="28">
        <v>0.26250000000000001</v>
      </c>
      <c r="AX502" s="28">
        <v>0.22916666666666671</v>
      </c>
      <c r="AY502" s="28">
        <v>0.35</v>
      </c>
      <c r="AZ502" s="25">
        <v>1.5</v>
      </c>
      <c r="BA502" s="25">
        <v>3.44</v>
      </c>
      <c r="BB502" s="25">
        <v>1.94</v>
      </c>
      <c r="BC502" s="25">
        <v>2.86578947368421</v>
      </c>
      <c r="BD502">
        <v>2.8657894736842109</v>
      </c>
      <c r="BE502">
        <v>6.2608524000000001</v>
      </c>
    </row>
    <row r="503" spans="1:57" x14ac:dyDescent="0.3">
      <c r="A503" s="2" t="s">
        <v>426</v>
      </c>
      <c r="B503" s="13" t="s">
        <v>847</v>
      </c>
      <c r="C503" s="13"/>
      <c r="D503" s="2"/>
      <c r="E503" s="2"/>
      <c r="F503" s="2">
        <v>2.82</v>
      </c>
      <c r="G503" s="2" t="s">
        <v>412</v>
      </c>
      <c r="H503" s="9">
        <v>-1</v>
      </c>
      <c r="I503">
        <v>-1</v>
      </c>
      <c r="K503" s="2"/>
      <c r="L503" s="2"/>
      <c r="M503" s="2"/>
      <c r="N503" s="23">
        <v>0</v>
      </c>
      <c r="O503" s="2">
        <v>3.9108999999999998</v>
      </c>
      <c r="P503" s="2">
        <v>3.9108999999999998</v>
      </c>
      <c r="Q503" s="2">
        <v>18.454999999999998</v>
      </c>
      <c r="R503" s="2" t="s">
        <v>439</v>
      </c>
      <c r="S503" s="2"/>
      <c r="T503" s="23">
        <v>0</v>
      </c>
      <c r="U503" s="23"/>
      <c r="V503" s="23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O503">
        <v>22</v>
      </c>
      <c r="AP503" s="21">
        <v>0</v>
      </c>
      <c r="AQ503" s="21"/>
      <c r="AR503" s="28">
        <v>1.8947368421052631</v>
      </c>
      <c r="AS503" s="28">
        <v>3.052631578947369</v>
      </c>
      <c r="AT503" s="28">
        <v>2</v>
      </c>
      <c r="AU503" s="28">
        <v>2.2105263157894739</v>
      </c>
      <c r="AV503" s="28">
        <v>0.2068965517241379</v>
      </c>
      <c r="AW503" s="28">
        <v>0.33333333333333343</v>
      </c>
      <c r="AX503" s="28">
        <v>0.21839080459770119</v>
      </c>
      <c r="AY503" s="28">
        <v>0.2413793103448276</v>
      </c>
      <c r="AZ503" s="25">
        <v>0.95</v>
      </c>
      <c r="BA503" s="25">
        <v>3.44</v>
      </c>
      <c r="BB503" s="25">
        <v>2.4900000000000002</v>
      </c>
      <c r="BC503" s="25">
        <v>2.7452631578947368</v>
      </c>
      <c r="BD503">
        <v>2.7452631578947368</v>
      </c>
      <c r="BE503">
        <v>6.1573983386842102</v>
      </c>
    </row>
    <row r="504" spans="1:57" x14ac:dyDescent="0.3">
      <c r="A504" s="2" t="s">
        <v>420</v>
      </c>
      <c r="B504" s="13" t="s">
        <v>848</v>
      </c>
      <c r="C504" s="13"/>
      <c r="D504" s="2"/>
      <c r="E504" s="2"/>
      <c r="F504" s="2">
        <v>2.59</v>
      </c>
      <c r="G504" s="2" t="s">
        <v>412</v>
      </c>
      <c r="H504" s="9">
        <v>-1</v>
      </c>
      <c r="I504">
        <v>-1</v>
      </c>
      <c r="K504" s="2"/>
      <c r="L504" s="2"/>
      <c r="M504" s="2"/>
      <c r="N504" s="23">
        <v>0</v>
      </c>
      <c r="O504" s="2">
        <v>3.91</v>
      </c>
      <c r="P504" s="2">
        <v>3.91</v>
      </c>
      <c r="Q504" s="2">
        <v>18.651</v>
      </c>
      <c r="R504" s="2" t="s">
        <v>439</v>
      </c>
      <c r="S504" s="2"/>
      <c r="T504" s="23">
        <v>0</v>
      </c>
      <c r="U504" s="23"/>
      <c r="V504" s="23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O504">
        <v>22</v>
      </c>
      <c r="AP504" s="21">
        <v>0</v>
      </c>
      <c r="AQ504" s="21"/>
      <c r="AR504" s="28">
        <v>1.8947368421052631</v>
      </c>
      <c r="AS504" s="28">
        <v>3.1578947368421049</v>
      </c>
      <c r="AT504" s="28">
        <v>2.5263157894736841</v>
      </c>
      <c r="AU504" s="28">
        <v>2.947368421052631</v>
      </c>
      <c r="AV504" s="28">
        <v>0.18</v>
      </c>
      <c r="AW504" s="28">
        <v>0.3</v>
      </c>
      <c r="AX504" s="28">
        <v>0.24</v>
      </c>
      <c r="AY504" s="28">
        <v>0.28000000000000003</v>
      </c>
      <c r="AZ504" s="25">
        <v>0.95</v>
      </c>
      <c r="BA504" s="25">
        <v>3.44</v>
      </c>
      <c r="BB504" s="25">
        <v>2.4900000000000002</v>
      </c>
      <c r="BC504" s="25">
        <v>2.817894736842105</v>
      </c>
      <c r="BD504">
        <v>2.817894736842105</v>
      </c>
      <c r="BE504">
        <v>6.2107264347368423</v>
      </c>
    </row>
    <row r="505" spans="1:57" x14ac:dyDescent="0.3">
      <c r="A505" s="2" t="s">
        <v>421</v>
      </c>
      <c r="B505" s="13" t="s">
        <v>849</v>
      </c>
      <c r="C505" s="13"/>
      <c r="D505" s="2"/>
      <c r="E505" s="2"/>
      <c r="F505" s="2">
        <v>2.66</v>
      </c>
      <c r="G505" s="2" t="s">
        <v>412</v>
      </c>
      <c r="H505" s="9">
        <v>-1</v>
      </c>
      <c r="I505">
        <v>-1</v>
      </c>
      <c r="K505" s="2"/>
      <c r="L505" s="2"/>
      <c r="M505" s="2"/>
      <c r="N505" s="23">
        <v>0</v>
      </c>
      <c r="O505" s="2">
        <v>3.9683000000000002</v>
      </c>
      <c r="P505" s="2">
        <v>3.9683000000000002</v>
      </c>
      <c r="Q505" s="2">
        <v>18.798999999999999</v>
      </c>
      <c r="R505" s="2" t="s">
        <v>439</v>
      </c>
      <c r="S505" s="2"/>
      <c r="T505" s="23">
        <v>0</v>
      </c>
      <c r="U505" s="23"/>
      <c r="V505" s="23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O505">
        <v>22</v>
      </c>
      <c r="AP505" s="21">
        <v>0</v>
      </c>
      <c r="AQ505" s="21"/>
      <c r="AR505" s="28">
        <v>1.8947368421052631</v>
      </c>
      <c r="AS505" s="28">
        <v>3.052631578947369</v>
      </c>
      <c r="AT505" s="28">
        <v>2</v>
      </c>
      <c r="AU505" s="28">
        <v>2.2105263157894739</v>
      </c>
      <c r="AV505" s="28">
        <v>0.2068965517241379</v>
      </c>
      <c r="AW505" s="28">
        <v>0.33333333333333343</v>
      </c>
      <c r="AX505" s="28">
        <v>0.21839080459770119</v>
      </c>
      <c r="AY505" s="28">
        <v>0.2413793103448276</v>
      </c>
      <c r="AZ505" s="25">
        <v>0.89</v>
      </c>
      <c r="BA505" s="25">
        <v>3.44</v>
      </c>
      <c r="BB505" s="25">
        <v>2.5499999999999998</v>
      </c>
      <c r="BC505" s="25">
        <v>2.7389473684210519</v>
      </c>
      <c r="BD505">
        <v>2.7389473684210519</v>
      </c>
      <c r="BE505">
        <v>6.1368381886842096</v>
      </c>
    </row>
    <row r="506" spans="1:57" x14ac:dyDescent="0.3">
      <c r="A506" s="2" t="s">
        <v>422</v>
      </c>
      <c r="B506" s="13" t="s">
        <v>850</v>
      </c>
      <c r="C506" s="13"/>
      <c r="D506" s="2"/>
      <c r="E506" s="2"/>
      <c r="F506" s="2">
        <v>2.56</v>
      </c>
      <c r="G506" s="2" t="s">
        <v>412</v>
      </c>
      <c r="H506" s="9">
        <v>-1</v>
      </c>
      <c r="I506">
        <v>-1</v>
      </c>
      <c r="K506" s="2"/>
      <c r="L506" s="2"/>
      <c r="M506" s="2"/>
      <c r="N506" s="23">
        <v>0</v>
      </c>
      <c r="O506" s="2">
        <v>3.9487999999999999</v>
      </c>
      <c r="P506" s="2">
        <v>3.9487999999999999</v>
      </c>
      <c r="Q506" s="2">
        <v>18.829999999999998</v>
      </c>
      <c r="R506" s="2" t="s">
        <v>439</v>
      </c>
      <c r="S506" s="2"/>
      <c r="T506" s="23">
        <v>0</v>
      </c>
      <c r="U506" s="23"/>
      <c r="V506" s="23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O506">
        <v>22</v>
      </c>
      <c r="AP506" s="21">
        <v>0</v>
      </c>
      <c r="AQ506" s="21"/>
      <c r="AR506" s="28">
        <v>1.8947368421052631</v>
      </c>
      <c r="AS506" s="28">
        <v>3.1578947368421049</v>
      </c>
      <c r="AT506" s="28">
        <v>2.5263157894736841</v>
      </c>
      <c r="AU506" s="28">
        <v>2.947368421052631</v>
      </c>
      <c r="AV506" s="28">
        <v>0.18</v>
      </c>
      <c r="AW506" s="28">
        <v>0.3</v>
      </c>
      <c r="AX506" s="28">
        <v>0.24</v>
      </c>
      <c r="AY506" s="28">
        <v>0.28000000000000003</v>
      </c>
      <c r="AZ506" s="25">
        <v>0.89</v>
      </c>
      <c r="BA506" s="25">
        <v>3.44</v>
      </c>
      <c r="BB506" s="25">
        <v>2.5499999999999998</v>
      </c>
      <c r="BC506" s="25">
        <v>2.8147368421052632</v>
      </c>
      <c r="BD506">
        <v>2.8147368421052632</v>
      </c>
      <c r="BE506">
        <v>6.2004463597368424</v>
      </c>
    </row>
    <row r="507" spans="1:57" x14ac:dyDescent="0.3">
      <c r="A507" s="2" t="s">
        <v>423</v>
      </c>
      <c r="B507" s="13" t="s">
        <v>851</v>
      </c>
      <c r="C507" s="13"/>
      <c r="D507" s="2"/>
      <c r="E507" s="2"/>
      <c r="F507" s="2">
        <v>2.5099999999999998</v>
      </c>
      <c r="G507" s="2" t="s">
        <v>412</v>
      </c>
      <c r="H507" s="9">
        <v>-1</v>
      </c>
      <c r="I507">
        <v>-1</v>
      </c>
      <c r="K507" s="2"/>
      <c r="L507" s="2"/>
      <c r="M507" s="2"/>
      <c r="N507" s="23">
        <v>0</v>
      </c>
      <c r="O507" s="2">
        <v>3.8788399999999998</v>
      </c>
      <c r="P507" s="2">
        <v>3.8788399999999998</v>
      </c>
      <c r="Q507" s="2">
        <v>18.3658</v>
      </c>
      <c r="R507" s="2" t="s">
        <v>439</v>
      </c>
      <c r="S507" s="2"/>
      <c r="T507" s="23">
        <v>0</v>
      </c>
      <c r="U507" s="23"/>
      <c r="V507" s="23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O507">
        <v>22</v>
      </c>
      <c r="AP507" s="21">
        <v>0</v>
      </c>
      <c r="AQ507" s="21"/>
      <c r="AR507" s="28">
        <v>1.9473684210526321</v>
      </c>
      <c r="AS507" s="28">
        <v>3.2105263157894739</v>
      </c>
      <c r="AT507" s="28">
        <v>2.4210526315789469</v>
      </c>
      <c r="AU507" s="28">
        <v>2.947368421052631</v>
      </c>
      <c r="AV507" s="28">
        <v>0.185</v>
      </c>
      <c r="AW507" s="28">
        <v>0.30499999999999999</v>
      </c>
      <c r="AX507" s="28">
        <v>0.23</v>
      </c>
      <c r="AY507" s="28">
        <v>0.28000000000000003</v>
      </c>
      <c r="AZ507" s="25">
        <v>0.95</v>
      </c>
      <c r="BA507" s="25">
        <v>3.44</v>
      </c>
      <c r="BB507" s="25">
        <v>2.4900000000000002</v>
      </c>
      <c r="BC507" s="25">
        <v>2.798421052631578</v>
      </c>
      <c r="BD507">
        <v>2.7984210526315789</v>
      </c>
      <c r="BE507">
        <v>6.2023549881578939</v>
      </c>
    </row>
    <row r="508" spans="1:57" x14ac:dyDescent="0.3">
      <c r="A508" s="2" t="s">
        <v>424</v>
      </c>
      <c r="B508" s="13" t="s">
        <v>852</v>
      </c>
      <c r="C508" s="13"/>
      <c r="D508" s="2"/>
      <c r="E508" s="2"/>
      <c r="F508" s="2">
        <v>2.48</v>
      </c>
      <c r="G508" s="2" t="s">
        <v>412</v>
      </c>
      <c r="H508" s="9">
        <v>-1</v>
      </c>
      <c r="I508">
        <v>-1</v>
      </c>
      <c r="K508" s="2"/>
      <c r="L508" s="2"/>
      <c r="M508" s="2"/>
      <c r="N508" s="23">
        <v>0</v>
      </c>
      <c r="O508" s="2">
        <v>3.9116</v>
      </c>
      <c r="P508" s="2">
        <v>3.9116</v>
      </c>
      <c r="Q508" s="2">
        <v>18.6922</v>
      </c>
      <c r="R508" s="2" t="s">
        <v>439</v>
      </c>
      <c r="S508" s="2"/>
      <c r="T508" s="23">
        <v>0</v>
      </c>
      <c r="U508" s="23"/>
      <c r="V508" s="23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O508">
        <v>22</v>
      </c>
      <c r="AP508" s="21">
        <v>0</v>
      </c>
      <c r="AQ508" s="21"/>
      <c r="AR508" s="28">
        <v>1.9473684210526321</v>
      </c>
      <c r="AS508" s="28">
        <v>3.2105263157894739</v>
      </c>
      <c r="AT508" s="28">
        <v>2.4210526315789469</v>
      </c>
      <c r="AU508" s="28">
        <v>2.947368421052631</v>
      </c>
      <c r="AV508" s="28">
        <v>0.185</v>
      </c>
      <c r="AW508" s="28">
        <v>0.30499999999999999</v>
      </c>
      <c r="AX508" s="28">
        <v>0.23</v>
      </c>
      <c r="AY508" s="28">
        <v>0.28000000000000003</v>
      </c>
      <c r="AZ508" s="25">
        <v>0.89</v>
      </c>
      <c r="BA508" s="25">
        <v>3.44</v>
      </c>
      <c r="BB508" s="25">
        <v>2.5499999999999998</v>
      </c>
      <c r="BC508" s="25">
        <v>2.7952631578947358</v>
      </c>
      <c r="BD508">
        <v>2.7952631578947371</v>
      </c>
      <c r="BE508">
        <v>6.1920749131578949</v>
      </c>
    </row>
    <row r="509" spans="1:57" x14ac:dyDescent="0.3">
      <c r="A509" s="2" t="s">
        <v>425</v>
      </c>
      <c r="B509" s="13" t="s">
        <v>853</v>
      </c>
      <c r="C509" s="13"/>
      <c r="D509" s="2"/>
      <c r="E509" s="2"/>
      <c r="F509" s="2">
        <v>2.5299999999999998</v>
      </c>
      <c r="G509" s="2" t="s">
        <v>412</v>
      </c>
      <c r="H509" s="9">
        <v>-1</v>
      </c>
      <c r="I509">
        <v>-1</v>
      </c>
      <c r="K509" s="2"/>
      <c r="L509" s="2"/>
      <c r="M509" s="2"/>
      <c r="N509" s="23">
        <v>0</v>
      </c>
      <c r="O509" s="2">
        <v>3.8759000000000001</v>
      </c>
      <c r="P509" s="2">
        <v>3.8759000000000001</v>
      </c>
      <c r="Q509" s="2">
        <v>18.463000000000001</v>
      </c>
      <c r="R509" s="2" t="s">
        <v>439</v>
      </c>
      <c r="S509" s="2"/>
      <c r="T509" s="23">
        <v>0</v>
      </c>
      <c r="U509" s="23"/>
      <c r="V509" s="23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O509">
        <v>22</v>
      </c>
      <c r="AP509" s="21">
        <v>0</v>
      </c>
      <c r="AQ509" s="21"/>
      <c r="AR509" s="28">
        <v>1.9473684210526321</v>
      </c>
      <c r="AS509" s="28">
        <v>3.3157894736842111</v>
      </c>
      <c r="AT509" s="28">
        <v>2.947368421052631</v>
      </c>
      <c r="AU509" s="28">
        <v>3.6842105263157889</v>
      </c>
      <c r="AV509" s="28">
        <v>0.16371681415929201</v>
      </c>
      <c r="AW509" s="28">
        <v>0.27876106194690259</v>
      </c>
      <c r="AX509" s="28">
        <v>0.247787610619469</v>
      </c>
      <c r="AY509" s="28">
        <v>0.30973451327433632</v>
      </c>
      <c r="AZ509" s="25">
        <v>1.54</v>
      </c>
      <c r="BA509" s="25">
        <v>3.44</v>
      </c>
      <c r="BB509" s="25">
        <v>1.9</v>
      </c>
      <c r="BC509" s="25">
        <v>2.8710526315789471</v>
      </c>
      <c r="BD509">
        <v>2.871052631578948</v>
      </c>
      <c r="BE509">
        <v>6.255683084210526</v>
      </c>
    </row>
    <row r="510" spans="1:57" x14ac:dyDescent="0.3">
      <c r="A510" s="2" t="s">
        <v>63</v>
      </c>
      <c r="B510" s="13" t="s">
        <v>773</v>
      </c>
      <c r="C510" s="13"/>
      <c r="D510" s="2"/>
      <c r="E510" s="2"/>
      <c r="F510" s="2">
        <v>3.45</v>
      </c>
      <c r="G510" s="2" t="s">
        <v>432</v>
      </c>
      <c r="H510" s="9">
        <v>-1</v>
      </c>
      <c r="I510">
        <v>-1</v>
      </c>
      <c r="K510" s="2"/>
      <c r="L510" s="2"/>
      <c r="M510" s="2"/>
      <c r="N510" s="23">
        <v>0</v>
      </c>
      <c r="O510" s="2">
        <v>3.8531</v>
      </c>
      <c r="P510" s="2">
        <v>3.8531</v>
      </c>
      <c r="Q510" s="2">
        <v>16.2151</v>
      </c>
      <c r="R510" s="2" t="s">
        <v>1137</v>
      </c>
      <c r="S510" s="2"/>
      <c r="T510" s="23">
        <v>0</v>
      </c>
      <c r="U510" s="23"/>
      <c r="V510" s="23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O510">
        <v>20</v>
      </c>
      <c r="AP510" s="21">
        <v>0</v>
      </c>
      <c r="AQ510" s="21"/>
      <c r="AR510" s="28">
        <v>1.75</v>
      </c>
      <c r="AS510" s="28">
        <v>2.5</v>
      </c>
      <c r="AT510" s="28">
        <v>0.75</v>
      </c>
      <c r="AU510" s="28">
        <v>0</v>
      </c>
      <c r="AV510" s="28">
        <v>0.35</v>
      </c>
      <c r="AW510" s="28">
        <v>0.5</v>
      </c>
      <c r="AX510" s="28">
        <v>0.15</v>
      </c>
      <c r="AY510" s="28">
        <v>0</v>
      </c>
      <c r="AZ510" s="25">
        <v>1</v>
      </c>
      <c r="BA510" s="25">
        <v>3.44</v>
      </c>
      <c r="BB510" s="25">
        <v>2.44</v>
      </c>
      <c r="BC510" s="25">
        <v>2.7124999999999999</v>
      </c>
      <c r="BD510">
        <v>2.7124999999999999</v>
      </c>
      <c r="BE510">
        <v>6.264025610615688</v>
      </c>
    </row>
    <row r="511" spans="1:57" x14ac:dyDescent="0.3">
      <c r="A511" s="2" t="s">
        <v>63</v>
      </c>
      <c r="B511" s="13" t="s">
        <v>773</v>
      </c>
      <c r="C511" s="13"/>
      <c r="D511" s="2" t="s">
        <v>863</v>
      </c>
      <c r="E511" s="2">
        <v>1</v>
      </c>
      <c r="F511" s="2">
        <v>3.5</v>
      </c>
      <c r="G511" s="2" t="s">
        <v>432</v>
      </c>
      <c r="H511" s="9">
        <v>-1</v>
      </c>
      <c r="I511">
        <v>-1</v>
      </c>
      <c r="K511" s="2"/>
      <c r="L511" s="2"/>
      <c r="M511" s="2"/>
      <c r="N511" s="23">
        <v>0</v>
      </c>
      <c r="O511" s="2">
        <v>3.843</v>
      </c>
      <c r="P511" s="2">
        <v>3.843</v>
      </c>
      <c r="Q511" s="2">
        <v>32.261000000000003</v>
      </c>
      <c r="R511" s="2" t="s">
        <v>1138</v>
      </c>
      <c r="S511" s="2"/>
      <c r="T511" s="23">
        <v>0</v>
      </c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O511">
        <v>20</v>
      </c>
      <c r="AP511" s="21">
        <v>0</v>
      </c>
      <c r="AR511" s="28">
        <v>1.75</v>
      </c>
      <c r="AS511" s="28">
        <v>2.5</v>
      </c>
      <c r="AT511" s="28">
        <v>0.75</v>
      </c>
      <c r="AU511" s="28">
        <v>0</v>
      </c>
      <c r="AV511" s="28">
        <v>0.35</v>
      </c>
      <c r="AW511" s="28">
        <v>0.5</v>
      </c>
      <c r="AX511" s="28">
        <v>0.15</v>
      </c>
      <c r="AY511" s="28">
        <v>0</v>
      </c>
      <c r="AZ511" s="25">
        <v>1</v>
      </c>
      <c r="BA511" s="25">
        <v>3.44</v>
      </c>
      <c r="BB511" s="25">
        <v>2.44</v>
      </c>
      <c r="BC511" s="25">
        <v>2.7124999999999999</v>
      </c>
      <c r="BD511">
        <v>2.7124999999999999</v>
      </c>
      <c r="BE511">
        <v>6.264025610615688</v>
      </c>
    </row>
    <row r="512" spans="1:57" x14ac:dyDescent="0.3">
      <c r="A512" s="2" t="s">
        <v>363</v>
      </c>
      <c r="B512" s="18" t="s">
        <v>1064</v>
      </c>
      <c r="C512" s="13"/>
      <c r="D512" s="2"/>
      <c r="E512" s="2"/>
      <c r="F512" s="2">
        <v>3.52</v>
      </c>
      <c r="G512" s="2" t="s">
        <v>432</v>
      </c>
      <c r="H512" s="9">
        <v>-1</v>
      </c>
      <c r="I512">
        <v>-1</v>
      </c>
      <c r="K512" s="2"/>
      <c r="L512" s="2"/>
      <c r="M512" s="2"/>
      <c r="N512" s="23">
        <v>0</v>
      </c>
      <c r="O512" s="2">
        <v>3.8693</v>
      </c>
      <c r="P512" s="2">
        <v>3.8693</v>
      </c>
      <c r="Q512" s="2">
        <v>16.124700000000001</v>
      </c>
      <c r="R512" s="2" t="s">
        <v>1138</v>
      </c>
      <c r="S512" s="2"/>
      <c r="T512" s="23">
        <v>0</v>
      </c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O512">
        <v>20</v>
      </c>
      <c r="AP512" s="21">
        <v>0</v>
      </c>
      <c r="AR512" s="28">
        <v>1.6086956521739131</v>
      </c>
      <c r="AS512" s="28">
        <v>1.956521739130435</v>
      </c>
      <c r="AT512" s="28">
        <v>0.52173913043478259</v>
      </c>
      <c r="AU512" s="28">
        <v>0</v>
      </c>
      <c r="AV512" s="28">
        <v>0.3936170212765957</v>
      </c>
      <c r="AW512" s="28">
        <v>0.47872340425531912</v>
      </c>
      <c r="AX512" s="28">
        <v>0.1276595744680851</v>
      </c>
      <c r="AY512" s="28">
        <v>0</v>
      </c>
      <c r="AZ512" s="25">
        <v>1</v>
      </c>
      <c r="BA512" s="25">
        <v>3.44</v>
      </c>
      <c r="BB512" s="25">
        <v>2.44</v>
      </c>
      <c r="BC512" s="25">
        <v>2.6082608695652172</v>
      </c>
      <c r="BD512">
        <v>2.6082608695652181</v>
      </c>
      <c r="BE512">
        <v>6.5043590032654777</v>
      </c>
    </row>
    <row r="513" spans="1:57" x14ac:dyDescent="0.3">
      <c r="A513" s="2" t="s">
        <v>366</v>
      </c>
      <c r="B513" s="18" t="s">
        <v>1065</v>
      </c>
      <c r="C513" s="13"/>
      <c r="D513" s="2"/>
      <c r="E513" s="2"/>
      <c r="F513" s="2">
        <v>3.58</v>
      </c>
      <c r="G513" s="2" t="s">
        <v>432</v>
      </c>
      <c r="H513" s="9">
        <v>-1</v>
      </c>
      <c r="I513">
        <v>-1</v>
      </c>
      <c r="K513" s="2"/>
      <c r="L513" s="2"/>
      <c r="M513" s="2"/>
      <c r="N513" s="23">
        <v>0</v>
      </c>
      <c r="O513" s="2">
        <v>3.8614999999999999</v>
      </c>
      <c r="P513" s="2">
        <v>3.8614999999999999</v>
      </c>
      <c r="Q513" s="2">
        <v>25.281600000000001</v>
      </c>
      <c r="R513" s="2" t="s">
        <v>1137</v>
      </c>
      <c r="S513" s="2"/>
      <c r="T513" s="23">
        <v>0</v>
      </c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O513">
        <v>20</v>
      </c>
      <c r="AP513" s="21">
        <v>0</v>
      </c>
      <c r="AR513" s="28">
        <v>1.53125</v>
      </c>
      <c r="AS513" s="28">
        <v>1.59375</v>
      </c>
      <c r="AT513" s="28">
        <v>0.375</v>
      </c>
      <c r="AU513" s="28">
        <v>0</v>
      </c>
      <c r="AV513" s="28">
        <v>0.4375</v>
      </c>
      <c r="AW513" s="28">
        <v>0.45535714285714279</v>
      </c>
      <c r="AX513" s="28">
        <v>0.1071428571428571</v>
      </c>
      <c r="AY513" s="28">
        <v>0</v>
      </c>
      <c r="AZ513" s="25">
        <v>1</v>
      </c>
      <c r="BA513" s="25">
        <v>3.44</v>
      </c>
      <c r="BB513" s="25">
        <v>2.44</v>
      </c>
      <c r="BC513" s="25">
        <v>2.5262500000000001</v>
      </c>
      <c r="BD513">
        <v>2.5262500000000001</v>
      </c>
      <c r="BE513">
        <v>6.6075924153816246</v>
      </c>
    </row>
    <row r="514" spans="1:57" x14ac:dyDescent="0.3">
      <c r="A514" s="2" t="s">
        <v>368</v>
      </c>
      <c r="B514" s="18" t="s">
        <v>1066</v>
      </c>
      <c r="C514" s="13"/>
      <c r="D514" s="2"/>
      <c r="E514" s="2"/>
      <c r="F514" s="2">
        <v>3.52</v>
      </c>
      <c r="G514" s="2" t="s">
        <v>432</v>
      </c>
      <c r="H514" s="9">
        <v>-1</v>
      </c>
      <c r="I514">
        <v>-1</v>
      </c>
      <c r="K514" s="2"/>
      <c r="L514" s="2"/>
      <c r="M514" s="2"/>
      <c r="N514" s="23">
        <v>0</v>
      </c>
      <c r="O514" s="2">
        <v>3.8675999999999999</v>
      </c>
      <c r="P514" s="2">
        <v>3.8675999999999999</v>
      </c>
      <c r="Q514" s="2">
        <v>34.564999999999998</v>
      </c>
      <c r="R514" s="2" t="s">
        <v>1139</v>
      </c>
      <c r="S514" s="2"/>
      <c r="T514" s="23">
        <v>0</v>
      </c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O514">
        <v>20</v>
      </c>
      <c r="AP514" s="21">
        <v>0</v>
      </c>
      <c r="AR514" s="28">
        <v>1.4772727272727271</v>
      </c>
      <c r="AS514" s="28">
        <v>1.3409090909090911</v>
      </c>
      <c r="AT514" s="28">
        <v>0.27272727272727271</v>
      </c>
      <c r="AU514" s="28">
        <v>0</v>
      </c>
      <c r="AV514" s="28">
        <v>0.47794117647058831</v>
      </c>
      <c r="AW514" s="28">
        <v>0.43382352941176472</v>
      </c>
      <c r="AX514" s="28">
        <v>8.8235294117647051E-2</v>
      </c>
      <c r="AY514" s="28">
        <v>0</v>
      </c>
      <c r="AZ514" s="25">
        <v>1</v>
      </c>
      <c r="BA514" s="25">
        <v>3.44</v>
      </c>
      <c r="BB514" s="25">
        <v>2.44</v>
      </c>
      <c r="BC514" s="25">
        <v>2.4690909090909088</v>
      </c>
      <c r="BD514">
        <v>2.4690909090909088</v>
      </c>
      <c r="BE514">
        <v>6.679542975341362</v>
      </c>
    </row>
    <row r="515" spans="1:57" x14ac:dyDescent="0.3">
      <c r="A515" s="2" t="s">
        <v>427</v>
      </c>
      <c r="B515" s="18" t="s">
        <v>1064</v>
      </c>
      <c r="C515" s="13"/>
      <c r="D515" s="2" t="s">
        <v>863</v>
      </c>
      <c r="E515" s="2">
        <v>1</v>
      </c>
      <c r="F515" s="2">
        <v>3.57</v>
      </c>
      <c r="G515" s="2" t="s">
        <v>432</v>
      </c>
      <c r="H515" s="9">
        <v>-1</v>
      </c>
      <c r="I515">
        <v>-1</v>
      </c>
      <c r="K515" s="2"/>
      <c r="L515" s="2"/>
      <c r="M515" s="2"/>
      <c r="N515" s="23">
        <v>0</v>
      </c>
      <c r="O515" s="2">
        <v>3.8532999999999999</v>
      </c>
      <c r="P515" s="2">
        <v>3.8532999999999999</v>
      </c>
      <c r="Q515" s="2">
        <v>31.7422</v>
      </c>
      <c r="R515" s="2" t="s">
        <v>1138</v>
      </c>
      <c r="S515" s="2"/>
      <c r="T515" s="23">
        <v>0</v>
      </c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O515">
        <v>20</v>
      </c>
      <c r="AP515" s="21">
        <v>0</v>
      </c>
      <c r="AR515" s="28">
        <v>1.6086956521739131</v>
      </c>
      <c r="AS515" s="28">
        <v>1.956521739130435</v>
      </c>
      <c r="AT515" s="28">
        <v>0.52173913043478259</v>
      </c>
      <c r="AU515" s="28">
        <v>0</v>
      </c>
      <c r="AV515" s="28">
        <v>0.3936170212765957</v>
      </c>
      <c r="AW515" s="28">
        <v>0.47872340425531912</v>
      </c>
      <c r="AX515" s="28">
        <v>0.1276595744680851</v>
      </c>
      <c r="AY515" s="28">
        <v>0</v>
      </c>
      <c r="AZ515" s="25">
        <v>1</v>
      </c>
      <c r="BA515" s="25">
        <v>3.44</v>
      </c>
      <c r="BB515" s="25">
        <v>2.44</v>
      </c>
      <c r="BC515" s="25">
        <v>2.6082608695652172</v>
      </c>
      <c r="BD515">
        <v>2.6082608695652181</v>
      </c>
      <c r="BE515">
        <v>6.5043590032654777</v>
      </c>
    </row>
    <row r="516" spans="1:57" x14ac:dyDescent="0.3">
      <c r="A516" s="2" t="s">
        <v>428</v>
      </c>
      <c r="B516" s="18" t="s">
        <v>1065</v>
      </c>
      <c r="C516" s="13"/>
      <c r="D516" s="2" t="s">
        <v>863</v>
      </c>
      <c r="E516" s="2">
        <v>1</v>
      </c>
      <c r="F516" s="2">
        <v>3.52</v>
      </c>
      <c r="G516" s="2" t="s">
        <v>432</v>
      </c>
      <c r="H516" s="9">
        <v>-1</v>
      </c>
      <c r="I516">
        <v>-1</v>
      </c>
      <c r="K516" s="2"/>
      <c r="L516" s="2"/>
      <c r="M516" s="2"/>
      <c r="N516" s="23">
        <v>0</v>
      </c>
      <c r="O516" s="2">
        <v>3.8580000000000001</v>
      </c>
      <c r="P516" s="2">
        <v>3.8580000000000001</v>
      </c>
      <c r="Q516" s="2">
        <v>23.879799999999999</v>
      </c>
      <c r="R516" s="2" t="s">
        <v>1137</v>
      </c>
      <c r="S516" s="2"/>
      <c r="T516" s="23">
        <v>0</v>
      </c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O516">
        <v>20</v>
      </c>
      <c r="AP516" s="21">
        <v>0</v>
      </c>
      <c r="AR516" s="28">
        <v>1.53125</v>
      </c>
      <c r="AS516" s="28">
        <v>1.59375</v>
      </c>
      <c r="AT516" s="28">
        <v>0.375</v>
      </c>
      <c r="AU516" s="28">
        <v>0</v>
      </c>
      <c r="AV516" s="28">
        <v>0.4375</v>
      </c>
      <c r="AW516" s="28">
        <v>0.45535714285714279</v>
      </c>
      <c r="AX516" s="28">
        <v>0.1071428571428571</v>
      </c>
      <c r="AY516" s="28">
        <v>0</v>
      </c>
      <c r="AZ516" s="25">
        <v>1</v>
      </c>
      <c r="BA516" s="25">
        <v>3.44</v>
      </c>
      <c r="BB516" s="25">
        <v>2.44</v>
      </c>
      <c r="BC516" s="25">
        <v>2.5262500000000001</v>
      </c>
      <c r="BD516">
        <v>2.5262500000000001</v>
      </c>
      <c r="BE516">
        <v>6.6075924153816246</v>
      </c>
    </row>
    <row r="517" spans="1:57" x14ac:dyDescent="0.3">
      <c r="A517" s="2" t="s">
        <v>429</v>
      </c>
      <c r="B517" s="18" t="s">
        <v>1066</v>
      </c>
      <c r="C517" s="13"/>
      <c r="D517" s="2" t="s">
        <v>863</v>
      </c>
      <c r="E517" s="2">
        <v>1</v>
      </c>
      <c r="F517" s="2">
        <v>3.59</v>
      </c>
      <c r="G517" s="2" t="s">
        <v>432</v>
      </c>
      <c r="H517" s="9">
        <v>-1</v>
      </c>
      <c r="I517">
        <v>-1</v>
      </c>
      <c r="K517" s="2"/>
      <c r="L517" s="2"/>
      <c r="M517" s="2"/>
      <c r="N517" s="23">
        <v>0</v>
      </c>
      <c r="O517" s="2">
        <v>3.8639000000000001</v>
      </c>
      <c r="P517" s="2">
        <v>3.8639000000000001</v>
      </c>
      <c r="Q517" s="2">
        <v>34.090000000000003</v>
      </c>
      <c r="R517" s="2" t="s">
        <v>1138</v>
      </c>
      <c r="S517" s="2"/>
      <c r="T517" s="23">
        <v>0</v>
      </c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O517">
        <v>20</v>
      </c>
      <c r="AP517" s="21">
        <v>0</v>
      </c>
      <c r="AR517" s="28">
        <v>1.4772727272727271</v>
      </c>
      <c r="AS517" s="28">
        <v>1.3409090909090911</v>
      </c>
      <c r="AT517" s="28">
        <v>0.27272727272727271</v>
      </c>
      <c r="AU517" s="28">
        <v>0</v>
      </c>
      <c r="AV517" s="28">
        <v>0.47794117647058831</v>
      </c>
      <c r="AW517" s="28">
        <v>0.43382352941176472</v>
      </c>
      <c r="AX517" s="28">
        <v>8.8235294117647051E-2</v>
      </c>
      <c r="AY517" s="28">
        <v>0</v>
      </c>
      <c r="AZ517" s="25">
        <v>1</v>
      </c>
      <c r="BA517" s="25">
        <v>3.44</v>
      </c>
      <c r="BB517" s="25">
        <v>2.44</v>
      </c>
      <c r="BC517" s="25">
        <v>2.4690909090909088</v>
      </c>
      <c r="BD517">
        <v>2.4690909090909088</v>
      </c>
      <c r="BE517">
        <v>6.679542975341362</v>
      </c>
    </row>
    <row r="518" spans="1:57" x14ac:dyDescent="0.3">
      <c r="A518" s="2" t="s">
        <v>430</v>
      </c>
      <c r="B518" s="18" t="s">
        <v>1064</v>
      </c>
      <c r="C518" s="13"/>
      <c r="D518" s="2" t="s">
        <v>863</v>
      </c>
      <c r="E518" s="2">
        <v>1</v>
      </c>
      <c r="F518" s="2">
        <v>3.57</v>
      </c>
      <c r="G518" s="2" t="s">
        <v>432</v>
      </c>
      <c r="H518" s="9">
        <v>-1</v>
      </c>
      <c r="I518">
        <v>-1</v>
      </c>
      <c r="K518" s="2"/>
      <c r="L518" s="2"/>
      <c r="M518" s="2"/>
      <c r="N518" s="23">
        <v>0</v>
      </c>
      <c r="O518" s="2">
        <v>3.8664000000000001</v>
      </c>
      <c r="P518" s="2">
        <v>3.8664000000000001</v>
      </c>
      <c r="Q518" s="2">
        <v>16.116399999999999</v>
      </c>
      <c r="R518" s="2" t="s">
        <v>1137</v>
      </c>
      <c r="S518" s="2"/>
      <c r="T518" s="23">
        <v>0</v>
      </c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O518">
        <v>20</v>
      </c>
      <c r="AP518" s="21">
        <v>0</v>
      </c>
      <c r="AR518" s="28">
        <v>1.6086956521739131</v>
      </c>
      <c r="AS518" s="28">
        <v>1.956521739130435</v>
      </c>
      <c r="AT518" s="28">
        <v>0.52173913043478259</v>
      </c>
      <c r="AU518" s="28">
        <v>0</v>
      </c>
      <c r="AV518" s="28">
        <v>0.3936170212765957</v>
      </c>
      <c r="AW518" s="28">
        <v>0.47872340425531912</v>
      </c>
      <c r="AX518" s="28">
        <v>0.1276595744680851</v>
      </c>
      <c r="AY518" s="28">
        <v>0</v>
      </c>
      <c r="AZ518" s="25">
        <v>1</v>
      </c>
      <c r="BA518" s="25">
        <v>3.44</v>
      </c>
      <c r="BB518" s="25">
        <v>2.44</v>
      </c>
      <c r="BC518" s="25">
        <v>2.6082608695652172</v>
      </c>
      <c r="BD518">
        <v>2.6082608695652181</v>
      </c>
      <c r="BE518">
        <v>6.5043590032654777</v>
      </c>
    </row>
    <row r="519" spans="1:57" x14ac:dyDescent="0.3">
      <c r="A519" s="2" t="s">
        <v>431</v>
      </c>
      <c r="B519" s="18" t="s">
        <v>1065</v>
      </c>
      <c r="C519" s="13"/>
      <c r="D519" s="2" t="s">
        <v>863</v>
      </c>
      <c r="E519" s="2">
        <v>1</v>
      </c>
      <c r="F519" s="2">
        <v>3.57</v>
      </c>
      <c r="G519" s="2" t="s">
        <v>432</v>
      </c>
      <c r="H519" s="9">
        <v>-1</v>
      </c>
      <c r="I519">
        <v>-1</v>
      </c>
      <c r="K519" s="2"/>
      <c r="L519" s="2"/>
      <c r="M519" s="2"/>
      <c r="N519" s="23">
        <v>0</v>
      </c>
      <c r="O519" s="2">
        <v>3.8982000000000001</v>
      </c>
      <c r="P519" s="2">
        <v>3.8982000000000001</v>
      </c>
      <c r="Q519" s="2">
        <v>51.103099999999998</v>
      </c>
      <c r="R519" s="2" t="s">
        <v>1140</v>
      </c>
      <c r="S519" s="2"/>
      <c r="T519" s="23">
        <v>0</v>
      </c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O519">
        <v>20</v>
      </c>
      <c r="AP519" s="21">
        <v>0</v>
      </c>
      <c r="AR519" s="28">
        <v>1.53125</v>
      </c>
      <c r="AS519" s="28">
        <v>1.59375</v>
      </c>
      <c r="AT519" s="28">
        <v>0.375</v>
      </c>
      <c r="AU519" s="28">
        <v>0</v>
      </c>
      <c r="AV519" s="28">
        <v>0.4375</v>
      </c>
      <c r="AW519" s="28">
        <v>0.45535714285714279</v>
      </c>
      <c r="AX519" s="28">
        <v>0.1071428571428571</v>
      </c>
      <c r="AY519" s="28">
        <v>0</v>
      </c>
      <c r="AZ519" s="25">
        <v>1</v>
      </c>
      <c r="BA519" s="25">
        <v>3.44</v>
      </c>
      <c r="BB519" s="25">
        <v>2.44</v>
      </c>
      <c r="BC519" s="25">
        <v>2.5262500000000001</v>
      </c>
      <c r="BD519">
        <v>2.5262500000000001</v>
      </c>
      <c r="BE519">
        <v>6.6075924153816246</v>
      </c>
    </row>
    <row r="520" spans="1:57" x14ac:dyDescent="0.3">
      <c r="A520" s="2" t="s">
        <v>107</v>
      </c>
      <c r="B520" s="18" t="s">
        <v>1066</v>
      </c>
      <c r="C520" s="13"/>
      <c r="D520" s="2" t="s">
        <v>863</v>
      </c>
      <c r="E520" s="2">
        <v>1</v>
      </c>
      <c r="F520" s="2">
        <v>3.61</v>
      </c>
      <c r="G520" s="2" t="s">
        <v>432</v>
      </c>
      <c r="H520" s="9">
        <v>-1</v>
      </c>
      <c r="I520">
        <v>-1</v>
      </c>
      <c r="K520" s="2"/>
      <c r="L520" s="2"/>
      <c r="M520" s="2"/>
      <c r="N520" s="23">
        <v>0</v>
      </c>
      <c r="O520" s="2">
        <v>3.8875000000000002</v>
      </c>
      <c r="P520" s="2">
        <v>3.8875000000000002</v>
      </c>
      <c r="Q520" s="2">
        <v>34.478000000000002</v>
      </c>
      <c r="R520" s="2" t="s">
        <v>451</v>
      </c>
      <c r="S520" s="2"/>
      <c r="T520" s="23">
        <v>0</v>
      </c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O520">
        <v>20</v>
      </c>
      <c r="AP520" s="21">
        <v>0</v>
      </c>
      <c r="AR520" s="28">
        <v>1.4772727272727271</v>
      </c>
      <c r="AS520" s="28">
        <v>1.3409090909090911</v>
      </c>
      <c r="AT520" s="28">
        <v>0.27272727272727271</v>
      </c>
      <c r="AU520" s="28">
        <v>0</v>
      </c>
      <c r="AV520" s="28">
        <v>0.47794117647058831</v>
      </c>
      <c r="AW520" s="28">
        <v>0.43382352941176472</v>
      </c>
      <c r="AX520" s="28">
        <v>8.8235294117647051E-2</v>
      </c>
      <c r="AY520" s="28">
        <v>0</v>
      </c>
      <c r="AZ520" s="25">
        <v>1</v>
      </c>
      <c r="BA520" s="25">
        <v>3.44</v>
      </c>
      <c r="BB520" s="25">
        <v>2.44</v>
      </c>
      <c r="BC520" s="25">
        <v>2.4690909090909088</v>
      </c>
      <c r="BD520">
        <v>2.4690909090909088</v>
      </c>
      <c r="BE520">
        <v>6.679542975341362</v>
      </c>
    </row>
    <row r="521" spans="1:57" x14ac:dyDescent="0.3">
      <c r="A521" s="2" t="s">
        <v>4</v>
      </c>
      <c r="B521" s="13"/>
      <c r="C521" s="13"/>
      <c r="F521" s="2">
        <v>3.5</v>
      </c>
      <c r="G521" s="4"/>
      <c r="H521" s="9"/>
      <c r="O521">
        <v>3.86</v>
      </c>
      <c r="P521">
        <v>3.86</v>
      </c>
      <c r="Q521" s="2">
        <v>29.5</v>
      </c>
      <c r="W521"/>
    </row>
    <row r="522" spans="1:57" x14ac:dyDescent="0.3">
      <c r="A522" s="2" t="s">
        <v>1177</v>
      </c>
      <c r="F522" s="2">
        <v>3.6</v>
      </c>
      <c r="O522">
        <v>3.85</v>
      </c>
      <c r="P522">
        <v>3.85</v>
      </c>
      <c r="Q522" s="2">
        <v>29.5</v>
      </c>
    </row>
    <row r="523" spans="1:57" x14ac:dyDescent="0.3">
      <c r="A523" s="2" t="s">
        <v>1178</v>
      </c>
      <c r="F523" s="2">
        <v>3.8</v>
      </c>
      <c r="O523">
        <v>3.88</v>
      </c>
      <c r="P523">
        <v>3.88</v>
      </c>
      <c r="Q523" s="2">
        <v>29.8</v>
      </c>
    </row>
    <row r="524" spans="1:57" x14ac:dyDescent="0.3">
      <c r="A524" s="2" t="s">
        <v>308</v>
      </c>
      <c r="F524" s="2">
        <v>4.2</v>
      </c>
      <c r="O524">
        <v>3.86</v>
      </c>
      <c r="P524">
        <v>3.86</v>
      </c>
      <c r="Q524" s="2">
        <v>29.8</v>
      </c>
    </row>
  </sheetData>
  <hyperlinks>
    <hyperlink ref="G287" r:id="rId1" tooltip="Persistent link using digital object identifier" display="https://doi.org/10.1016/j.pnsc.2012.03.002"/>
    <hyperlink ref="G288" r:id="rId2" tooltip="Persistent link using digital object identifier" display="https://doi.org/10.1016/j.pnsc.2012.03.002"/>
    <hyperlink ref="W3" r:id="rId3"/>
    <hyperlink ref="L2" r:id="rId4" display="https://sci-hub.ru/10.1016/0025-5408(81)90063-5"/>
    <hyperlink ref="L6" r:id="rId5"/>
    <hyperlink ref="L7" r:id="rId6"/>
    <hyperlink ref="L8" r:id="rId7"/>
    <hyperlink ref="I6" r:id="rId8" display="https://www.crystallography.net/cod/1544425.html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4"/>
  <sheetViews>
    <sheetView workbookViewId="0">
      <selection activeCell="C16" sqref="C16"/>
    </sheetView>
  </sheetViews>
  <sheetFormatPr defaultRowHeight="14.4" x14ac:dyDescent="0.3"/>
  <cols>
    <col min="2" max="2" width="16.33203125" customWidth="1"/>
    <col min="3" max="3" width="15.77734375" customWidth="1"/>
    <col min="16" max="16" width="15.88671875" customWidth="1"/>
  </cols>
  <sheetData>
    <row r="1" spans="2:17" x14ac:dyDescent="0.3">
      <c r="B1" t="s">
        <v>965</v>
      </c>
      <c r="C1" t="s">
        <v>966</v>
      </c>
    </row>
    <row r="2" spans="2:17" x14ac:dyDescent="0.3">
      <c r="B2" t="s">
        <v>246</v>
      </c>
      <c r="C2">
        <v>2</v>
      </c>
      <c r="P2" t="s">
        <v>969</v>
      </c>
    </row>
    <row r="3" spans="2:17" x14ac:dyDescent="0.3">
      <c r="B3" t="s">
        <v>248</v>
      </c>
      <c r="C3">
        <v>2</v>
      </c>
      <c r="P3" t="s">
        <v>970</v>
      </c>
    </row>
    <row r="4" spans="2:17" x14ac:dyDescent="0.3">
      <c r="B4" t="s">
        <v>678</v>
      </c>
      <c r="C4">
        <v>1</v>
      </c>
    </row>
    <row r="5" spans="2:17" x14ac:dyDescent="0.3">
      <c r="B5" t="s">
        <v>888</v>
      </c>
      <c r="C5">
        <v>2</v>
      </c>
    </row>
    <row r="6" spans="2:17" x14ac:dyDescent="0.3">
      <c r="B6" t="s">
        <v>964</v>
      </c>
      <c r="C6">
        <v>5</v>
      </c>
      <c r="P6" t="s">
        <v>971</v>
      </c>
      <c r="Q6">
        <v>194</v>
      </c>
    </row>
    <row r="7" spans="2:17" x14ac:dyDescent="0.3">
      <c r="B7" t="s">
        <v>676</v>
      </c>
      <c r="C7">
        <v>17</v>
      </c>
      <c r="P7" t="s">
        <v>972</v>
      </c>
      <c r="Q7">
        <v>148</v>
      </c>
    </row>
    <row r="8" spans="2:17" x14ac:dyDescent="0.3">
      <c r="B8" t="s">
        <v>863</v>
      </c>
      <c r="C8">
        <v>21</v>
      </c>
    </row>
    <row r="9" spans="2:17" x14ac:dyDescent="0.3">
      <c r="B9" t="s">
        <v>890</v>
      </c>
      <c r="C9">
        <v>2</v>
      </c>
    </row>
    <row r="10" spans="2:17" x14ac:dyDescent="0.3">
      <c r="B10" t="s">
        <v>967</v>
      </c>
      <c r="C10">
        <f>SUM(C2:C9)</f>
        <v>52</v>
      </c>
    </row>
    <row r="11" spans="2:17" x14ac:dyDescent="0.3">
      <c r="B11" t="s">
        <v>968</v>
      </c>
      <c r="C11">
        <f>525-52</f>
        <v>473</v>
      </c>
    </row>
    <row r="13" spans="2:17" x14ac:dyDescent="0.3">
      <c r="B13" t="s">
        <v>522</v>
      </c>
      <c r="C13">
        <v>194</v>
      </c>
    </row>
    <row r="14" spans="2:17" x14ac:dyDescent="0.3">
      <c r="B14" t="s">
        <v>973</v>
      </c>
      <c r="C14">
        <f>525-C13</f>
        <v>331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selection activeCell="G28" sqref="G28"/>
    </sheetView>
  </sheetViews>
  <sheetFormatPr defaultRowHeight="14.4" x14ac:dyDescent="0.3"/>
  <cols>
    <col min="1" max="1" width="15.33203125" customWidth="1"/>
    <col min="2" max="2" width="11.6640625" customWidth="1"/>
    <col min="4" max="4" width="18.109375" customWidth="1"/>
    <col min="7" max="7" width="12.21875" customWidth="1"/>
    <col min="16" max="16" width="13" customWidth="1"/>
    <col min="19" max="20" width="14.88671875" customWidth="1"/>
  </cols>
  <sheetData>
    <row r="1" spans="1:20" x14ac:dyDescent="0.3">
      <c r="A1" s="13" t="s">
        <v>775</v>
      </c>
      <c r="B1">
        <v>438</v>
      </c>
      <c r="D1" t="s">
        <v>215</v>
      </c>
      <c r="E1">
        <v>916</v>
      </c>
      <c r="G1" t="s">
        <v>221</v>
      </c>
      <c r="H1">
        <v>1402</v>
      </c>
      <c r="J1" t="s">
        <v>46</v>
      </c>
      <c r="K1">
        <v>486</v>
      </c>
      <c r="M1" t="s">
        <v>244</v>
      </c>
      <c r="N1">
        <f>65+16</f>
        <v>81</v>
      </c>
      <c r="P1" t="s">
        <v>262</v>
      </c>
      <c r="Q1">
        <v>519</v>
      </c>
      <c r="S1" t="s">
        <v>889</v>
      </c>
      <c r="T1">
        <v>1035</v>
      </c>
    </row>
    <row r="2" spans="1:20" x14ac:dyDescent="0.3">
      <c r="A2" t="s">
        <v>1068</v>
      </c>
      <c r="B2">
        <v>93</v>
      </c>
      <c r="D2" t="s">
        <v>1072</v>
      </c>
      <c r="E2">
        <v>16</v>
      </c>
      <c r="G2" t="s">
        <v>1076</v>
      </c>
      <c r="H2">
        <v>4.2</v>
      </c>
      <c r="J2" t="s">
        <v>1078</v>
      </c>
      <c r="K2">
        <v>1</v>
      </c>
      <c r="M2" t="s">
        <v>888</v>
      </c>
      <c r="N2">
        <f>64+16</f>
        <v>80</v>
      </c>
      <c r="P2" t="s">
        <v>1085</v>
      </c>
      <c r="Q2">
        <f>0.051*10</f>
        <v>0.51</v>
      </c>
      <c r="S2" t="s">
        <v>1085</v>
      </c>
      <c r="T2">
        <f>0.03*10</f>
        <v>0.3</v>
      </c>
    </row>
    <row r="3" spans="1:20" x14ac:dyDescent="0.3">
      <c r="A3" t="s">
        <v>964</v>
      </c>
      <c r="B3">
        <v>115</v>
      </c>
      <c r="D3" t="s">
        <v>1073</v>
      </c>
      <c r="E3">
        <f>E2*0.018</f>
        <v>0.28799999999999998</v>
      </c>
      <c r="G3" t="s">
        <v>1077</v>
      </c>
      <c r="H3">
        <f>15*0.042</f>
        <v>0.63</v>
      </c>
      <c r="J3" t="s">
        <v>1079</v>
      </c>
      <c r="K3">
        <f>2*0.01</f>
        <v>0.02</v>
      </c>
      <c r="M3" t="s">
        <v>1082</v>
      </c>
      <c r="N3">
        <f>0.01</f>
        <v>0.01</v>
      </c>
      <c r="P3" t="s">
        <v>1074</v>
      </c>
      <c r="Q3">
        <f>14*Q2</f>
        <v>7.1400000000000006</v>
      </c>
      <c r="S3" t="s">
        <v>1074</v>
      </c>
      <c r="T3">
        <f>14*T2</f>
        <v>4.2</v>
      </c>
    </row>
    <row r="4" spans="1:20" x14ac:dyDescent="0.3">
      <c r="A4" t="s">
        <v>1069</v>
      </c>
      <c r="B4">
        <f>2*0.0125</f>
        <v>2.5000000000000001E-2</v>
      </c>
      <c r="D4" t="s">
        <v>1074</v>
      </c>
      <c r="E4">
        <f>E3*14</f>
        <v>4.032</v>
      </c>
      <c r="G4" t="s">
        <v>1074</v>
      </c>
      <c r="H4">
        <f>H3*14</f>
        <v>8.82</v>
      </c>
      <c r="J4" t="s">
        <v>1080</v>
      </c>
      <c r="K4">
        <f>K3*103</f>
        <v>2.06</v>
      </c>
      <c r="M4" t="s">
        <v>1083</v>
      </c>
      <c r="N4">
        <f>N3*N2</f>
        <v>0.8</v>
      </c>
      <c r="P4" t="s">
        <v>1086</v>
      </c>
      <c r="Q4">
        <f>100*Q3/Q1</f>
        <v>1.3757225433526012</v>
      </c>
      <c r="S4" t="s">
        <v>1086</v>
      </c>
      <c r="T4">
        <f>100*T3/T1</f>
        <v>0.40579710144927539</v>
      </c>
    </row>
    <row r="5" spans="1:20" x14ac:dyDescent="0.3">
      <c r="A5" t="s">
        <v>1070</v>
      </c>
      <c r="B5">
        <f>B3*B4</f>
        <v>2.875</v>
      </c>
      <c r="D5" t="s">
        <v>1075</v>
      </c>
      <c r="E5">
        <f>100*E4/E1</f>
        <v>0.44017467248908293</v>
      </c>
      <c r="G5" t="s">
        <v>1075</v>
      </c>
      <c r="H5">
        <f>100*H4/H1</f>
        <v>0.62910128388017117</v>
      </c>
      <c r="J5" t="s">
        <v>1081</v>
      </c>
      <c r="K5">
        <f>100*K4/K1</f>
        <v>0.42386831275720166</v>
      </c>
      <c r="M5" t="s">
        <v>1084</v>
      </c>
      <c r="N5">
        <f>100*N4/N1</f>
        <v>0.98765432098765427</v>
      </c>
    </row>
    <row r="6" spans="1:20" x14ac:dyDescent="0.3">
      <c r="A6" t="s">
        <v>1071</v>
      </c>
      <c r="B6">
        <f>100*B5/B1</f>
        <v>0.65639269406392697</v>
      </c>
    </row>
    <row r="10" spans="1:20" x14ac:dyDescent="0.3">
      <c r="A10" t="s">
        <v>4</v>
      </c>
      <c r="B10">
        <v>558</v>
      </c>
      <c r="D10" t="s">
        <v>10</v>
      </c>
      <c r="E10">
        <v>698</v>
      </c>
      <c r="G10" t="s">
        <v>891</v>
      </c>
      <c r="H10">
        <v>533</v>
      </c>
      <c r="K10" t="s">
        <v>63</v>
      </c>
      <c r="L10">
        <v>520</v>
      </c>
    </row>
    <row r="11" spans="1:20" x14ac:dyDescent="0.3">
      <c r="A11" t="s">
        <v>1079</v>
      </c>
      <c r="B11">
        <f>0.03</f>
        <v>0.03</v>
      </c>
      <c r="D11" t="s">
        <v>1085</v>
      </c>
      <c r="E11">
        <v>0.15</v>
      </c>
      <c r="G11" t="s">
        <v>1088</v>
      </c>
      <c r="H11">
        <v>19.5</v>
      </c>
      <c r="I11">
        <v>139</v>
      </c>
      <c r="K11" t="s">
        <v>1091</v>
      </c>
      <c r="L11">
        <v>2</v>
      </c>
      <c r="M11">
        <v>40</v>
      </c>
    </row>
    <row r="12" spans="1:20" x14ac:dyDescent="0.3">
      <c r="A12" t="s">
        <v>1080</v>
      </c>
      <c r="B12">
        <f>103*B11</f>
        <v>3.09</v>
      </c>
      <c r="D12" t="s">
        <v>1074</v>
      </c>
      <c r="E12">
        <f>14*E11</f>
        <v>2.1</v>
      </c>
      <c r="G12" t="s">
        <v>676</v>
      </c>
      <c r="H12">
        <v>5.8</v>
      </c>
      <c r="I12">
        <v>14</v>
      </c>
      <c r="K12" t="s">
        <v>246</v>
      </c>
      <c r="L12">
        <v>0.5</v>
      </c>
      <c r="M12">
        <v>145</v>
      </c>
    </row>
    <row r="13" spans="1:20" x14ac:dyDescent="0.3">
      <c r="A13" t="s">
        <v>1087</v>
      </c>
      <c r="B13">
        <f>100*B12/B10</f>
        <v>0.55376344086021501</v>
      </c>
      <c r="D13" t="s">
        <v>1086</v>
      </c>
      <c r="E13">
        <f>100*E12/E10</f>
        <v>0.3008595988538682</v>
      </c>
      <c r="G13" t="s">
        <v>1089</v>
      </c>
      <c r="H13">
        <f>H12*I12/(H11*I11)</f>
        <v>2.995757240361557E-2</v>
      </c>
      <c r="K13" t="s">
        <v>1089</v>
      </c>
      <c r="L13">
        <f>L12*M12/(L11*M11)</f>
        <v>0.90625</v>
      </c>
    </row>
    <row r="14" spans="1:20" x14ac:dyDescent="0.3">
      <c r="G14" t="s">
        <v>1090</v>
      </c>
      <c r="H14">
        <f>2*H11/H10</f>
        <v>7.3170731707317069E-2</v>
      </c>
      <c r="K14" t="s">
        <v>1090</v>
      </c>
      <c r="L14">
        <f>2*L11/L10</f>
        <v>7.6923076923076927E-3</v>
      </c>
    </row>
    <row r="15" spans="1:20" x14ac:dyDescent="0.3">
      <c r="G15" t="s">
        <v>1075</v>
      </c>
      <c r="H15">
        <f>100*H13*H14</f>
        <v>0.21920174929474806</v>
      </c>
      <c r="K15" t="s">
        <v>1075</v>
      </c>
      <c r="L15">
        <f>100*L13*L14</f>
        <v>0.69711538461538469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H7" sqref="H7:H14"/>
    </sheetView>
  </sheetViews>
  <sheetFormatPr defaultRowHeight="14.4" x14ac:dyDescent="0.3"/>
  <cols>
    <col min="1" max="2" width="11.5546875" customWidth="1"/>
    <col min="5" max="5" width="13.77734375" customWidth="1"/>
    <col min="7" max="8" width="12" bestFit="1" customWidth="1"/>
  </cols>
  <sheetData>
    <row r="1" spans="1:8" x14ac:dyDescent="0.3">
      <c r="A1" t="s">
        <v>1122</v>
      </c>
      <c r="B1">
        <f>1.5406*10^(-10)</f>
        <v>1.5406000000000001E-10</v>
      </c>
    </row>
    <row r="3" spans="1:8" x14ac:dyDescent="0.3">
      <c r="A3" t="s">
        <v>1123</v>
      </c>
      <c r="B3" t="s">
        <v>1124</v>
      </c>
      <c r="C3" t="s">
        <v>1125</v>
      </c>
      <c r="D3" t="s">
        <v>1130</v>
      </c>
      <c r="E3" t="s">
        <v>1126</v>
      </c>
      <c r="F3" t="s">
        <v>1127</v>
      </c>
      <c r="G3" t="s">
        <v>1128</v>
      </c>
      <c r="H3" t="s">
        <v>1129</v>
      </c>
    </row>
    <row r="4" spans="1:8" x14ac:dyDescent="0.3">
      <c r="A4">
        <v>1</v>
      </c>
      <c r="B4">
        <v>0</v>
      </c>
      <c r="C4">
        <v>0</v>
      </c>
      <c r="D4">
        <v>1</v>
      </c>
      <c r="E4">
        <v>7.9020000000000001</v>
      </c>
      <c r="F4">
        <f>SIN(RADIANS(E4/2))</f>
        <v>6.8903320257000619E-2</v>
      </c>
      <c r="G4">
        <f>D4*$B$1/(2*F4)</f>
        <v>1.1179432241100705E-9</v>
      </c>
      <c r="H4">
        <f>G4*10^10</f>
        <v>11.179432241100704</v>
      </c>
    </row>
    <row r="5" spans="1:8" x14ac:dyDescent="0.3">
      <c r="A5">
        <v>1</v>
      </c>
      <c r="B5">
        <v>0</v>
      </c>
      <c r="C5">
        <v>0</v>
      </c>
      <c r="D5">
        <v>2</v>
      </c>
      <c r="E5">
        <v>27.532</v>
      </c>
      <c r="F5">
        <f>SIN(RADIANS(E5/2))</f>
        <v>0.23795713293153206</v>
      </c>
      <c r="G5">
        <f>D5*$B$1/(2*F5)</f>
        <v>6.4742753495995452E-10</v>
      </c>
      <c r="H5">
        <f>G5*10^10</f>
        <v>6.4742753495995453</v>
      </c>
    </row>
    <row r="7" spans="1:8" x14ac:dyDescent="0.3">
      <c r="A7">
        <v>1</v>
      </c>
      <c r="B7">
        <v>0</v>
      </c>
      <c r="C7">
        <v>0</v>
      </c>
      <c r="D7">
        <v>1</v>
      </c>
      <c r="E7">
        <v>5.8819999999999997</v>
      </c>
      <c r="F7">
        <f>SIN(RADIANS(E7/2))</f>
        <v>5.1307595646900246E-2</v>
      </c>
      <c r="G7">
        <f>D7*$B$1/(2*F7)</f>
        <v>1.5013371612679298E-9</v>
      </c>
      <c r="H7">
        <f>G7*10^10</f>
        <v>15.013371612679299</v>
      </c>
    </row>
    <row r="8" spans="1:8" x14ac:dyDescent="0.3">
      <c r="A8">
        <v>1</v>
      </c>
      <c r="B8">
        <v>0</v>
      </c>
      <c r="C8">
        <v>0</v>
      </c>
      <c r="D8">
        <v>1</v>
      </c>
      <c r="E8">
        <v>5.923</v>
      </c>
      <c r="F8">
        <f t="shared" ref="F8:F14" si="0">SIN(RADIANS(E8/2))</f>
        <v>5.1664913602616352E-2</v>
      </c>
      <c r="G8">
        <f t="shared" ref="G8:G14" si="1">D8*$B$1/(2*F8)</f>
        <v>1.4909538142748224E-9</v>
      </c>
      <c r="H8">
        <f t="shared" ref="H8:H14" si="2">G8*10^10</f>
        <v>14.909538142748223</v>
      </c>
    </row>
    <row r="9" spans="1:8" x14ac:dyDescent="0.3">
      <c r="A9">
        <v>1</v>
      </c>
      <c r="B9">
        <v>0</v>
      </c>
      <c r="C9">
        <v>0</v>
      </c>
      <c r="D9">
        <v>1</v>
      </c>
      <c r="E9">
        <v>6.056</v>
      </c>
      <c r="F9">
        <f t="shared" si="0"/>
        <v>5.2823972428976546E-2</v>
      </c>
      <c r="G9">
        <f t="shared" si="1"/>
        <v>1.4582394405034421E-9</v>
      </c>
      <c r="H9">
        <f t="shared" si="2"/>
        <v>14.582394405034421</v>
      </c>
    </row>
    <row r="10" spans="1:8" x14ac:dyDescent="0.3">
      <c r="A10">
        <v>1</v>
      </c>
      <c r="B10">
        <v>0</v>
      </c>
      <c r="C10">
        <v>0</v>
      </c>
      <c r="D10">
        <v>1</v>
      </c>
      <c r="E10">
        <v>5.8890000000000002</v>
      </c>
      <c r="F10">
        <f t="shared" si="0"/>
        <v>5.1368601617766706E-2</v>
      </c>
      <c r="G10">
        <f t="shared" si="1"/>
        <v>1.4995541551467477E-9</v>
      </c>
      <c r="H10">
        <f t="shared" si="2"/>
        <v>14.995541551467477</v>
      </c>
    </row>
    <row r="11" spans="1:8" x14ac:dyDescent="0.3">
      <c r="A11">
        <v>1</v>
      </c>
      <c r="B11">
        <v>0</v>
      </c>
      <c r="C11">
        <v>0</v>
      </c>
      <c r="D11">
        <v>1</v>
      </c>
      <c r="E11">
        <v>5.6550000000000002</v>
      </c>
      <c r="F11">
        <f t="shared" si="0"/>
        <v>4.9329156681879455E-2</v>
      </c>
      <c r="G11">
        <f t="shared" si="1"/>
        <v>1.5615511227317649E-9</v>
      </c>
      <c r="H11">
        <f t="shared" si="2"/>
        <v>15.615511227317649</v>
      </c>
    </row>
    <row r="12" spans="1:8" x14ac:dyDescent="0.3">
      <c r="A12">
        <v>1</v>
      </c>
      <c r="B12">
        <v>0</v>
      </c>
      <c r="C12">
        <v>0</v>
      </c>
      <c r="D12">
        <v>1</v>
      </c>
      <c r="E12">
        <v>5.5209999999999999</v>
      </c>
      <c r="F12">
        <f t="shared" si="0"/>
        <v>4.8161176241929088E-2</v>
      </c>
      <c r="G12">
        <f t="shared" si="1"/>
        <v>1.5994210692250023E-9</v>
      </c>
      <c r="H12">
        <f t="shared" si="2"/>
        <v>15.994210692250023</v>
      </c>
    </row>
    <row r="13" spans="1:8" x14ac:dyDescent="0.3">
      <c r="A13">
        <v>1</v>
      </c>
      <c r="B13">
        <v>0</v>
      </c>
      <c r="C13">
        <v>0</v>
      </c>
      <c r="D13">
        <v>1</v>
      </c>
      <c r="E13">
        <v>5.4210000000000003</v>
      </c>
      <c r="F13">
        <f t="shared" si="0"/>
        <v>4.7289506048025523E-2</v>
      </c>
      <c r="G13">
        <f t="shared" si="1"/>
        <v>1.6289026136532511E-9</v>
      </c>
      <c r="H13">
        <f t="shared" si="2"/>
        <v>16.28902613653251</v>
      </c>
    </row>
    <row r="14" spans="1:8" x14ac:dyDescent="0.3">
      <c r="A14">
        <v>1</v>
      </c>
      <c r="B14">
        <v>0</v>
      </c>
      <c r="C14">
        <v>0</v>
      </c>
      <c r="D14">
        <v>1</v>
      </c>
      <c r="E14">
        <v>5.0439999999999996</v>
      </c>
      <c r="F14">
        <f t="shared" si="0"/>
        <v>4.40029911191629E-2</v>
      </c>
      <c r="G14">
        <f t="shared" si="1"/>
        <v>1.7505628149549621E-9</v>
      </c>
      <c r="H14">
        <f t="shared" si="2"/>
        <v>17.505628149549622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49"/>
  <sheetViews>
    <sheetView tabSelected="1" topLeftCell="BM1" workbookViewId="0">
      <pane ySplit="1" topLeftCell="A95" activePane="bottomLeft" state="frozen"/>
      <selection pane="bottomLeft" activeCell="BZ116" sqref="BZ116"/>
    </sheetView>
  </sheetViews>
  <sheetFormatPr defaultRowHeight="14.4" x14ac:dyDescent="0.3"/>
  <cols>
    <col min="1" max="1" width="21.5546875" customWidth="1"/>
    <col min="2" max="2" width="15.44140625" customWidth="1"/>
    <col min="5" max="5" width="27.6640625" customWidth="1"/>
    <col min="6" max="6" width="12.109375" customWidth="1"/>
    <col min="8" max="8" width="12.33203125" customWidth="1"/>
    <col min="9" max="16" width="8.88671875" customWidth="1"/>
    <col min="17" max="60" width="8.88671875" hidden="1" customWidth="1"/>
    <col min="61" max="61" width="12.109375" style="79" customWidth="1"/>
    <col min="62" max="62" width="8.88671875" style="79"/>
    <col min="63" max="64" width="10.33203125" style="79" customWidth="1"/>
    <col min="65" max="65" width="20.21875" style="79" customWidth="1"/>
    <col min="66" max="66" width="8.88671875" style="79"/>
    <col min="67" max="67" width="12.5546875" style="79" customWidth="1"/>
    <col min="68" max="68" width="18.109375" style="79" customWidth="1"/>
    <col min="69" max="69" width="10.5546875" style="79" customWidth="1"/>
    <col min="70" max="70" width="8.88671875" style="79"/>
    <col min="71" max="71" width="10.6640625" style="79" customWidth="1"/>
    <col min="72" max="72" width="11.21875" style="79" customWidth="1"/>
    <col min="73" max="73" width="10" style="79" customWidth="1"/>
    <col min="74" max="74" width="8.88671875" style="79"/>
    <col min="75" max="77" width="13.21875" style="79" customWidth="1"/>
    <col min="78" max="78" width="12.6640625" style="81" customWidth="1"/>
    <col min="79" max="79" width="13.88671875" customWidth="1"/>
  </cols>
  <sheetData>
    <row r="1" spans="1:79" x14ac:dyDescent="0.3">
      <c r="A1" s="2" t="s">
        <v>112</v>
      </c>
      <c r="B1" s="14" t="s">
        <v>684</v>
      </c>
      <c r="C1" s="16" t="s">
        <v>892</v>
      </c>
      <c r="D1" s="2" t="s">
        <v>113</v>
      </c>
      <c r="E1" s="2" t="s">
        <v>50</v>
      </c>
      <c r="F1" s="60" t="s">
        <v>522</v>
      </c>
      <c r="G1" s="61" t="s">
        <v>605</v>
      </c>
      <c r="H1" s="62" t="s">
        <v>1146</v>
      </c>
      <c r="I1" s="63" t="s">
        <v>1096</v>
      </c>
      <c r="J1" s="64" t="s">
        <v>1108</v>
      </c>
      <c r="K1" s="59" t="s">
        <v>1191</v>
      </c>
      <c r="L1" s="59" t="s">
        <v>1203</v>
      </c>
      <c r="M1" s="2" t="s">
        <v>467</v>
      </c>
      <c r="N1" s="2" t="s">
        <v>468</v>
      </c>
      <c r="O1" s="2" t="s">
        <v>469</v>
      </c>
      <c r="P1" s="2" t="s">
        <v>438</v>
      </c>
      <c r="Q1" s="30" t="s">
        <v>1132</v>
      </c>
      <c r="R1" s="26" t="s">
        <v>1105</v>
      </c>
      <c r="S1" s="26" t="s">
        <v>1106</v>
      </c>
      <c r="T1" s="26" t="s">
        <v>1107</v>
      </c>
      <c r="U1" s="11" t="s">
        <v>1192</v>
      </c>
      <c r="V1" s="11" t="s">
        <v>1193</v>
      </c>
      <c r="W1" s="11" t="s">
        <v>1194</v>
      </c>
      <c r="X1" s="11" t="s">
        <v>1199</v>
      </c>
      <c r="Y1" s="11" t="s">
        <v>1200</v>
      </c>
      <c r="Z1" s="11" t="s">
        <v>1201</v>
      </c>
      <c r="AA1" s="2" t="s">
        <v>466</v>
      </c>
      <c r="AB1" s="11" t="s">
        <v>1094</v>
      </c>
      <c r="AC1" s="54" t="s">
        <v>1103</v>
      </c>
      <c r="AD1" s="56" t="s">
        <v>1196</v>
      </c>
      <c r="AE1" s="54" t="s">
        <v>1195</v>
      </c>
      <c r="AF1" s="54" t="s">
        <v>1202</v>
      </c>
      <c r="AG1" s="66" t="s">
        <v>1104</v>
      </c>
      <c r="AH1" s="50" t="s">
        <v>1197</v>
      </c>
      <c r="AI1" s="53" t="s">
        <v>1198</v>
      </c>
      <c r="AJ1" s="53" t="s">
        <v>1204</v>
      </c>
      <c r="AK1" s="27" t="s">
        <v>1113</v>
      </c>
      <c r="AL1" s="27" t="s">
        <v>1114</v>
      </c>
      <c r="AM1" s="27" t="s">
        <v>1115</v>
      </c>
      <c r="AN1" s="27" t="s">
        <v>1116</v>
      </c>
      <c r="AO1" s="27" t="s">
        <v>1117</v>
      </c>
      <c r="AP1" s="27" t="s">
        <v>1118</v>
      </c>
      <c r="AQ1" s="27" t="s">
        <v>1119</v>
      </c>
      <c r="AR1" s="27" t="s">
        <v>1120</v>
      </c>
      <c r="AS1" s="26" t="s">
        <v>1109</v>
      </c>
      <c r="AT1" s="26" t="s">
        <v>1110</v>
      </c>
      <c r="AU1" s="26" t="s">
        <v>1111</v>
      </c>
      <c r="AV1" s="26" t="s">
        <v>1112</v>
      </c>
      <c r="AW1" s="11" t="s">
        <v>1092</v>
      </c>
      <c r="AX1" s="11" t="s">
        <v>1093</v>
      </c>
      <c r="AY1" s="74" t="s">
        <v>1205</v>
      </c>
      <c r="AZ1" s="74" t="s">
        <v>1206</v>
      </c>
      <c r="BA1" s="74" t="s">
        <v>1207</v>
      </c>
      <c r="BB1" s="11" t="s">
        <v>1211</v>
      </c>
      <c r="BC1" s="11" t="s">
        <v>1208</v>
      </c>
      <c r="BD1" s="11" t="s">
        <v>1209</v>
      </c>
      <c r="BE1" s="11" t="s">
        <v>1210</v>
      </c>
      <c r="BF1" s="11" t="s">
        <v>1247</v>
      </c>
      <c r="BG1" s="11" t="s">
        <v>1248</v>
      </c>
      <c r="BH1" s="77" t="s">
        <v>1249</v>
      </c>
      <c r="BI1" s="78" t="s">
        <v>1251</v>
      </c>
      <c r="BJ1" s="78" t="s">
        <v>1252</v>
      </c>
      <c r="BK1" s="78" t="s">
        <v>1253</v>
      </c>
      <c r="BL1" s="78" t="s">
        <v>1307</v>
      </c>
      <c r="BM1" s="78" t="s">
        <v>1254</v>
      </c>
      <c r="BN1" s="79" t="s">
        <v>1250</v>
      </c>
      <c r="BO1" s="79" t="s">
        <v>1267</v>
      </c>
      <c r="BP1" s="78" t="s">
        <v>1256</v>
      </c>
      <c r="BQ1" s="78" t="s">
        <v>1257</v>
      </c>
      <c r="BR1" s="78" t="s">
        <v>1258</v>
      </c>
      <c r="BS1" s="78" t="s">
        <v>1259</v>
      </c>
      <c r="BT1" s="78" t="s">
        <v>1260</v>
      </c>
      <c r="BU1" s="78" t="s">
        <v>1261</v>
      </c>
      <c r="BV1" s="78" t="s">
        <v>1262</v>
      </c>
      <c r="BW1" s="78" t="s">
        <v>1285</v>
      </c>
      <c r="BX1" s="78" t="s">
        <v>1286</v>
      </c>
      <c r="BY1" s="78" t="s">
        <v>1295</v>
      </c>
      <c r="BZ1" s="80" t="s">
        <v>1265</v>
      </c>
    </row>
    <row r="2" spans="1:79" x14ac:dyDescent="0.3">
      <c r="A2" s="2" t="s">
        <v>0</v>
      </c>
      <c r="B2" s="13" t="s">
        <v>685</v>
      </c>
      <c r="C2" s="13"/>
      <c r="D2" s="2">
        <v>3.5</v>
      </c>
      <c r="E2" s="2" t="s">
        <v>454</v>
      </c>
      <c r="F2" s="9" t="s">
        <v>523</v>
      </c>
      <c r="G2" t="s">
        <v>606</v>
      </c>
      <c r="I2" s="65">
        <v>4</v>
      </c>
      <c r="J2" s="25">
        <v>4</v>
      </c>
      <c r="K2">
        <v>4</v>
      </c>
      <c r="L2">
        <v>0</v>
      </c>
      <c r="M2" s="2"/>
      <c r="N2" s="2"/>
      <c r="O2" s="2"/>
      <c r="P2" s="2"/>
      <c r="Q2" s="2"/>
      <c r="R2" s="25">
        <v>6.6040679999999998</v>
      </c>
      <c r="S2" s="25">
        <v>7.9389519999999996</v>
      </c>
      <c r="T2" s="25">
        <v>33.703336</v>
      </c>
      <c r="U2">
        <v>7.83</v>
      </c>
      <c r="V2">
        <v>33.209989999999998</v>
      </c>
      <c r="W2">
        <v>6.46</v>
      </c>
      <c r="X2">
        <v>0</v>
      </c>
      <c r="AA2" s="2"/>
      <c r="AB2">
        <v>34</v>
      </c>
      <c r="AC2" s="55">
        <f>M2*N2*O2</f>
        <v>0</v>
      </c>
      <c r="AD2" s="57">
        <v>1767.0449718798691</v>
      </c>
      <c r="AE2" s="55">
        <v>1679.8210721820001</v>
      </c>
      <c r="AF2" s="55">
        <v>0</v>
      </c>
      <c r="AG2" s="52"/>
      <c r="AH2" s="51">
        <v>7.6964651247849417E-2</v>
      </c>
      <c r="AI2" s="52">
        <v>8.0961003676030277E-2</v>
      </c>
      <c r="AJ2" s="52"/>
      <c r="AK2" s="28">
        <v>1.62962962962963</v>
      </c>
      <c r="AL2" s="28">
        <v>2.518518518518519</v>
      </c>
      <c r="AM2" s="28">
        <v>0.88888888888888884</v>
      </c>
      <c r="AN2" s="28">
        <v>0</v>
      </c>
      <c r="AO2" s="28">
        <v>0.32352941176470579</v>
      </c>
      <c r="AP2" s="28">
        <v>0.5</v>
      </c>
      <c r="AQ2" s="28">
        <v>0.1764705882352941</v>
      </c>
      <c r="AR2" s="28">
        <v>0</v>
      </c>
      <c r="AS2" s="25">
        <v>0.82</v>
      </c>
      <c r="AT2" s="25">
        <v>3.44</v>
      </c>
      <c r="AU2" s="25">
        <v>2.62</v>
      </c>
      <c r="AV2" s="25">
        <v>2.642962962962963</v>
      </c>
      <c r="AW2">
        <v>2.642962962962963</v>
      </c>
      <c r="AX2">
        <v>5.9587362692592576</v>
      </c>
      <c r="AY2" s="75">
        <v>0.48264383878002159</v>
      </c>
      <c r="AZ2" s="75">
        <v>0.50770488753139842</v>
      </c>
      <c r="BA2" s="75"/>
      <c r="BB2" t="s">
        <v>459</v>
      </c>
      <c r="BC2">
        <v>3.8482325623924708E-2</v>
      </c>
      <c r="BD2">
        <v>4.0480501838015132E-2</v>
      </c>
      <c r="BF2">
        <v>7.8962827461939847E-2</v>
      </c>
      <c r="BG2" t="s">
        <v>459</v>
      </c>
      <c r="BH2">
        <v>0.49517436315571001</v>
      </c>
      <c r="BI2" s="79" t="s">
        <v>1264</v>
      </c>
      <c r="BJ2" s="79">
        <f t="shared" ref="BJ2:BJ10" si="0">1200+273</f>
        <v>1473</v>
      </c>
      <c r="BK2" s="79">
        <v>48</v>
      </c>
      <c r="BM2" s="79" t="s">
        <v>464</v>
      </c>
      <c r="BN2" s="79" t="s">
        <v>464</v>
      </c>
      <c r="BO2" s="79">
        <v>0</v>
      </c>
      <c r="BQ2" s="79">
        <v>2.85</v>
      </c>
      <c r="BR2" s="79">
        <v>14.3</v>
      </c>
      <c r="BS2" s="79" t="s">
        <v>464</v>
      </c>
      <c r="BT2" s="79" t="s">
        <v>464</v>
      </c>
      <c r="BU2" s="79" t="s">
        <v>1266</v>
      </c>
      <c r="BV2" s="79">
        <v>450</v>
      </c>
      <c r="BZ2" s="81">
        <v>130</v>
      </c>
      <c r="CA2">
        <f>LN(BZ2)</f>
        <v>4.8675344504555822</v>
      </c>
    </row>
    <row r="3" spans="1:79" x14ac:dyDescent="0.3">
      <c r="A3" s="2" t="s">
        <v>1</v>
      </c>
      <c r="B3" s="13" t="s">
        <v>686</v>
      </c>
      <c r="C3" s="13"/>
      <c r="D3" s="2">
        <v>3.2</v>
      </c>
      <c r="E3" s="2" t="s">
        <v>454</v>
      </c>
      <c r="F3" s="9" t="s">
        <v>524</v>
      </c>
      <c r="G3" t="s">
        <v>607</v>
      </c>
      <c r="I3" s="2"/>
      <c r="J3" s="25">
        <v>1</v>
      </c>
      <c r="K3">
        <v>1</v>
      </c>
      <c r="L3">
        <v>0</v>
      </c>
      <c r="M3" s="2">
        <v>7.806</v>
      </c>
      <c r="N3" s="2">
        <v>7.6680000000000001</v>
      </c>
      <c r="O3" s="2">
        <v>21.54</v>
      </c>
      <c r="P3" s="1" t="s">
        <v>513</v>
      </c>
      <c r="Q3" s="1"/>
      <c r="R3" s="25">
        <v>3.9327019999999999</v>
      </c>
      <c r="S3" s="25">
        <v>3.9458000000000002</v>
      </c>
      <c r="T3" s="25">
        <v>11.356398779999999</v>
      </c>
      <c r="U3">
        <v>3.9060000000000001</v>
      </c>
      <c r="V3">
        <v>21.603000000000002</v>
      </c>
      <c r="W3">
        <v>3.8879000000000001</v>
      </c>
      <c r="X3">
        <v>0</v>
      </c>
      <c r="AA3" s="2">
        <v>2</v>
      </c>
      <c r="AB3">
        <v>14</v>
      </c>
      <c r="AC3" s="55">
        <f t="shared" ref="AC3:AC91" si="1">M3*N3*O3</f>
        <v>1289.30702832</v>
      </c>
      <c r="AD3" s="57">
        <v>173.54502164551991</v>
      </c>
      <c r="AE3" s="55">
        <v>328.06612625219998</v>
      </c>
      <c r="AF3" s="55">
        <v>0</v>
      </c>
      <c r="AG3" s="52"/>
      <c r="AH3" s="51">
        <v>8.0670709348241429E-2</v>
      </c>
      <c r="AI3" s="52">
        <v>4.2674323496713393E-2</v>
      </c>
      <c r="AJ3" s="52"/>
      <c r="AK3" s="28">
        <v>1.7272727272727271</v>
      </c>
      <c r="AL3" s="28">
        <v>2.545454545454545</v>
      </c>
      <c r="AM3" s="28">
        <v>0.81818181818181823</v>
      </c>
      <c r="AN3" s="28">
        <v>0</v>
      </c>
      <c r="AO3" s="28">
        <v>0.3392857142857143</v>
      </c>
      <c r="AP3" s="28">
        <v>0.5</v>
      </c>
      <c r="AQ3" s="28">
        <v>0.1607142857142857</v>
      </c>
      <c r="AR3" s="28">
        <v>0</v>
      </c>
      <c r="AS3" s="25">
        <v>0.82</v>
      </c>
      <c r="AT3" s="25">
        <v>3.44</v>
      </c>
      <c r="AU3" s="25">
        <v>2.62</v>
      </c>
      <c r="AV3" s="25">
        <v>2.6545454545454539</v>
      </c>
      <c r="AW3">
        <v>2.6545454545454539</v>
      </c>
      <c r="AX3">
        <v>5.9946911436363637</v>
      </c>
      <c r="AY3" s="75">
        <v>0.48450364842179561</v>
      </c>
      <c r="AZ3" s="75"/>
      <c r="BA3" s="75"/>
      <c r="BC3">
        <v>4.0335354674120701E-2</v>
      </c>
      <c r="BD3">
        <v>2.13371617483567E-2</v>
      </c>
      <c r="BF3">
        <v>6.1672516422477411E-2</v>
      </c>
      <c r="BG3">
        <v>3.0836258211238698E-2</v>
      </c>
      <c r="BH3">
        <v>0.48450364842179561</v>
      </c>
      <c r="BI3" s="79" t="s">
        <v>1264</v>
      </c>
      <c r="BJ3" s="79">
        <f t="shared" si="0"/>
        <v>1473</v>
      </c>
      <c r="BK3" s="79">
        <v>48</v>
      </c>
      <c r="BM3" s="79" t="s">
        <v>464</v>
      </c>
      <c r="BN3" s="79" t="s">
        <v>464</v>
      </c>
      <c r="BO3" s="79">
        <v>0</v>
      </c>
      <c r="BQ3" s="79">
        <v>2.85</v>
      </c>
      <c r="BR3" s="79">
        <v>14.3</v>
      </c>
      <c r="BS3" s="79" t="s">
        <v>464</v>
      </c>
      <c r="BT3" s="79" t="s">
        <v>464</v>
      </c>
      <c r="BU3" s="79" t="s">
        <v>1266</v>
      </c>
      <c r="BV3" s="79">
        <v>450</v>
      </c>
      <c r="BZ3" s="81">
        <v>28</v>
      </c>
      <c r="CA3">
        <f t="shared" ref="CA3:CA66" si="2">LN(BZ3)</f>
        <v>3.3322045101752038</v>
      </c>
    </row>
    <row r="4" spans="1:79" x14ac:dyDescent="0.3">
      <c r="A4" s="2" t="s">
        <v>2</v>
      </c>
      <c r="B4" s="13" t="s">
        <v>687</v>
      </c>
      <c r="C4" s="13"/>
      <c r="D4" s="2">
        <v>3.35</v>
      </c>
      <c r="E4" s="2" t="s">
        <v>454</v>
      </c>
      <c r="F4" s="9" t="s">
        <v>525</v>
      </c>
      <c r="G4">
        <v>-1</v>
      </c>
      <c r="I4" s="2"/>
      <c r="J4" s="25">
        <v>2</v>
      </c>
      <c r="K4">
        <v>0</v>
      </c>
      <c r="L4">
        <v>0</v>
      </c>
      <c r="M4" s="2">
        <v>3.8849999999999998</v>
      </c>
      <c r="N4" s="2">
        <v>3.8849999999999998</v>
      </c>
      <c r="O4" s="2">
        <v>10.989000000000001</v>
      </c>
      <c r="P4" s="1" t="s">
        <v>439</v>
      </c>
      <c r="Q4" s="1"/>
      <c r="R4" s="25">
        <v>11.92921406</v>
      </c>
      <c r="S4" s="25">
        <v>11.92921406</v>
      </c>
      <c r="T4" s="25">
        <v>11.92921406</v>
      </c>
      <c r="U4">
        <v>0</v>
      </c>
      <c r="X4">
        <v>0</v>
      </c>
      <c r="AA4" s="2">
        <v>2</v>
      </c>
      <c r="AB4">
        <v>14</v>
      </c>
      <c r="AC4" s="55">
        <f t="shared" si="1"/>
        <v>165.859449525</v>
      </c>
      <c r="AD4" s="57">
        <v>349.00875366799971</v>
      </c>
      <c r="AE4" s="55">
        <v>0</v>
      </c>
      <c r="AF4" s="55">
        <v>0</v>
      </c>
      <c r="AG4" s="52"/>
      <c r="AH4" s="51">
        <v>8.0227214090553903E-2</v>
      </c>
      <c r="AI4" s="52"/>
      <c r="AJ4" s="52"/>
      <c r="AK4" s="28">
        <v>1.7272727272727271</v>
      </c>
      <c r="AL4" s="28">
        <v>2.545454545454545</v>
      </c>
      <c r="AM4" s="28">
        <v>0.81818181818181823</v>
      </c>
      <c r="AN4" s="28">
        <v>0</v>
      </c>
      <c r="AO4" s="28">
        <v>0.3392857142857143</v>
      </c>
      <c r="AP4" s="28">
        <v>0.5</v>
      </c>
      <c r="AQ4" s="28">
        <v>0.1607142857142857</v>
      </c>
      <c r="AR4" s="28">
        <v>0</v>
      </c>
      <c r="AS4" s="25">
        <v>0.82</v>
      </c>
      <c r="AT4" s="25">
        <v>3.44</v>
      </c>
      <c r="AU4" s="25">
        <v>2.62</v>
      </c>
      <c r="AV4" s="25">
        <v>2.6545454545454539</v>
      </c>
      <c r="AW4">
        <v>2.6545454545454552</v>
      </c>
      <c r="AX4">
        <v>5.9865512095454543</v>
      </c>
      <c r="AY4" s="75">
        <v>0.50734392504100967</v>
      </c>
      <c r="AZ4" s="75"/>
      <c r="BA4" s="75"/>
      <c r="BC4">
        <v>4.0113607045276937E-2</v>
      </c>
      <c r="BF4">
        <v>8.0227214090553903E-2</v>
      </c>
      <c r="BG4">
        <v>4.0113607045276937E-2</v>
      </c>
      <c r="BH4">
        <v>0.50734392504100967</v>
      </c>
      <c r="BI4" s="79" t="s">
        <v>1264</v>
      </c>
      <c r="BJ4" s="79">
        <f t="shared" si="0"/>
        <v>1473</v>
      </c>
      <c r="BK4" s="79">
        <v>48</v>
      </c>
      <c r="BM4" s="79" t="s">
        <v>464</v>
      </c>
      <c r="BN4" s="79" t="s">
        <v>464</v>
      </c>
      <c r="BO4" s="79">
        <v>0</v>
      </c>
      <c r="BQ4" s="79">
        <v>2.85</v>
      </c>
      <c r="BR4" s="79">
        <v>14.3</v>
      </c>
      <c r="BS4" s="79" t="s">
        <v>464</v>
      </c>
      <c r="BT4" s="79" t="s">
        <v>464</v>
      </c>
      <c r="BU4" s="79" t="s">
        <v>1266</v>
      </c>
      <c r="BV4" s="79">
        <v>450</v>
      </c>
      <c r="BZ4" s="81">
        <v>60</v>
      </c>
      <c r="CA4">
        <f t="shared" si="2"/>
        <v>4.0943445622221004</v>
      </c>
    </row>
    <row r="5" spans="1:79" x14ac:dyDescent="0.3">
      <c r="A5" s="2" t="s">
        <v>3</v>
      </c>
      <c r="B5" s="13" t="s">
        <v>688</v>
      </c>
      <c r="C5" s="13"/>
      <c r="D5" s="2">
        <v>3.3</v>
      </c>
      <c r="E5" s="2" t="s">
        <v>454</v>
      </c>
      <c r="F5" s="9" t="s">
        <v>526</v>
      </c>
      <c r="G5" t="s">
        <v>608</v>
      </c>
      <c r="I5" s="2"/>
      <c r="J5" s="25">
        <v>1</v>
      </c>
      <c r="K5">
        <v>1</v>
      </c>
      <c r="L5">
        <v>0</v>
      </c>
      <c r="M5" s="2">
        <v>3.9049999999999998</v>
      </c>
      <c r="N5" s="2">
        <v>3.9049999999999998</v>
      </c>
      <c r="O5" s="2">
        <v>11.185</v>
      </c>
      <c r="P5" s="1" t="s">
        <v>439</v>
      </c>
      <c r="Q5" s="1"/>
      <c r="R5" s="25">
        <v>3.952105</v>
      </c>
      <c r="S5" s="25">
        <v>3.952105</v>
      </c>
      <c r="T5" s="25">
        <v>11.503833</v>
      </c>
      <c r="U5">
        <v>3.9079999999999999</v>
      </c>
      <c r="V5">
        <v>3.9079999999999999</v>
      </c>
      <c r="W5">
        <v>11.16</v>
      </c>
      <c r="X5">
        <v>0</v>
      </c>
      <c r="AA5" s="2">
        <v>2</v>
      </c>
      <c r="AB5">
        <v>14</v>
      </c>
      <c r="AC5" s="55">
        <f t="shared" si="1"/>
        <v>170.56034462499997</v>
      </c>
      <c r="AD5" s="57">
        <v>179.6799083471451</v>
      </c>
      <c r="AE5" s="55">
        <v>170.44069823999999</v>
      </c>
      <c r="AF5" s="55">
        <v>0</v>
      </c>
      <c r="AG5" s="52"/>
      <c r="AH5" s="51">
        <v>7.7916335380980528E-2</v>
      </c>
      <c r="AI5" s="52">
        <v>8.2140006140355049E-2</v>
      </c>
      <c r="AJ5" s="52"/>
      <c r="AK5" s="28">
        <v>1.7272727272727271</v>
      </c>
      <c r="AL5" s="28">
        <v>2.545454545454545</v>
      </c>
      <c r="AM5" s="28">
        <v>0.81818181818181823</v>
      </c>
      <c r="AN5" s="28">
        <v>0</v>
      </c>
      <c r="AO5" s="28">
        <v>0.3392857142857143</v>
      </c>
      <c r="AP5" s="28">
        <v>0.5</v>
      </c>
      <c r="AQ5" s="28">
        <v>0.1607142857142857</v>
      </c>
      <c r="AR5" s="28">
        <v>0</v>
      </c>
      <c r="AS5" s="25">
        <v>0.79</v>
      </c>
      <c r="AT5" s="25">
        <v>3.44</v>
      </c>
      <c r="AU5" s="25">
        <v>2.65</v>
      </c>
      <c r="AV5" s="25">
        <v>2.6518181818181819</v>
      </c>
      <c r="AW5">
        <v>2.6518181818181819</v>
      </c>
      <c r="AX5">
        <v>5.9730281035195452</v>
      </c>
      <c r="AY5" s="75">
        <v>0.5243291310951993</v>
      </c>
      <c r="AZ5" s="75">
        <v>0.55275184384813547</v>
      </c>
      <c r="BA5" s="75"/>
      <c r="BC5">
        <v>3.8958167690490257E-2</v>
      </c>
      <c r="BD5">
        <v>4.1070003070177517E-2</v>
      </c>
      <c r="BF5">
        <v>8.0028170760667788E-2</v>
      </c>
      <c r="BG5">
        <v>4.0014085380333887E-2</v>
      </c>
      <c r="BH5">
        <v>0.53854048747166738</v>
      </c>
      <c r="BI5" s="79" t="s">
        <v>1264</v>
      </c>
      <c r="BJ5" s="79">
        <f t="shared" si="0"/>
        <v>1473</v>
      </c>
      <c r="BK5" s="79">
        <v>48</v>
      </c>
      <c r="BM5" s="79" t="s">
        <v>464</v>
      </c>
      <c r="BN5" s="79" t="s">
        <v>464</v>
      </c>
      <c r="BO5" s="79">
        <v>0</v>
      </c>
      <c r="BQ5" s="79">
        <v>2.85</v>
      </c>
      <c r="BR5" s="79">
        <v>14.3</v>
      </c>
      <c r="BS5" s="79" t="s">
        <v>464</v>
      </c>
      <c r="BT5" s="79" t="s">
        <v>464</v>
      </c>
      <c r="BU5" s="79" t="s">
        <v>1266</v>
      </c>
      <c r="BV5" s="79">
        <v>450</v>
      </c>
      <c r="BZ5" s="81">
        <v>12</v>
      </c>
      <c r="CA5">
        <f t="shared" si="2"/>
        <v>2.4849066497880004</v>
      </c>
    </row>
    <row r="6" spans="1:79" x14ac:dyDescent="0.3">
      <c r="A6" s="2" t="s">
        <v>4</v>
      </c>
      <c r="B6" s="73" t="s">
        <v>689</v>
      </c>
      <c r="C6" s="13"/>
      <c r="D6" s="2">
        <v>3.35</v>
      </c>
      <c r="E6" s="2" t="s">
        <v>454</v>
      </c>
      <c r="F6" s="9" t="s">
        <v>527</v>
      </c>
      <c r="G6" t="s">
        <v>609</v>
      </c>
      <c r="I6" s="7"/>
      <c r="J6" s="25">
        <v>4</v>
      </c>
      <c r="K6">
        <v>4</v>
      </c>
      <c r="L6">
        <v>0</v>
      </c>
      <c r="M6" s="2">
        <v>7.7270000000000003</v>
      </c>
      <c r="N6" s="2">
        <v>7.7270000000000003</v>
      </c>
      <c r="O6" s="2">
        <v>29.466000000000001</v>
      </c>
      <c r="P6" s="2" t="s">
        <v>452</v>
      </c>
      <c r="Q6" s="2"/>
      <c r="R6" s="25">
        <v>7.8084429999999996</v>
      </c>
      <c r="S6" s="25">
        <v>7.8548809999999998</v>
      </c>
      <c r="T6" s="25">
        <v>15.19056011</v>
      </c>
      <c r="U6">
        <v>3.8801999999999999</v>
      </c>
      <c r="V6">
        <v>29.507999999999999</v>
      </c>
      <c r="W6">
        <v>7.7140000000000004</v>
      </c>
      <c r="X6">
        <v>0</v>
      </c>
      <c r="AA6" s="2">
        <v>3</v>
      </c>
      <c r="AB6">
        <v>20</v>
      </c>
      <c r="AC6" s="55">
        <f t="shared" si="1"/>
        <v>1759.3125835140002</v>
      </c>
      <c r="AD6" s="57">
        <v>924.74694800021894</v>
      </c>
      <c r="AE6" s="55">
        <v>883.22940750240002</v>
      </c>
      <c r="AF6" s="55">
        <v>0</v>
      </c>
      <c r="AG6" s="52"/>
      <c r="AH6" s="51">
        <v>8.6510153045653584E-2</v>
      </c>
      <c r="AI6" s="52">
        <v>9.0576694254581439E-2</v>
      </c>
      <c r="AJ6" s="52"/>
      <c r="AK6" s="28">
        <v>1.75</v>
      </c>
      <c r="AL6" s="28">
        <v>2.5</v>
      </c>
      <c r="AM6" s="28">
        <v>0.75</v>
      </c>
      <c r="AN6" s="28">
        <v>0</v>
      </c>
      <c r="AO6" s="28">
        <v>0.35</v>
      </c>
      <c r="AP6" s="28">
        <v>0.5</v>
      </c>
      <c r="AQ6" s="28">
        <v>0.15</v>
      </c>
      <c r="AR6" s="28">
        <v>0</v>
      </c>
      <c r="AS6" s="25">
        <v>0.82</v>
      </c>
      <c r="AT6" s="25">
        <v>3.44</v>
      </c>
      <c r="AU6" s="25">
        <v>2.62</v>
      </c>
      <c r="AV6" s="25">
        <v>2.6262500000000002</v>
      </c>
      <c r="AW6">
        <v>2.6262500000000002</v>
      </c>
      <c r="AX6">
        <v>5.96680968125</v>
      </c>
      <c r="AY6" s="75">
        <v>0.50555206026575039</v>
      </c>
      <c r="AZ6" s="75">
        <v>0</v>
      </c>
      <c r="BA6" s="75"/>
      <c r="BC6">
        <v>4.3255076522826792E-2</v>
      </c>
      <c r="BD6">
        <v>4.5288347127290719E-2</v>
      </c>
      <c r="BF6">
        <v>8.8543423650117511E-2</v>
      </c>
      <c r="BG6">
        <v>4.4271711825058763E-2</v>
      </c>
      <c r="BH6">
        <v>0.2527760301328752</v>
      </c>
      <c r="BI6" s="79" t="s">
        <v>1264</v>
      </c>
      <c r="BJ6" s="79">
        <f t="shared" si="0"/>
        <v>1473</v>
      </c>
      <c r="BK6" s="79">
        <v>48</v>
      </c>
      <c r="BM6" s="79" t="s">
        <v>464</v>
      </c>
      <c r="BN6" s="79" t="s">
        <v>464</v>
      </c>
      <c r="BO6" s="79">
        <v>0</v>
      </c>
      <c r="BQ6" s="79">
        <v>2.85</v>
      </c>
      <c r="BR6" s="79">
        <v>14.3</v>
      </c>
      <c r="BS6" s="79" t="s">
        <v>464</v>
      </c>
      <c r="BT6" s="79" t="s">
        <v>464</v>
      </c>
      <c r="BU6" s="79" t="s">
        <v>1266</v>
      </c>
      <c r="BV6" s="79">
        <v>450</v>
      </c>
      <c r="BZ6" s="81">
        <v>14</v>
      </c>
      <c r="CA6">
        <f t="shared" si="2"/>
        <v>2.6390573296152584</v>
      </c>
    </row>
    <row r="7" spans="1:79" x14ac:dyDescent="0.3">
      <c r="A7" s="2" t="s">
        <v>5</v>
      </c>
      <c r="B7" s="13" t="s">
        <v>690</v>
      </c>
      <c r="C7" s="13"/>
      <c r="D7" s="2">
        <v>3.5</v>
      </c>
      <c r="E7" s="2" t="s">
        <v>454</v>
      </c>
      <c r="F7" s="9" t="s">
        <v>528</v>
      </c>
      <c r="G7" t="s">
        <v>610</v>
      </c>
      <c r="I7" s="7"/>
      <c r="J7" s="25">
        <v>1</v>
      </c>
      <c r="K7">
        <v>1</v>
      </c>
      <c r="L7">
        <v>0</v>
      </c>
      <c r="M7" s="2">
        <v>7.7249999999999996</v>
      </c>
      <c r="N7" s="2">
        <v>7.7249999999999996</v>
      </c>
      <c r="O7" s="2">
        <v>14.909000000000001</v>
      </c>
      <c r="P7" s="2" t="s">
        <v>451</v>
      </c>
      <c r="Q7" s="2"/>
      <c r="R7" s="25">
        <v>3.9661010000000001</v>
      </c>
      <c r="S7" s="25">
        <v>3.9661010000000001</v>
      </c>
      <c r="T7" s="25">
        <v>15.283337</v>
      </c>
      <c r="U7">
        <v>3.8586499999999999</v>
      </c>
      <c r="V7">
        <v>3.8586499999999999</v>
      </c>
      <c r="W7">
        <v>14.9108</v>
      </c>
      <c r="X7">
        <v>0</v>
      </c>
      <c r="AA7" s="2">
        <v>3</v>
      </c>
      <c r="AB7">
        <v>20</v>
      </c>
      <c r="AC7" s="55">
        <f t="shared" si="1"/>
        <v>889.70389312500004</v>
      </c>
      <c r="AD7" s="57">
        <v>240.40623599981481</v>
      </c>
      <c r="AE7" s="55">
        <v>222.00958249733301</v>
      </c>
      <c r="AF7" s="55">
        <v>0</v>
      </c>
      <c r="AG7" s="52"/>
      <c r="AH7" s="51">
        <v>8.3192517518619641E-2</v>
      </c>
      <c r="AI7" s="52">
        <v>9.0086201573034624E-2</v>
      </c>
      <c r="AJ7" s="52"/>
      <c r="AK7" s="28">
        <v>1.75</v>
      </c>
      <c r="AL7" s="28">
        <v>2.5</v>
      </c>
      <c r="AM7" s="28">
        <v>0.75</v>
      </c>
      <c r="AN7" s="28">
        <v>0</v>
      </c>
      <c r="AO7" s="28">
        <v>0.35</v>
      </c>
      <c r="AP7" s="28">
        <v>0.5</v>
      </c>
      <c r="AQ7" s="28">
        <v>0.15</v>
      </c>
      <c r="AR7" s="28">
        <v>0</v>
      </c>
      <c r="AS7" s="25">
        <v>0.82</v>
      </c>
      <c r="AT7" s="25">
        <v>3.44</v>
      </c>
      <c r="AU7" s="25">
        <v>2.62</v>
      </c>
      <c r="AV7" s="25">
        <v>2.6262500000000002</v>
      </c>
      <c r="AW7">
        <v>2.6262500000000002</v>
      </c>
      <c r="AX7">
        <v>5.9612134765624996</v>
      </c>
      <c r="AY7" s="75">
        <v>0.50467688585120674</v>
      </c>
      <c r="AZ7" s="75">
        <v>0.54649654829675798</v>
      </c>
      <c r="BA7" s="75"/>
      <c r="BC7">
        <v>4.159625875930982E-2</v>
      </c>
      <c r="BD7">
        <v>4.5043100786517312E-2</v>
      </c>
      <c r="BF7">
        <v>8.6639359545827133E-2</v>
      </c>
      <c r="BG7">
        <v>4.3319679772913573E-2</v>
      </c>
      <c r="BH7">
        <v>0.5255867170739823</v>
      </c>
      <c r="BI7" s="79" t="s">
        <v>1264</v>
      </c>
      <c r="BJ7" s="79">
        <f t="shared" si="0"/>
        <v>1473</v>
      </c>
      <c r="BK7" s="79">
        <v>48</v>
      </c>
      <c r="BM7" s="79" t="s">
        <v>464</v>
      </c>
      <c r="BN7" s="79" t="s">
        <v>464</v>
      </c>
      <c r="BO7" s="79">
        <v>0</v>
      </c>
      <c r="BQ7" s="79">
        <v>2.85</v>
      </c>
      <c r="BR7" s="79">
        <v>14.3</v>
      </c>
      <c r="BS7" s="79" t="s">
        <v>464</v>
      </c>
      <c r="BT7" s="79" t="s">
        <v>464</v>
      </c>
      <c r="BU7" s="79" t="s">
        <v>1266</v>
      </c>
      <c r="BV7" s="79">
        <v>450</v>
      </c>
      <c r="BZ7" s="81">
        <v>3</v>
      </c>
      <c r="CA7">
        <f t="shared" si="2"/>
        <v>1.0986122886681098</v>
      </c>
    </row>
    <row r="8" spans="1:79" x14ac:dyDescent="0.3">
      <c r="A8" s="2" t="s">
        <v>6</v>
      </c>
      <c r="B8" s="13" t="s">
        <v>691</v>
      </c>
      <c r="C8" s="13"/>
      <c r="D8" s="2">
        <v>3.5</v>
      </c>
      <c r="E8" s="2" t="s">
        <v>454</v>
      </c>
      <c r="F8" s="9" t="s">
        <v>529</v>
      </c>
      <c r="G8" t="s">
        <v>611</v>
      </c>
      <c r="I8" s="7"/>
      <c r="J8" s="25">
        <v>8</v>
      </c>
      <c r="K8">
        <v>8</v>
      </c>
      <c r="L8">
        <v>0</v>
      </c>
      <c r="M8" s="2">
        <v>7.7270000000000003</v>
      </c>
      <c r="N8" s="2">
        <v>7.7270000000000003</v>
      </c>
      <c r="O8" s="2">
        <v>30.175999999999998</v>
      </c>
      <c r="P8" s="2" t="s">
        <v>452</v>
      </c>
      <c r="Q8" s="2"/>
      <c r="R8" s="25">
        <v>7.8252249999999997</v>
      </c>
      <c r="S8" s="25">
        <v>7.8345229999999999</v>
      </c>
      <c r="T8" s="25">
        <v>31.031406</v>
      </c>
      <c r="U8">
        <v>30.184999999999999</v>
      </c>
      <c r="V8">
        <v>7.74</v>
      </c>
      <c r="W8">
        <v>7.7460000000000004</v>
      </c>
      <c r="X8">
        <v>0</v>
      </c>
      <c r="AA8" s="2">
        <v>3</v>
      </c>
      <c r="AB8">
        <v>20</v>
      </c>
      <c r="AC8" s="55">
        <f t="shared" si="1"/>
        <v>1801.704219104</v>
      </c>
      <c r="AD8" s="57">
        <v>1902.4394671889761</v>
      </c>
      <c r="AE8" s="55">
        <v>1809.7126974</v>
      </c>
      <c r="AF8" s="55">
        <v>0</v>
      </c>
      <c r="AG8" s="52"/>
      <c r="AH8" s="51">
        <v>8.4102544527429435E-2</v>
      </c>
      <c r="AI8" s="52">
        <v>8.8411823727529093E-2</v>
      </c>
      <c r="AJ8" s="52"/>
      <c r="AK8" s="28">
        <v>1.75</v>
      </c>
      <c r="AL8" s="28">
        <v>2.5</v>
      </c>
      <c r="AM8" s="28">
        <v>0.75</v>
      </c>
      <c r="AN8" s="28">
        <v>0</v>
      </c>
      <c r="AO8" s="28">
        <v>0.35</v>
      </c>
      <c r="AP8" s="28">
        <v>0.5</v>
      </c>
      <c r="AQ8" s="28">
        <v>0.15</v>
      </c>
      <c r="AR8" s="28">
        <v>0</v>
      </c>
      <c r="AS8" s="25">
        <v>0.79</v>
      </c>
      <c r="AT8" s="25">
        <v>3.44</v>
      </c>
      <c r="AU8" s="25">
        <v>2.65</v>
      </c>
      <c r="AV8" s="25">
        <v>2.6243750000000001</v>
      </c>
      <c r="AW8">
        <v>2.6243750000000001</v>
      </c>
      <c r="AX8">
        <v>5.9519163411696878</v>
      </c>
      <c r="AY8" s="75">
        <v>0.53407279423354193</v>
      </c>
      <c r="AZ8" s="75">
        <v>0.5614378257728565</v>
      </c>
      <c r="BA8" s="75"/>
      <c r="BC8">
        <v>4.2051272263714717E-2</v>
      </c>
      <c r="BD8">
        <v>4.4205911863764553E-2</v>
      </c>
      <c r="BF8">
        <v>8.6257184127479264E-2</v>
      </c>
      <c r="BG8">
        <v>4.3128592063739632E-2</v>
      </c>
      <c r="BH8">
        <v>0.54775531000319921</v>
      </c>
      <c r="BI8" s="79" t="s">
        <v>1264</v>
      </c>
      <c r="BJ8" s="79">
        <f t="shared" si="0"/>
        <v>1473</v>
      </c>
      <c r="BK8" s="79">
        <v>48</v>
      </c>
      <c r="BM8" s="79" t="s">
        <v>464</v>
      </c>
      <c r="BN8" s="79" t="s">
        <v>464</v>
      </c>
      <c r="BO8" s="79">
        <v>0</v>
      </c>
      <c r="BQ8" s="79">
        <v>2.85</v>
      </c>
      <c r="BR8" s="79">
        <v>14.3</v>
      </c>
      <c r="BS8" s="79" t="s">
        <v>464</v>
      </c>
      <c r="BT8" s="79" t="s">
        <v>464</v>
      </c>
      <c r="BU8" s="79" t="s">
        <v>1266</v>
      </c>
      <c r="BV8" s="79">
        <v>450</v>
      </c>
      <c r="BZ8" s="81">
        <v>2</v>
      </c>
      <c r="CA8">
        <f t="shared" si="2"/>
        <v>0.69314718055994529</v>
      </c>
    </row>
    <row r="9" spans="1:79" x14ac:dyDescent="0.3">
      <c r="A9" s="2" t="s">
        <v>7</v>
      </c>
      <c r="B9" s="13" t="s">
        <v>692</v>
      </c>
      <c r="C9" s="13"/>
      <c r="D9" s="2">
        <v>3.16</v>
      </c>
      <c r="E9" s="2" t="s">
        <v>454</v>
      </c>
      <c r="F9" s="9">
        <v>-1</v>
      </c>
      <c r="G9">
        <v>-1</v>
      </c>
      <c r="I9" s="2">
        <v>4</v>
      </c>
      <c r="J9" s="25">
        <v>0</v>
      </c>
      <c r="K9">
        <v>0</v>
      </c>
      <c r="L9">
        <v>0</v>
      </c>
      <c r="M9" s="2">
        <v>7.8310000000000004</v>
      </c>
      <c r="N9" s="2">
        <v>7.8010000000000002</v>
      </c>
      <c r="O9" s="2">
        <v>15.05</v>
      </c>
      <c r="P9" s="2" t="s">
        <v>1141</v>
      </c>
      <c r="Q9" s="2">
        <v>15.05</v>
      </c>
      <c r="R9" s="25">
        <v>0</v>
      </c>
      <c r="S9" s="25"/>
      <c r="T9" s="25"/>
      <c r="U9">
        <v>0</v>
      </c>
      <c r="X9">
        <v>0</v>
      </c>
      <c r="AA9" s="2">
        <v>3</v>
      </c>
      <c r="AB9">
        <v>20</v>
      </c>
      <c r="AC9" s="55">
        <f t="shared" si="1"/>
        <v>919.39894655000012</v>
      </c>
      <c r="AD9" s="57">
        <f>M9*N9*O9*SIN(RADIANS(97.44))</f>
        <v>911.65853089860946</v>
      </c>
      <c r="AE9" s="55">
        <v>0</v>
      </c>
      <c r="AF9" s="55">
        <v>0</v>
      </c>
      <c r="AG9" s="52">
        <f>I9*AB9/AC9</f>
        <v>8.7013369223660861E-2</v>
      </c>
      <c r="AH9" s="51"/>
      <c r="AI9" s="52"/>
      <c r="AJ9" s="52"/>
      <c r="AK9" s="28">
        <v>1.75</v>
      </c>
      <c r="AL9" s="28">
        <v>2.5</v>
      </c>
      <c r="AM9" s="28">
        <v>0.75</v>
      </c>
      <c r="AN9" s="28">
        <v>0</v>
      </c>
      <c r="AO9" s="28">
        <v>0.35</v>
      </c>
      <c r="AP9" s="28">
        <v>0.5</v>
      </c>
      <c r="AQ9" s="28">
        <v>0.15</v>
      </c>
      <c r="AR9" s="28">
        <v>0</v>
      </c>
      <c r="AS9" s="25">
        <v>0.82</v>
      </c>
      <c r="AT9" s="25">
        <v>3.44</v>
      </c>
      <c r="AU9" s="25">
        <v>2.62</v>
      </c>
      <c r="AV9" s="25">
        <v>2.62</v>
      </c>
      <c r="AW9">
        <v>2.62</v>
      </c>
      <c r="AX9">
        <v>5.9423863675000002</v>
      </c>
      <c r="AY9" s="75"/>
      <c r="AZ9" s="75"/>
      <c r="BA9" s="75"/>
      <c r="BB9">
        <v>4.350668461183043E-2</v>
      </c>
      <c r="BC9">
        <v>0</v>
      </c>
      <c r="BF9">
        <v>8.7013369223660861E-2</v>
      </c>
      <c r="BG9">
        <v>2.1753342305915219E-2</v>
      </c>
      <c r="BH9">
        <v>0</v>
      </c>
      <c r="BI9" s="79" t="s">
        <v>1264</v>
      </c>
      <c r="BJ9" s="79">
        <f t="shared" si="0"/>
        <v>1473</v>
      </c>
      <c r="BK9" s="79">
        <v>48</v>
      </c>
      <c r="BM9" s="79" t="s">
        <v>464</v>
      </c>
      <c r="BN9" s="79" t="s">
        <v>464</v>
      </c>
      <c r="BO9" s="79">
        <v>0</v>
      </c>
      <c r="BQ9" s="79">
        <v>2.85</v>
      </c>
      <c r="BR9" s="79">
        <v>14.3</v>
      </c>
      <c r="BS9" s="79" t="s">
        <v>464</v>
      </c>
      <c r="BT9" s="79" t="s">
        <v>464</v>
      </c>
      <c r="BU9" s="79" t="s">
        <v>1266</v>
      </c>
      <c r="BV9" s="79">
        <v>450</v>
      </c>
      <c r="BZ9" s="81">
        <v>10</v>
      </c>
      <c r="CA9">
        <f t="shared" si="2"/>
        <v>2.3025850929940459</v>
      </c>
    </row>
    <row r="10" spans="1:79" x14ac:dyDescent="0.3">
      <c r="A10" s="2" t="s">
        <v>455</v>
      </c>
      <c r="B10" s="13" t="s">
        <v>693</v>
      </c>
      <c r="C10" s="13"/>
      <c r="D10" s="2">
        <v>3.21</v>
      </c>
      <c r="E10" s="2" t="s">
        <v>454</v>
      </c>
      <c r="F10" s="9">
        <v>-1</v>
      </c>
      <c r="G10">
        <v>-1</v>
      </c>
      <c r="I10" s="2">
        <v>8</v>
      </c>
      <c r="J10" s="25">
        <v>0</v>
      </c>
      <c r="K10">
        <v>0</v>
      </c>
      <c r="L10">
        <v>0</v>
      </c>
      <c r="M10" s="2">
        <v>7.7489999999999997</v>
      </c>
      <c r="N10" s="2">
        <v>7.7359999999999998</v>
      </c>
      <c r="O10" s="2">
        <v>37.369999999999997</v>
      </c>
      <c r="P10" s="2" t="s">
        <v>1142</v>
      </c>
      <c r="Q10" s="2">
        <f>O10/2</f>
        <v>18.684999999999999</v>
      </c>
      <c r="R10" s="25">
        <v>0</v>
      </c>
      <c r="S10" s="25"/>
      <c r="T10" s="25"/>
      <c r="U10">
        <v>0</v>
      </c>
      <c r="X10">
        <v>0</v>
      </c>
      <c r="AA10" s="2">
        <v>4</v>
      </c>
      <c r="AB10">
        <v>26</v>
      </c>
      <c r="AC10" s="55">
        <f t="shared" si="1"/>
        <v>2240.1918856799994</v>
      </c>
      <c r="AD10" s="57">
        <v>2240</v>
      </c>
      <c r="AE10" s="55">
        <v>0</v>
      </c>
      <c r="AF10" s="55">
        <v>0</v>
      </c>
      <c r="AG10" s="52">
        <f>I10*AB10/AC10</f>
        <v>9.2849189093845236E-2</v>
      </c>
      <c r="AH10" s="51"/>
      <c r="AI10" s="52"/>
      <c r="AJ10" s="52"/>
      <c r="AK10" s="28">
        <v>1.714285714285714</v>
      </c>
      <c r="AL10" s="28">
        <v>2.4761904761904758</v>
      </c>
      <c r="AM10" s="28">
        <v>0.76190476190476186</v>
      </c>
      <c r="AN10" s="28">
        <v>0</v>
      </c>
      <c r="AO10" s="28">
        <v>0.34615384615384609</v>
      </c>
      <c r="AP10" s="28">
        <v>0.5</v>
      </c>
      <c r="AQ10" s="28">
        <v>0.1538461538461538</v>
      </c>
      <c r="AR10" s="28">
        <v>0</v>
      </c>
      <c r="AS10" s="25">
        <v>0.82</v>
      </c>
      <c r="AT10" s="25">
        <v>3.44</v>
      </c>
      <c r="AU10" s="25">
        <v>2.62</v>
      </c>
      <c r="AV10" s="25">
        <v>2.612857142857143</v>
      </c>
      <c r="AW10">
        <v>2.612857142857143</v>
      </c>
      <c r="AX10">
        <v>5.9413964502380949</v>
      </c>
      <c r="AY10" s="75"/>
      <c r="AZ10" s="75"/>
      <c r="BA10" s="75"/>
      <c r="BB10">
        <v>4.6424594546922618E-2</v>
      </c>
      <c r="BC10">
        <v>0</v>
      </c>
      <c r="BF10">
        <v>9.2849189093845236E-2</v>
      </c>
      <c r="BG10">
        <v>2.3212297273461309E-2</v>
      </c>
      <c r="BH10">
        <v>0</v>
      </c>
      <c r="BI10" s="79" t="s">
        <v>1264</v>
      </c>
      <c r="BJ10" s="79">
        <f t="shared" si="0"/>
        <v>1473</v>
      </c>
      <c r="BK10" s="79">
        <v>48</v>
      </c>
      <c r="BM10" s="79" t="s">
        <v>464</v>
      </c>
      <c r="BN10" s="79" t="s">
        <v>464</v>
      </c>
      <c r="BO10" s="79">
        <v>0</v>
      </c>
      <c r="BQ10" s="79">
        <v>2.85</v>
      </c>
      <c r="BR10" s="79">
        <v>14.3</v>
      </c>
      <c r="BS10" s="79" t="s">
        <v>464</v>
      </c>
      <c r="BT10" s="79" t="s">
        <v>464</v>
      </c>
      <c r="BU10" s="79" t="s">
        <v>1266</v>
      </c>
      <c r="BV10" s="79">
        <v>450</v>
      </c>
      <c r="BZ10" s="81">
        <v>5</v>
      </c>
      <c r="CA10">
        <f t="shared" si="2"/>
        <v>1.6094379124341003</v>
      </c>
    </row>
    <row r="11" spans="1:79" x14ac:dyDescent="0.3">
      <c r="A11" s="2" t="s">
        <v>8</v>
      </c>
      <c r="B11" s="13" t="s">
        <v>694</v>
      </c>
      <c r="C11" s="13"/>
      <c r="D11" s="2">
        <v>3</v>
      </c>
      <c r="E11" s="2" t="s">
        <v>454</v>
      </c>
      <c r="F11" s="9" t="s">
        <v>530</v>
      </c>
      <c r="G11" t="s">
        <v>612</v>
      </c>
      <c r="I11" s="2"/>
      <c r="J11" s="25">
        <v>30</v>
      </c>
      <c r="K11">
        <v>4</v>
      </c>
      <c r="L11">
        <v>0</v>
      </c>
      <c r="M11" s="2"/>
      <c r="N11" s="2"/>
      <c r="O11" s="2"/>
      <c r="P11" s="2"/>
      <c r="Q11" s="2"/>
      <c r="R11" s="25">
        <v>10.59112378</v>
      </c>
      <c r="S11" s="25">
        <v>10.784736629999999</v>
      </c>
      <c r="T11" s="25">
        <v>10.486176179999999</v>
      </c>
      <c r="U11">
        <v>3.73</v>
      </c>
      <c r="V11">
        <v>3.73</v>
      </c>
      <c r="W11">
        <v>9.3699999999999992</v>
      </c>
      <c r="X11">
        <v>0</v>
      </c>
      <c r="AA11" s="1" t="s">
        <v>459</v>
      </c>
      <c r="AB11">
        <v>4</v>
      </c>
      <c r="AC11" s="55">
        <f t="shared" si="1"/>
        <v>0</v>
      </c>
      <c r="AD11" s="57">
        <v>1182.741260108548</v>
      </c>
      <c r="AE11" s="55">
        <v>130.36387300000001</v>
      </c>
      <c r="AF11" s="55">
        <v>0</v>
      </c>
      <c r="AG11" s="52"/>
      <c r="AH11" s="51">
        <v>0.1014592151701775</v>
      </c>
      <c r="AI11" s="52">
        <v>0.1227333894874388</v>
      </c>
      <c r="AJ11" s="52"/>
      <c r="AK11" s="28">
        <v>2</v>
      </c>
      <c r="AL11" s="28">
        <v>2.666666666666667</v>
      </c>
      <c r="AM11" s="28">
        <v>0.66666666666666663</v>
      </c>
      <c r="AN11" s="28">
        <v>0</v>
      </c>
      <c r="AO11" s="28">
        <v>0.375</v>
      </c>
      <c r="AP11" s="28">
        <v>0.5</v>
      </c>
      <c r="AQ11" s="28">
        <v>0.125</v>
      </c>
      <c r="AR11" s="28">
        <v>0</v>
      </c>
      <c r="AS11" s="25">
        <v>1.54</v>
      </c>
      <c r="AT11" s="25">
        <v>3.44</v>
      </c>
      <c r="AU11" s="25">
        <v>1.9</v>
      </c>
      <c r="AV11" s="25">
        <v>2.8066666666666671</v>
      </c>
      <c r="AW11">
        <v>2.8066666666666662</v>
      </c>
      <c r="AX11">
        <v>6.1769976</v>
      </c>
      <c r="AY11" s="75">
        <v>0.46900407026869628</v>
      </c>
      <c r="AZ11" s="75">
        <v>0.56734579634715776</v>
      </c>
      <c r="BA11" s="75"/>
      <c r="BC11">
        <v>5.072960758508873E-2</v>
      </c>
      <c r="BD11">
        <v>6.136669474371937E-2</v>
      </c>
      <c r="BF11">
        <v>0.1120963023288082</v>
      </c>
      <c r="BG11">
        <v>5.604815116440405E-2</v>
      </c>
      <c r="BH11">
        <v>0.51817493330792708</v>
      </c>
      <c r="BM11" s="79" t="s">
        <v>464</v>
      </c>
      <c r="BN11" s="79" t="s">
        <v>464</v>
      </c>
      <c r="BO11" s="79">
        <v>0</v>
      </c>
      <c r="BQ11" s="79">
        <v>2.85</v>
      </c>
      <c r="BR11" s="79">
        <v>14.3</v>
      </c>
      <c r="BS11" s="79" t="s">
        <v>464</v>
      </c>
      <c r="BT11" s="79" t="s">
        <v>464</v>
      </c>
      <c r="BU11" s="79" t="s">
        <v>1266</v>
      </c>
      <c r="BV11" s="79">
        <v>450</v>
      </c>
      <c r="BZ11" s="81">
        <v>0</v>
      </c>
      <c r="CA11" t="e">
        <f t="shared" si="2"/>
        <v>#NUM!</v>
      </c>
    </row>
    <row r="12" spans="1:79" x14ac:dyDescent="0.3">
      <c r="A12" s="2" t="s">
        <v>0</v>
      </c>
      <c r="B12" s="13" t="s">
        <v>685</v>
      </c>
      <c r="C12" s="13"/>
      <c r="D12" s="2">
        <v>3.5</v>
      </c>
      <c r="E12" s="2" t="s">
        <v>454</v>
      </c>
      <c r="F12" s="9" t="s">
        <v>523</v>
      </c>
      <c r="G12" t="s">
        <v>606</v>
      </c>
      <c r="I12" s="65">
        <v>4</v>
      </c>
      <c r="J12" s="25">
        <v>4</v>
      </c>
      <c r="K12">
        <v>4</v>
      </c>
      <c r="L12">
        <v>0</v>
      </c>
      <c r="M12" s="2"/>
      <c r="N12" s="2"/>
      <c r="O12" s="2"/>
      <c r="P12" s="2"/>
      <c r="Q12" s="2"/>
      <c r="R12" s="25">
        <v>6.6040679999999998</v>
      </c>
      <c r="S12" s="25">
        <v>7.9389519999999996</v>
      </c>
      <c r="T12" s="25">
        <v>33.703336</v>
      </c>
      <c r="U12">
        <v>7.83</v>
      </c>
      <c r="V12">
        <v>33.209989999999998</v>
      </c>
      <c r="W12">
        <v>6.46</v>
      </c>
      <c r="X12">
        <v>0</v>
      </c>
      <c r="AA12" s="2"/>
      <c r="AB12">
        <v>34</v>
      </c>
      <c r="AC12" s="55">
        <f>M12*N12*O12</f>
        <v>0</v>
      </c>
      <c r="AD12" s="57">
        <v>1767.0449718798691</v>
      </c>
      <c r="AE12" s="55">
        <v>1679.8210721820001</v>
      </c>
      <c r="AF12" s="55">
        <v>0</v>
      </c>
      <c r="AG12" s="52"/>
      <c r="AH12" s="51">
        <v>7.6964651247849417E-2</v>
      </c>
      <c r="AI12" s="52">
        <v>8.0961003676030277E-2</v>
      </c>
      <c r="AJ12" s="52"/>
      <c r="AK12" s="28">
        <v>1.62962962962963</v>
      </c>
      <c r="AL12" s="28">
        <v>2.518518518518519</v>
      </c>
      <c r="AM12" s="28">
        <v>0.88888888888888884</v>
      </c>
      <c r="AN12" s="28">
        <v>0</v>
      </c>
      <c r="AO12" s="28">
        <v>0.32352941176470579</v>
      </c>
      <c r="AP12" s="28">
        <v>0.5</v>
      </c>
      <c r="AQ12" s="28">
        <v>0.1764705882352941</v>
      </c>
      <c r="AR12" s="28">
        <v>0</v>
      </c>
      <c r="AS12" s="25">
        <v>0.82</v>
      </c>
      <c r="AT12" s="25">
        <v>3.44</v>
      </c>
      <c r="AU12" s="25">
        <v>2.62</v>
      </c>
      <c r="AV12" s="25">
        <v>2.642962962962963</v>
      </c>
      <c r="AW12">
        <v>2.642962962962963</v>
      </c>
      <c r="AX12">
        <v>5.9587362692592576</v>
      </c>
      <c r="AY12" s="75">
        <v>0.48264383878002159</v>
      </c>
      <c r="AZ12" s="75">
        <v>0.50770488753139842</v>
      </c>
      <c r="BA12" s="75"/>
      <c r="BB12" t="s">
        <v>459</v>
      </c>
      <c r="BC12">
        <v>3.8482325623924708E-2</v>
      </c>
      <c r="BD12">
        <v>4.0480501838015132E-2</v>
      </c>
      <c r="BF12">
        <v>7.8962827461939847E-2</v>
      </c>
      <c r="BG12" t="s">
        <v>459</v>
      </c>
      <c r="BH12">
        <v>0.49517436315571001</v>
      </c>
      <c r="BI12" s="79" t="s">
        <v>1264</v>
      </c>
      <c r="BJ12" s="79">
        <f t="shared" ref="BJ12:BJ20" si="3">1200+273</f>
        <v>1473</v>
      </c>
      <c r="BK12" s="79">
        <v>48</v>
      </c>
      <c r="BM12" s="79" t="s">
        <v>1268</v>
      </c>
      <c r="BN12" s="79" t="s">
        <v>863</v>
      </c>
      <c r="BO12" s="79">
        <v>0.1</v>
      </c>
      <c r="BQ12" s="79">
        <v>2.85</v>
      </c>
      <c r="BR12" s="79">
        <v>14.3</v>
      </c>
      <c r="BS12" s="79" t="s">
        <v>464</v>
      </c>
      <c r="BT12" s="79" t="s">
        <v>464</v>
      </c>
      <c r="BU12" s="79" t="s">
        <v>1266</v>
      </c>
      <c r="BV12" s="79">
        <v>450</v>
      </c>
      <c r="BZ12" s="81">
        <v>270</v>
      </c>
      <c r="CA12">
        <f t="shared" si="2"/>
        <v>5.598421958998375</v>
      </c>
    </row>
    <row r="13" spans="1:79" x14ac:dyDescent="0.3">
      <c r="A13" s="2" t="s">
        <v>1</v>
      </c>
      <c r="B13" s="13" t="s">
        <v>686</v>
      </c>
      <c r="C13" s="13"/>
      <c r="D13" s="2">
        <v>3.2</v>
      </c>
      <c r="E13" s="2" t="s">
        <v>454</v>
      </c>
      <c r="F13" s="9" t="s">
        <v>524</v>
      </c>
      <c r="G13" t="s">
        <v>607</v>
      </c>
      <c r="I13" s="2"/>
      <c r="J13" s="25">
        <v>1</v>
      </c>
      <c r="K13">
        <v>1</v>
      </c>
      <c r="L13">
        <v>0</v>
      </c>
      <c r="M13" s="2">
        <v>7.806</v>
      </c>
      <c r="N13" s="2">
        <v>7.6680000000000001</v>
      </c>
      <c r="O13" s="2">
        <v>21.54</v>
      </c>
      <c r="P13" s="1" t="s">
        <v>513</v>
      </c>
      <c r="Q13" s="1"/>
      <c r="R13" s="25">
        <v>3.9327019999999999</v>
      </c>
      <c r="S13" s="25">
        <v>3.9458000000000002</v>
      </c>
      <c r="T13" s="25">
        <v>11.356398779999999</v>
      </c>
      <c r="U13">
        <v>3.9060000000000001</v>
      </c>
      <c r="V13">
        <v>21.603000000000002</v>
      </c>
      <c r="W13">
        <v>3.8879000000000001</v>
      </c>
      <c r="X13">
        <v>0</v>
      </c>
      <c r="AA13" s="2">
        <v>2</v>
      </c>
      <c r="AB13">
        <v>14</v>
      </c>
      <c r="AC13" s="55">
        <f t="shared" ref="AC13:AC21" si="4">M13*N13*O13</f>
        <v>1289.30702832</v>
      </c>
      <c r="AD13" s="57">
        <v>173.54502164551991</v>
      </c>
      <c r="AE13" s="55">
        <v>328.06612625219998</v>
      </c>
      <c r="AF13" s="55">
        <v>0</v>
      </c>
      <c r="AG13" s="52"/>
      <c r="AH13" s="51">
        <v>8.0670709348241429E-2</v>
      </c>
      <c r="AI13" s="52">
        <v>4.2674323496713393E-2</v>
      </c>
      <c r="AJ13" s="52"/>
      <c r="AK13" s="28">
        <v>1.7272727272727271</v>
      </c>
      <c r="AL13" s="28">
        <v>2.545454545454545</v>
      </c>
      <c r="AM13" s="28">
        <v>0.81818181818181823</v>
      </c>
      <c r="AN13" s="28">
        <v>0</v>
      </c>
      <c r="AO13" s="28">
        <v>0.3392857142857143</v>
      </c>
      <c r="AP13" s="28">
        <v>0.5</v>
      </c>
      <c r="AQ13" s="28">
        <v>0.1607142857142857</v>
      </c>
      <c r="AR13" s="28">
        <v>0</v>
      </c>
      <c r="AS13" s="25">
        <v>0.82</v>
      </c>
      <c r="AT13" s="25">
        <v>3.44</v>
      </c>
      <c r="AU13" s="25">
        <v>2.62</v>
      </c>
      <c r="AV13" s="25">
        <v>2.6545454545454539</v>
      </c>
      <c r="AW13">
        <v>2.6545454545454539</v>
      </c>
      <c r="AX13">
        <v>5.9946911436363637</v>
      </c>
      <c r="AY13" s="75">
        <v>0.48450364842179561</v>
      </c>
      <c r="AZ13" s="75"/>
      <c r="BA13" s="75"/>
      <c r="BC13">
        <v>4.0335354674120701E-2</v>
      </c>
      <c r="BD13">
        <v>2.13371617483567E-2</v>
      </c>
      <c r="BF13">
        <v>6.1672516422477411E-2</v>
      </c>
      <c r="BG13">
        <v>3.0836258211238698E-2</v>
      </c>
      <c r="BH13">
        <v>0.48450364842179561</v>
      </c>
      <c r="BI13" s="79" t="s">
        <v>1264</v>
      </c>
      <c r="BJ13" s="79">
        <f t="shared" si="3"/>
        <v>1473</v>
      </c>
      <c r="BK13" s="79">
        <v>48</v>
      </c>
      <c r="BM13" s="79" t="s">
        <v>1268</v>
      </c>
      <c r="BN13" s="79" t="s">
        <v>863</v>
      </c>
      <c r="BO13" s="79">
        <v>0.1</v>
      </c>
      <c r="BQ13" s="79">
        <v>2.85</v>
      </c>
      <c r="BR13" s="79">
        <v>14.3</v>
      </c>
      <c r="BS13" s="79" t="s">
        <v>464</v>
      </c>
      <c r="BT13" s="79" t="s">
        <v>464</v>
      </c>
      <c r="BU13" s="79" t="s">
        <v>1266</v>
      </c>
      <c r="BV13" s="79">
        <v>450</v>
      </c>
      <c r="BZ13" s="81">
        <v>54</v>
      </c>
      <c r="CA13">
        <f t="shared" si="2"/>
        <v>3.9889840465642745</v>
      </c>
    </row>
    <row r="14" spans="1:79" x14ac:dyDescent="0.3">
      <c r="A14" s="2" t="s">
        <v>2</v>
      </c>
      <c r="B14" s="13" t="s">
        <v>687</v>
      </c>
      <c r="C14" s="13"/>
      <c r="D14" s="2">
        <v>3.35</v>
      </c>
      <c r="E14" s="2" t="s">
        <v>454</v>
      </c>
      <c r="F14" s="9" t="s">
        <v>525</v>
      </c>
      <c r="G14">
        <v>-1</v>
      </c>
      <c r="I14" s="2"/>
      <c r="J14" s="25">
        <v>2</v>
      </c>
      <c r="K14">
        <v>0</v>
      </c>
      <c r="L14">
        <v>0</v>
      </c>
      <c r="M14" s="2">
        <v>3.8849999999999998</v>
      </c>
      <c r="N14" s="2">
        <v>3.8849999999999998</v>
      </c>
      <c r="O14" s="2">
        <v>10.989000000000001</v>
      </c>
      <c r="P14" s="1" t="s">
        <v>439</v>
      </c>
      <c r="Q14" s="1"/>
      <c r="R14" s="25">
        <v>11.92921406</v>
      </c>
      <c r="S14" s="25">
        <v>11.92921406</v>
      </c>
      <c r="T14" s="25">
        <v>11.92921406</v>
      </c>
      <c r="U14">
        <v>0</v>
      </c>
      <c r="X14">
        <v>0</v>
      </c>
      <c r="AA14" s="2">
        <v>2</v>
      </c>
      <c r="AB14">
        <v>14</v>
      </c>
      <c r="AC14" s="55">
        <f t="shared" si="4"/>
        <v>165.859449525</v>
      </c>
      <c r="AD14" s="57">
        <v>349.00875366799971</v>
      </c>
      <c r="AE14" s="55">
        <v>0</v>
      </c>
      <c r="AF14" s="55">
        <v>0</v>
      </c>
      <c r="AG14" s="52"/>
      <c r="AH14" s="51">
        <v>8.0227214090553903E-2</v>
      </c>
      <c r="AI14" s="52"/>
      <c r="AJ14" s="52"/>
      <c r="AK14" s="28">
        <v>1.7272727272727271</v>
      </c>
      <c r="AL14" s="28">
        <v>2.545454545454545</v>
      </c>
      <c r="AM14" s="28">
        <v>0.81818181818181823</v>
      </c>
      <c r="AN14" s="28">
        <v>0</v>
      </c>
      <c r="AO14" s="28">
        <v>0.3392857142857143</v>
      </c>
      <c r="AP14" s="28">
        <v>0.5</v>
      </c>
      <c r="AQ14" s="28">
        <v>0.1607142857142857</v>
      </c>
      <c r="AR14" s="28">
        <v>0</v>
      </c>
      <c r="AS14" s="25">
        <v>0.82</v>
      </c>
      <c r="AT14" s="25">
        <v>3.44</v>
      </c>
      <c r="AU14" s="25">
        <v>2.62</v>
      </c>
      <c r="AV14" s="25">
        <v>2.6545454545454539</v>
      </c>
      <c r="AW14">
        <v>2.6545454545454552</v>
      </c>
      <c r="AX14">
        <v>5.9865512095454543</v>
      </c>
      <c r="AY14" s="75">
        <v>0.50734392504100967</v>
      </c>
      <c r="AZ14" s="75"/>
      <c r="BA14" s="75"/>
      <c r="BC14">
        <v>4.0113607045276937E-2</v>
      </c>
      <c r="BF14">
        <v>8.0227214090553903E-2</v>
      </c>
      <c r="BG14">
        <v>4.0113607045276937E-2</v>
      </c>
      <c r="BH14">
        <v>0.50734392504100967</v>
      </c>
      <c r="BI14" s="79" t="s">
        <v>1264</v>
      </c>
      <c r="BJ14" s="79">
        <f t="shared" si="3"/>
        <v>1473</v>
      </c>
      <c r="BK14" s="79">
        <v>48</v>
      </c>
      <c r="BM14" s="79" t="s">
        <v>1268</v>
      </c>
      <c r="BN14" s="79" t="s">
        <v>863</v>
      </c>
      <c r="BO14" s="79">
        <v>0.1</v>
      </c>
      <c r="BQ14" s="79">
        <v>2.85</v>
      </c>
      <c r="BR14" s="79">
        <v>14.3</v>
      </c>
      <c r="BS14" s="79" t="s">
        <v>464</v>
      </c>
      <c r="BT14" s="79" t="s">
        <v>464</v>
      </c>
      <c r="BU14" s="79" t="s">
        <v>1266</v>
      </c>
      <c r="BV14" s="79">
        <v>450</v>
      </c>
      <c r="BZ14" s="81">
        <v>90</v>
      </c>
      <c r="CA14">
        <f t="shared" si="2"/>
        <v>4.499809670330265</v>
      </c>
    </row>
    <row r="15" spans="1:79" x14ac:dyDescent="0.3">
      <c r="A15" s="2" t="s">
        <v>3</v>
      </c>
      <c r="B15" s="13" t="s">
        <v>688</v>
      </c>
      <c r="C15" s="13"/>
      <c r="D15" s="2">
        <v>3.3</v>
      </c>
      <c r="E15" s="2" t="s">
        <v>454</v>
      </c>
      <c r="F15" s="9" t="s">
        <v>526</v>
      </c>
      <c r="G15" t="s">
        <v>608</v>
      </c>
      <c r="I15" s="2"/>
      <c r="J15" s="25">
        <v>1</v>
      </c>
      <c r="K15">
        <v>1</v>
      </c>
      <c r="L15">
        <v>0</v>
      </c>
      <c r="M15" s="2">
        <v>3.9049999999999998</v>
      </c>
      <c r="N15" s="2">
        <v>3.9049999999999998</v>
      </c>
      <c r="O15" s="2">
        <v>11.185</v>
      </c>
      <c r="P15" s="1" t="s">
        <v>439</v>
      </c>
      <c r="Q15" s="1"/>
      <c r="R15" s="25">
        <v>3.952105</v>
      </c>
      <c r="S15" s="25">
        <v>3.952105</v>
      </c>
      <c r="T15" s="25">
        <v>11.503833</v>
      </c>
      <c r="U15">
        <v>3.9079999999999999</v>
      </c>
      <c r="V15">
        <v>3.9079999999999999</v>
      </c>
      <c r="W15">
        <v>11.16</v>
      </c>
      <c r="X15">
        <v>0</v>
      </c>
      <c r="AA15" s="2">
        <v>2</v>
      </c>
      <c r="AB15">
        <v>14</v>
      </c>
      <c r="AC15" s="55">
        <f t="shared" si="4"/>
        <v>170.56034462499997</v>
      </c>
      <c r="AD15" s="57">
        <v>179.6799083471451</v>
      </c>
      <c r="AE15" s="55">
        <v>170.44069823999999</v>
      </c>
      <c r="AF15" s="55">
        <v>0</v>
      </c>
      <c r="AG15" s="52"/>
      <c r="AH15" s="51">
        <v>7.7916335380980528E-2</v>
      </c>
      <c r="AI15" s="52">
        <v>8.2140006140355049E-2</v>
      </c>
      <c r="AJ15" s="52"/>
      <c r="AK15" s="28">
        <v>1.7272727272727271</v>
      </c>
      <c r="AL15" s="28">
        <v>2.545454545454545</v>
      </c>
      <c r="AM15" s="28">
        <v>0.81818181818181823</v>
      </c>
      <c r="AN15" s="28">
        <v>0</v>
      </c>
      <c r="AO15" s="28">
        <v>0.3392857142857143</v>
      </c>
      <c r="AP15" s="28">
        <v>0.5</v>
      </c>
      <c r="AQ15" s="28">
        <v>0.1607142857142857</v>
      </c>
      <c r="AR15" s="28">
        <v>0</v>
      </c>
      <c r="AS15" s="25">
        <v>0.79</v>
      </c>
      <c r="AT15" s="25">
        <v>3.44</v>
      </c>
      <c r="AU15" s="25">
        <v>2.65</v>
      </c>
      <c r="AV15" s="25">
        <v>2.6518181818181819</v>
      </c>
      <c r="AW15">
        <v>2.6518181818181819</v>
      </c>
      <c r="AX15">
        <v>5.9730281035195452</v>
      </c>
      <c r="AY15" s="75">
        <v>0.5243291310951993</v>
      </c>
      <c r="AZ15" s="75">
        <v>0.55275184384813547</v>
      </c>
      <c r="BA15" s="75"/>
      <c r="BC15">
        <v>3.8958167690490257E-2</v>
      </c>
      <c r="BD15">
        <v>4.1070003070177517E-2</v>
      </c>
      <c r="BF15">
        <v>8.0028170760667788E-2</v>
      </c>
      <c r="BG15">
        <v>4.0014085380333887E-2</v>
      </c>
      <c r="BH15">
        <v>0.53854048747166738</v>
      </c>
      <c r="BI15" s="79" t="s">
        <v>1264</v>
      </c>
      <c r="BJ15" s="79">
        <f t="shared" si="3"/>
        <v>1473</v>
      </c>
      <c r="BK15" s="79">
        <v>48</v>
      </c>
      <c r="BM15" s="79" t="s">
        <v>1268</v>
      </c>
      <c r="BN15" s="79" t="s">
        <v>863</v>
      </c>
      <c r="BO15" s="79">
        <v>0.1</v>
      </c>
      <c r="BQ15" s="79">
        <v>2.85</v>
      </c>
      <c r="BR15" s="79">
        <v>14.3</v>
      </c>
      <c r="BS15" s="79" t="s">
        <v>464</v>
      </c>
      <c r="BT15" s="79" t="s">
        <v>464</v>
      </c>
      <c r="BU15" s="79" t="s">
        <v>1266</v>
      </c>
      <c r="BV15" s="79">
        <v>450</v>
      </c>
      <c r="BZ15" s="81">
        <v>28</v>
      </c>
      <c r="CA15">
        <f t="shared" si="2"/>
        <v>3.3322045101752038</v>
      </c>
    </row>
    <row r="16" spans="1:79" x14ac:dyDescent="0.3">
      <c r="A16" s="2" t="s">
        <v>4</v>
      </c>
      <c r="B16" s="73" t="s">
        <v>689</v>
      </c>
      <c r="C16" s="13"/>
      <c r="D16" s="2">
        <v>3.35</v>
      </c>
      <c r="E16" s="2" t="s">
        <v>454</v>
      </c>
      <c r="F16" s="9" t="s">
        <v>527</v>
      </c>
      <c r="G16" t="s">
        <v>609</v>
      </c>
      <c r="I16" s="7"/>
      <c r="J16" s="25">
        <v>4</v>
      </c>
      <c r="K16">
        <v>4</v>
      </c>
      <c r="L16">
        <v>0</v>
      </c>
      <c r="M16" s="2">
        <v>7.7270000000000003</v>
      </c>
      <c r="N16" s="2">
        <v>7.7270000000000003</v>
      </c>
      <c r="O16" s="2">
        <v>29.466000000000001</v>
      </c>
      <c r="P16" s="2" t="s">
        <v>452</v>
      </c>
      <c r="Q16" s="2"/>
      <c r="R16" s="25">
        <v>7.8084429999999996</v>
      </c>
      <c r="S16" s="25">
        <v>7.8548809999999998</v>
      </c>
      <c r="T16" s="25">
        <v>15.19056011</v>
      </c>
      <c r="U16">
        <v>3.8801999999999999</v>
      </c>
      <c r="V16">
        <v>29.507999999999999</v>
      </c>
      <c r="W16">
        <v>7.7140000000000004</v>
      </c>
      <c r="X16">
        <v>0</v>
      </c>
      <c r="AA16" s="2">
        <v>3</v>
      </c>
      <c r="AB16">
        <v>20</v>
      </c>
      <c r="AC16" s="55">
        <f t="shared" si="4"/>
        <v>1759.3125835140002</v>
      </c>
      <c r="AD16" s="57">
        <v>924.74694800021894</v>
      </c>
      <c r="AE16" s="55">
        <v>883.22940750240002</v>
      </c>
      <c r="AF16" s="55">
        <v>0</v>
      </c>
      <c r="AG16" s="52"/>
      <c r="AH16" s="51">
        <v>8.6510153045653584E-2</v>
      </c>
      <c r="AI16" s="52">
        <v>9.0576694254581439E-2</v>
      </c>
      <c r="AJ16" s="52"/>
      <c r="AK16" s="28">
        <v>1.75</v>
      </c>
      <c r="AL16" s="28">
        <v>2.5</v>
      </c>
      <c r="AM16" s="28">
        <v>0.75</v>
      </c>
      <c r="AN16" s="28">
        <v>0</v>
      </c>
      <c r="AO16" s="28">
        <v>0.35</v>
      </c>
      <c r="AP16" s="28">
        <v>0.5</v>
      </c>
      <c r="AQ16" s="28">
        <v>0.15</v>
      </c>
      <c r="AR16" s="28">
        <v>0</v>
      </c>
      <c r="AS16" s="25">
        <v>0.82</v>
      </c>
      <c r="AT16" s="25">
        <v>3.44</v>
      </c>
      <c r="AU16" s="25">
        <v>2.62</v>
      </c>
      <c r="AV16" s="25">
        <v>2.6262500000000002</v>
      </c>
      <c r="AW16">
        <v>2.6262500000000002</v>
      </c>
      <c r="AX16">
        <v>5.96680968125</v>
      </c>
      <c r="AY16" s="75">
        <v>0.50555206026575039</v>
      </c>
      <c r="AZ16" s="75">
        <v>0</v>
      </c>
      <c r="BA16" s="75"/>
      <c r="BC16">
        <v>4.3255076522826792E-2</v>
      </c>
      <c r="BD16">
        <v>4.5288347127290719E-2</v>
      </c>
      <c r="BF16">
        <v>8.8543423650117511E-2</v>
      </c>
      <c r="BG16">
        <v>4.4271711825058763E-2</v>
      </c>
      <c r="BH16">
        <v>0.2527760301328752</v>
      </c>
      <c r="BI16" s="79" t="s">
        <v>1264</v>
      </c>
      <c r="BJ16" s="79">
        <f t="shared" si="3"/>
        <v>1473</v>
      </c>
      <c r="BK16" s="79">
        <v>48</v>
      </c>
      <c r="BM16" s="79" t="s">
        <v>1268</v>
      </c>
      <c r="BN16" s="79" t="s">
        <v>863</v>
      </c>
      <c r="BO16" s="79">
        <v>0.1</v>
      </c>
      <c r="BQ16" s="79">
        <v>2.85</v>
      </c>
      <c r="BR16" s="79">
        <v>14.3</v>
      </c>
      <c r="BS16" s="79" t="s">
        <v>464</v>
      </c>
      <c r="BT16" s="79" t="s">
        <v>464</v>
      </c>
      <c r="BU16" s="79" t="s">
        <v>1266</v>
      </c>
      <c r="BV16" s="79">
        <v>450</v>
      </c>
      <c r="BZ16" s="81">
        <v>100</v>
      </c>
      <c r="CA16">
        <f t="shared" si="2"/>
        <v>4.6051701859880918</v>
      </c>
    </row>
    <row r="17" spans="1:79" x14ac:dyDescent="0.3">
      <c r="A17" s="2" t="s">
        <v>5</v>
      </c>
      <c r="B17" s="13" t="s">
        <v>690</v>
      </c>
      <c r="C17" s="13"/>
      <c r="D17" s="2">
        <v>3.5</v>
      </c>
      <c r="E17" s="2" t="s">
        <v>454</v>
      </c>
      <c r="F17" s="9" t="s">
        <v>528</v>
      </c>
      <c r="G17" t="s">
        <v>610</v>
      </c>
      <c r="I17" s="7"/>
      <c r="J17" s="25">
        <v>1</v>
      </c>
      <c r="K17">
        <v>1</v>
      </c>
      <c r="L17">
        <v>0</v>
      </c>
      <c r="M17" s="2">
        <v>7.7249999999999996</v>
      </c>
      <c r="N17" s="2">
        <v>7.7249999999999996</v>
      </c>
      <c r="O17" s="2">
        <v>14.909000000000001</v>
      </c>
      <c r="P17" s="2" t="s">
        <v>451</v>
      </c>
      <c r="Q17" s="2"/>
      <c r="R17" s="25">
        <v>3.9661010000000001</v>
      </c>
      <c r="S17" s="25">
        <v>3.9661010000000001</v>
      </c>
      <c r="T17" s="25">
        <v>15.283337</v>
      </c>
      <c r="U17">
        <v>3.8586499999999999</v>
      </c>
      <c r="V17">
        <v>3.8586499999999999</v>
      </c>
      <c r="W17">
        <v>14.9108</v>
      </c>
      <c r="X17">
        <v>0</v>
      </c>
      <c r="AA17" s="2">
        <v>3</v>
      </c>
      <c r="AB17">
        <v>20</v>
      </c>
      <c r="AC17" s="55">
        <f t="shared" si="4"/>
        <v>889.70389312500004</v>
      </c>
      <c r="AD17" s="57">
        <v>240.40623599981481</v>
      </c>
      <c r="AE17" s="55">
        <v>222.00958249733301</v>
      </c>
      <c r="AF17" s="55">
        <v>0</v>
      </c>
      <c r="AG17" s="52"/>
      <c r="AH17" s="51">
        <v>8.3192517518619641E-2</v>
      </c>
      <c r="AI17" s="52">
        <v>9.0086201573034624E-2</v>
      </c>
      <c r="AJ17" s="52"/>
      <c r="AK17" s="28">
        <v>1.75</v>
      </c>
      <c r="AL17" s="28">
        <v>2.5</v>
      </c>
      <c r="AM17" s="28">
        <v>0.75</v>
      </c>
      <c r="AN17" s="28">
        <v>0</v>
      </c>
      <c r="AO17" s="28">
        <v>0.35</v>
      </c>
      <c r="AP17" s="28">
        <v>0.5</v>
      </c>
      <c r="AQ17" s="28">
        <v>0.15</v>
      </c>
      <c r="AR17" s="28">
        <v>0</v>
      </c>
      <c r="AS17" s="25">
        <v>0.82</v>
      </c>
      <c r="AT17" s="25">
        <v>3.44</v>
      </c>
      <c r="AU17" s="25">
        <v>2.62</v>
      </c>
      <c r="AV17" s="25">
        <v>2.6262500000000002</v>
      </c>
      <c r="AW17">
        <v>2.6262500000000002</v>
      </c>
      <c r="AX17">
        <v>5.9612134765624996</v>
      </c>
      <c r="AY17" s="75">
        <v>0.50467688585120674</v>
      </c>
      <c r="AZ17" s="75">
        <v>0.54649654829675798</v>
      </c>
      <c r="BA17" s="75"/>
      <c r="BC17">
        <v>4.159625875930982E-2</v>
      </c>
      <c r="BD17">
        <v>4.5043100786517312E-2</v>
      </c>
      <c r="BF17">
        <v>8.6639359545827133E-2</v>
      </c>
      <c r="BG17">
        <v>4.3319679772913573E-2</v>
      </c>
      <c r="BH17">
        <v>0.5255867170739823</v>
      </c>
      <c r="BI17" s="79" t="s">
        <v>1264</v>
      </c>
      <c r="BJ17" s="79">
        <f t="shared" si="3"/>
        <v>1473</v>
      </c>
      <c r="BK17" s="79">
        <v>48</v>
      </c>
      <c r="BM17" s="79" t="s">
        <v>1268</v>
      </c>
      <c r="BN17" s="79" t="s">
        <v>863</v>
      </c>
      <c r="BO17" s="79">
        <v>0.1</v>
      </c>
      <c r="BQ17" s="79">
        <v>2.85</v>
      </c>
      <c r="BR17" s="79">
        <v>14.3</v>
      </c>
      <c r="BS17" s="79" t="s">
        <v>464</v>
      </c>
      <c r="BT17" s="79" t="s">
        <v>464</v>
      </c>
      <c r="BU17" s="79" t="s">
        <v>1266</v>
      </c>
      <c r="BV17" s="79">
        <v>450</v>
      </c>
      <c r="BZ17" s="81">
        <v>26</v>
      </c>
      <c r="CA17">
        <f t="shared" si="2"/>
        <v>3.2580965380214821</v>
      </c>
    </row>
    <row r="18" spans="1:79" x14ac:dyDescent="0.3">
      <c r="A18" s="2" t="s">
        <v>6</v>
      </c>
      <c r="B18" s="13" t="s">
        <v>691</v>
      </c>
      <c r="C18" s="13"/>
      <c r="D18" s="2">
        <v>3.5</v>
      </c>
      <c r="E18" s="2" t="s">
        <v>454</v>
      </c>
      <c r="F18" s="9" t="s">
        <v>529</v>
      </c>
      <c r="G18" t="s">
        <v>611</v>
      </c>
      <c r="I18" s="7"/>
      <c r="J18" s="25">
        <v>8</v>
      </c>
      <c r="K18">
        <v>8</v>
      </c>
      <c r="L18">
        <v>0</v>
      </c>
      <c r="M18" s="2">
        <v>7.7270000000000003</v>
      </c>
      <c r="N18" s="2">
        <v>7.7270000000000003</v>
      </c>
      <c r="O18" s="2">
        <v>30.175999999999998</v>
      </c>
      <c r="P18" s="2" t="s">
        <v>452</v>
      </c>
      <c r="Q18" s="2"/>
      <c r="R18" s="25">
        <v>7.8252249999999997</v>
      </c>
      <c r="S18" s="25">
        <v>7.8345229999999999</v>
      </c>
      <c r="T18" s="25">
        <v>31.031406</v>
      </c>
      <c r="U18">
        <v>30.184999999999999</v>
      </c>
      <c r="V18">
        <v>7.74</v>
      </c>
      <c r="W18">
        <v>7.7460000000000004</v>
      </c>
      <c r="X18">
        <v>0</v>
      </c>
      <c r="AA18" s="2">
        <v>3</v>
      </c>
      <c r="AB18">
        <v>20</v>
      </c>
      <c r="AC18" s="55">
        <f t="shared" si="4"/>
        <v>1801.704219104</v>
      </c>
      <c r="AD18" s="57">
        <v>1902.4394671889761</v>
      </c>
      <c r="AE18" s="55">
        <v>1809.7126974</v>
      </c>
      <c r="AF18" s="55">
        <v>0</v>
      </c>
      <c r="AG18" s="52"/>
      <c r="AH18" s="51">
        <v>8.4102544527429435E-2</v>
      </c>
      <c r="AI18" s="52">
        <v>8.8411823727529093E-2</v>
      </c>
      <c r="AJ18" s="52"/>
      <c r="AK18" s="28">
        <v>1.75</v>
      </c>
      <c r="AL18" s="28">
        <v>2.5</v>
      </c>
      <c r="AM18" s="28">
        <v>0.75</v>
      </c>
      <c r="AN18" s="28">
        <v>0</v>
      </c>
      <c r="AO18" s="28">
        <v>0.35</v>
      </c>
      <c r="AP18" s="28">
        <v>0.5</v>
      </c>
      <c r="AQ18" s="28">
        <v>0.15</v>
      </c>
      <c r="AR18" s="28">
        <v>0</v>
      </c>
      <c r="AS18" s="25">
        <v>0.79</v>
      </c>
      <c r="AT18" s="25">
        <v>3.44</v>
      </c>
      <c r="AU18" s="25">
        <v>2.65</v>
      </c>
      <c r="AV18" s="25">
        <v>2.6243750000000001</v>
      </c>
      <c r="AW18">
        <v>2.6243750000000001</v>
      </c>
      <c r="AX18">
        <v>5.9519163411696878</v>
      </c>
      <c r="AY18" s="75">
        <v>0.53407279423354193</v>
      </c>
      <c r="AZ18" s="75">
        <v>0.5614378257728565</v>
      </c>
      <c r="BA18" s="75"/>
      <c r="BC18">
        <v>4.2051272263714717E-2</v>
      </c>
      <c r="BD18">
        <v>4.4205911863764553E-2</v>
      </c>
      <c r="BF18">
        <v>8.6257184127479264E-2</v>
      </c>
      <c r="BG18">
        <v>4.3128592063739632E-2</v>
      </c>
      <c r="BH18">
        <v>0.54775531000319921</v>
      </c>
      <c r="BI18" s="79" t="s">
        <v>1264</v>
      </c>
      <c r="BJ18" s="79">
        <f t="shared" si="3"/>
        <v>1473</v>
      </c>
      <c r="BK18" s="79">
        <v>48</v>
      </c>
      <c r="BM18" s="79" t="s">
        <v>1268</v>
      </c>
      <c r="BN18" s="79" t="s">
        <v>863</v>
      </c>
      <c r="BO18" s="79">
        <v>0.1</v>
      </c>
      <c r="BQ18" s="79">
        <v>2.85</v>
      </c>
      <c r="BR18" s="79">
        <v>14.3</v>
      </c>
      <c r="BS18" s="79" t="s">
        <v>464</v>
      </c>
      <c r="BT18" s="79" t="s">
        <v>464</v>
      </c>
      <c r="BU18" s="79" t="s">
        <v>1266</v>
      </c>
      <c r="BV18" s="79">
        <v>450</v>
      </c>
      <c r="BZ18" s="81">
        <v>10</v>
      </c>
      <c r="CA18">
        <f t="shared" si="2"/>
        <v>2.3025850929940459</v>
      </c>
    </row>
    <row r="19" spans="1:79" x14ac:dyDescent="0.3">
      <c r="A19" s="2" t="s">
        <v>7</v>
      </c>
      <c r="B19" s="13" t="s">
        <v>692</v>
      </c>
      <c r="C19" s="13"/>
      <c r="D19" s="2">
        <v>3.16</v>
      </c>
      <c r="E19" s="2" t="s">
        <v>454</v>
      </c>
      <c r="F19" s="9">
        <v>-1</v>
      </c>
      <c r="G19">
        <v>-1</v>
      </c>
      <c r="I19" s="2">
        <v>4</v>
      </c>
      <c r="J19" s="25">
        <v>0</v>
      </c>
      <c r="K19">
        <v>0</v>
      </c>
      <c r="L19">
        <v>0</v>
      </c>
      <c r="M19" s="2">
        <v>7.8310000000000004</v>
      </c>
      <c r="N19" s="2">
        <v>7.8010000000000002</v>
      </c>
      <c r="O19" s="2">
        <v>15.05</v>
      </c>
      <c r="P19" s="2" t="s">
        <v>1141</v>
      </c>
      <c r="Q19" s="2">
        <v>15.05</v>
      </c>
      <c r="R19" s="25">
        <v>0</v>
      </c>
      <c r="S19" s="25"/>
      <c r="T19" s="25"/>
      <c r="U19">
        <v>0</v>
      </c>
      <c r="X19">
        <v>0</v>
      </c>
      <c r="AA19" s="2">
        <v>3</v>
      </c>
      <c r="AB19">
        <v>20</v>
      </c>
      <c r="AC19" s="55">
        <f t="shared" si="4"/>
        <v>919.39894655000012</v>
      </c>
      <c r="AD19" s="57">
        <f>M19*N19*O19*SIN(RADIANS(97.44))</f>
        <v>911.65853089860946</v>
      </c>
      <c r="AE19" s="55">
        <v>0</v>
      </c>
      <c r="AF19" s="55">
        <v>0</v>
      </c>
      <c r="AG19" s="52">
        <f>I19*AB19/AC19</f>
        <v>8.7013369223660861E-2</v>
      </c>
      <c r="AH19" s="51"/>
      <c r="AI19" s="52"/>
      <c r="AJ19" s="52"/>
      <c r="AK19" s="28">
        <v>1.75</v>
      </c>
      <c r="AL19" s="28">
        <v>2.5</v>
      </c>
      <c r="AM19" s="28">
        <v>0.75</v>
      </c>
      <c r="AN19" s="28">
        <v>0</v>
      </c>
      <c r="AO19" s="28">
        <v>0.35</v>
      </c>
      <c r="AP19" s="28">
        <v>0.5</v>
      </c>
      <c r="AQ19" s="28">
        <v>0.15</v>
      </c>
      <c r="AR19" s="28">
        <v>0</v>
      </c>
      <c r="AS19" s="25">
        <v>0.82</v>
      </c>
      <c r="AT19" s="25">
        <v>3.44</v>
      </c>
      <c r="AU19" s="25">
        <v>2.62</v>
      </c>
      <c r="AV19" s="25">
        <v>2.62</v>
      </c>
      <c r="AW19">
        <v>2.62</v>
      </c>
      <c r="AX19">
        <v>5.9423863675000002</v>
      </c>
      <c r="AY19" s="75"/>
      <c r="AZ19" s="75"/>
      <c r="BA19" s="75"/>
      <c r="BB19">
        <v>4.350668461183043E-2</v>
      </c>
      <c r="BC19">
        <v>0</v>
      </c>
      <c r="BF19">
        <v>8.7013369223660861E-2</v>
      </c>
      <c r="BG19">
        <v>2.1753342305915219E-2</v>
      </c>
      <c r="BH19">
        <v>0</v>
      </c>
      <c r="BI19" s="79" t="s">
        <v>1264</v>
      </c>
      <c r="BJ19" s="79">
        <f t="shared" si="3"/>
        <v>1473</v>
      </c>
      <c r="BK19" s="79">
        <v>48</v>
      </c>
      <c r="BM19" s="79" t="s">
        <v>1268</v>
      </c>
      <c r="BN19" s="79" t="s">
        <v>863</v>
      </c>
      <c r="BO19" s="79">
        <v>0.1</v>
      </c>
      <c r="BQ19" s="79">
        <v>2.85</v>
      </c>
      <c r="BR19" s="79">
        <v>14.3</v>
      </c>
      <c r="BS19" s="79" t="s">
        <v>464</v>
      </c>
      <c r="BT19" s="79" t="s">
        <v>464</v>
      </c>
      <c r="BU19" s="79" t="s">
        <v>1266</v>
      </c>
      <c r="BV19" s="79">
        <v>450</v>
      </c>
      <c r="BZ19" s="81">
        <v>110</v>
      </c>
      <c r="CA19">
        <f t="shared" si="2"/>
        <v>4.7004803657924166</v>
      </c>
    </row>
    <row r="20" spans="1:79" x14ac:dyDescent="0.3">
      <c r="A20" s="2" t="s">
        <v>455</v>
      </c>
      <c r="B20" s="13" t="s">
        <v>693</v>
      </c>
      <c r="C20" s="13"/>
      <c r="D20" s="2">
        <v>3.21</v>
      </c>
      <c r="E20" s="2" t="s">
        <v>454</v>
      </c>
      <c r="F20" s="9">
        <v>-1</v>
      </c>
      <c r="G20">
        <v>-1</v>
      </c>
      <c r="I20" s="2">
        <v>8</v>
      </c>
      <c r="J20" s="25">
        <v>0</v>
      </c>
      <c r="K20">
        <v>0</v>
      </c>
      <c r="L20">
        <v>0</v>
      </c>
      <c r="M20" s="2">
        <v>7.7489999999999997</v>
      </c>
      <c r="N20" s="2">
        <v>7.7359999999999998</v>
      </c>
      <c r="O20" s="2">
        <v>37.369999999999997</v>
      </c>
      <c r="P20" s="2" t="s">
        <v>1142</v>
      </c>
      <c r="Q20" s="2">
        <f>O20/2</f>
        <v>18.684999999999999</v>
      </c>
      <c r="R20" s="25">
        <v>0</v>
      </c>
      <c r="S20" s="25"/>
      <c r="T20" s="25"/>
      <c r="U20">
        <v>0</v>
      </c>
      <c r="X20">
        <v>0</v>
      </c>
      <c r="AA20" s="2">
        <v>4</v>
      </c>
      <c r="AB20">
        <v>26</v>
      </c>
      <c r="AC20" s="55">
        <f t="shared" si="4"/>
        <v>2240.1918856799994</v>
      </c>
      <c r="AD20" s="57">
        <v>2240</v>
      </c>
      <c r="AE20" s="55">
        <v>0</v>
      </c>
      <c r="AF20" s="55">
        <v>0</v>
      </c>
      <c r="AG20" s="52">
        <f>I20*AB20/AC20</f>
        <v>9.2849189093845236E-2</v>
      </c>
      <c r="AH20" s="51"/>
      <c r="AI20" s="52"/>
      <c r="AJ20" s="52"/>
      <c r="AK20" s="28">
        <v>1.714285714285714</v>
      </c>
      <c r="AL20" s="28">
        <v>2.4761904761904758</v>
      </c>
      <c r="AM20" s="28">
        <v>0.76190476190476186</v>
      </c>
      <c r="AN20" s="28">
        <v>0</v>
      </c>
      <c r="AO20" s="28">
        <v>0.34615384615384609</v>
      </c>
      <c r="AP20" s="28">
        <v>0.5</v>
      </c>
      <c r="AQ20" s="28">
        <v>0.1538461538461538</v>
      </c>
      <c r="AR20" s="28">
        <v>0</v>
      </c>
      <c r="AS20" s="25">
        <v>0.82</v>
      </c>
      <c r="AT20" s="25">
        <v>3.44</v>
      </c>
      <c r="AU20" s="25">
        <v>2.62</v>
      </c>
      <c r="AV20" s="25">
        <v>2.612857142857143</v>
      </c>
      <c r="AW20">
        <v>2.612857142857143</v>
      </c>
      <c r="AX20">
        <v>5.9413964502380949</v>
      </c>
      <c r="AY20" s="75"/>
      <c r="AZ20" s="75"/>
      <c r="BA20" s="75"/>
      <c r="BB20">
        <v>4.6424594546922618E-2</v>
      </c>
      <c r="BC20">
        <v>0</v>
      </c>
      <c r="BF20">
        <v>9.2849189093845236E-2</v>
      </c>
      <c r="BG20">
        <v>2.3212297273461309E-2</v>
      </c>
      <c r="BH20">
        <v>0</v>
      </c>
      <c r="BI20" s="79" t="s">
        <v>1264</v>
      </c>
      <c r="BJ20" s="79">
        <f t="shared" si="3"/>
        <v>1473</v>
      </c>
      <c r="BK20" s="79">
        <v>48</v>
      </c>
      <c r="BM20" s="79" t="s">
        <v>1268</v>
      </c>
      <c r="BN20" s="79" t="s">
        <v>863</v>
      </c>
      <c r="BO20" s="79">
        <v>0.1</v>
      </c>
      <c r="BQ20" s="79">
        <v>2.85</v>
      </c>
      <c r="BR20" s="79">
        <v>14.3</v>
      </c>
      <c r="BS20" s="79" t="s">
        <v>464</v>
      </c>
      <c r="BT20" s="79" t="s">
        <v>464</v>
      </c>
      <c r="BU20" s="79" t="s">
        <v>1266</v>
      </c>
      <c r="BV20" s="79">
        <v>450</v>
      </c>
      <c r="BZ20" s="81">
        <v>280</v>
      </c>
      <c r="CA20">
        <f t="shared" si="2"/>
        <v>5.6347896031692493</v>
      </c>
    </row>
    <row r="21" spans="1:79" x14ac:dyDescent="0.3">
      <c r="A21" s="2" t="s">
        <v>8</v>
      </c>
      <c r="B21" s="13" t="s">
        <v>694</v>
      </c>
      <c r="C21" s="13"/>
      <c r="D21" s="2">
        <v>3</v>
      </c>
      <c r="E21" s="2" t="s">
        <v>454</v>
      </c>
      <c r="F21" s="9" t="s">
        <v>530</v>
      </c>
      <c r="G21" t="s">
        <v>612</v>
      </c>
      <c r="I21" s="2"/>
      <c r="J21" s="25">
        <v>30</v>
      </c>
      <c r="K21">
        <v>4</v>
      </c>
      <c r="L21">
        <v>0</v>
      </c>
      <c r="M21" s="2"/>
      <c r="N21" s="2"/>
      <c r="O21" s="2"/>
      <c r="P21" s="2"/>
      <c r="Q21" s="2"/>
      <c r="R21" s="25">
        <v>10.59112378</v>
      </c>
      <c r="S21" s="25">
        <v>10.784736629999999</v>
      </c>
      <c r="T21" s="25">
        <v>10.486176179999999</v>
      </c>
      <c r="U21">
        <v>3.73</v>
      </c>
      <c r="V21">
        <v>3.73</v>
      </c>
      <c r="W21">
        <v>9.3699999999999992</v>
      </c>
      <c r="X21">
        <v>0</v>
      </c>
      <c r="AA21" s="1" t="s">
        <v>459</v>
      </c>
      <c r="AB21">
        <v>4</v>
      </c>
      <c r="AC21" s="55">
        <f t="shared" si="4"/>
        <v>0</v>
      </c>
      <c r="AD21" s="57">
        <v>1182.741260108548</v>
      </c>
      <c r="AE21" s="55">
        <v>130.36387300000001</v>
      </c>
      <c r="AF21" s="55">
        <v>0</v>
      </c>
      <c r="AG21" s="52"/>
      <c r="AH21" s="51">
        <v>0.1014592151701775</v>
      </c>
      <c r="AI21" s="52">
        <v>0.1227333894874388</v>
      </c>
      <c r="AJ21" s="52"/>
      <c r="AK21" s="28">
        <v>2</v>
      </c>
      <c r="AL21" s="28">
        <v>2.666666666666667</v>
      </c>
      <c r="AM21" s="28">
        <v>0.66666666666666663</v>
      </c>
      <c r="AN21" s="28">
        <v>0</v>
      </c>
      <c r="AO21" s="28">
        <v>0.375</v>
      </c>
      <c r="AP21" s="28">
        <v>0.5</v>
      </c>
      <c r="AQ21" s="28">
        <v>0.125</v>
      </c>
      <c r="AR21" s="28">
        <v>0</v>
      </c>
      <c r="AS21" s="25">
        <v>1.54</v>
      </c>
      <c r="AT21" s="25">
        <v>3.44</v>
      </c>
      <c r="AU21" s="25">
        <v>1.9</v>
      </c>
      <c r="AV21" s="25">
        <v>2.8066666666666671</v>
      </c>
      <c r="AW21">
        <v>2.8066666666666662</v>
      </c>
      <c r="AX21">
        <v>6.1769976</v>
      </c>
      <c r="AY21" s="75">
        <v>0.46900407026869628</v>
      </c>
      <c r="AZ21" s="75">
        <v>0.56734579634715776</v>
      </c>
      <c r="BA21" s="75"/>
      <c r="BC21">
        <v>5.072960758508873E-2</v>
      </c>
      <c r="BD21">
        <v>6.136669474371937E-2</v>
      </c>
      <c r="BF21">
        <v>0.1120963023288082</v>
      </c>
      <c r="BG21">
        <v>5.604815116440405E-2</v>
      </c>
      <c r="BH21">
        <v>0.51817493330792708</v>
      </c>
      <c r="BM21" s="79" t="s">
        <v>1268</v>
      </c>
      <c r="BN21" s="79" t="s">
        <v>863</v>
      </c>
      <c r="BO21" s="79">
        <v>0.1</v>
      </c>
      <c r="BQ21" s="79">
        <v>2.85</v>
      </c>
      <c r="BR21" s="79">
        <v>14.3</v>
      </c>
      <c r="BS21" s="79" t="s">
        <v>464</v>
      </c>
      <c r="BT21" s="79" t="s">
        <v>464</v>
      </c>
      <c r="BU21" s="79" t="s">
        <v>1266</v>
      </c>
      <c r="BV21" s="79">
        <v>450</v>
      </c>
      <c r="BZ21" s="81">
        <v>7400</v>
      </c>
      <c r="CA21">
        <f t="shared" si="2"/>
        <v>8.9092352791922611</v>
      </c>
    </row>
    <row r="22" spans="1:79" x14ac:dyDescent="0.3">
      <c r="A22" s="2" t="s">
        <v>304</v>
      </c>
      <c r="B22" s="13"/>
      <c r="C22" s="13"/>
      <c r="D22" s="2">
        <v>3.5</v>
      </c>
      <c r="E22" s="2" t="s">
        <v>454</v>
      </c>
      <c r="F22" s="9"/>
      <c r="I22" s="65">
        <v>4</v>
      </c>
      <c r="J22" s="25">
        <v>4</v>
      </c>
      <c r="K22">
        <v>4</v>
      </c>
      <c r="L22">
        <v>0</v>
      </c>
      <c r="M22" s="2"/>
      <c r="N22" s="2"/>
      <c r="O22" s="2"/>
      <c r="P22" s="2"/>
      <c r="Q22" s="2"/>
      <c r="R22" s="25">
        <v>6.6040679999999998</v>
      </c>
      <c r="S22" s="25">
        <v>7.9389519999999996</v>
      </c>
      <c r="T22" s="25">
        <v>33.703336</v>
      </c>
      <c r="U22">
        <v>7.83</v>
      </c>
      <c r="V22">
        <v>33.209989999999998</v>
      </c>
      <c r="W22">
        <v>6.46</v>
      </c>
      <c r="X22">
        <v>0</v>
      </c>
      <c r="AA22" s="2"/>
      <c r="AB22">
        <v>34</v>
      </c>
      <c r="AC22" s="55">
        <f>M22*N22*O22</f>
        <v>0</v>
      </c>
      <c r="AD22" s="57">
        <v>1767.0449718798691</v>
      </c>
      <c r="AE22" s="55">
        <v>1679.8210721820001</v>
      </c>
      <c r="AF22" s="55">
        <v>0</v>
      </c>
      <c r="AG22" s="52"/>
      <c r="AH22" s="51">
        <v>7.6964651247849417E-2</v>
      </c>
      <c r="AI22" s="52">
        <v>8.0961003676030277E-2</v>
      </c>
      <c r="AJ22" s="52"/>
      <c r="AK22" s="28">
        <v>1.62962962962963</v>
      </c>
      <c r="AL22" s="28">
        <v>2.518518518518519</v>
      </c>
      <c r="AM22" s="28">
        <v>0.88888888888888884</v>
      </c>
      <c r="AN22" s="28">
        <v>0</v>
      </c>
      <c r="AO22" s="28">
        <v>0.32352941176470579</v>
      </c>
      <c r="AP22" s="28">
        <v>0.5</v>
      </c>
      <c r="AQ22" s="28">
        <v>0.1764705882352941</v>
      </c>
      <c r="AR22" s="28">
        <v>0</v>
      </c>
      <c r="AS22" s="25">
        <v>0.82</v>
      </c>
      <c r="AT22" s="25">
        <v>3.44</v>
      </c>
      <c r="AU22" s="25">
        <v>2.62</v>
      </c>
      <c r="AV22" s="25">
        <v>2.642962962962963</v>
      </c>
      <c r="AW22">
        <v>2.642962962962963</v>
      </c>
      <c r="AX22">
        <v>5.9587362692592576</v>
      </c>
      <c r="AY22" s="75">
        <v>0.48264383878002159</v>
      </c>
      <c r="AZ22" s="75">
        <v>0.50770488753139842</v>
      </c>
      <c r="BA22" s="75"/>
      <c r="BB22" t="s">
        <v>459</v>
      </c>
      <c r="BC22">
        <v>3.8482325623924708E-2</v>
      </c>
      <c r="BD22">
        <v>4.0480501838015132E-2</v>
      </c>
      <c r="BF22">
        <v>7.8962827461939847E-2</v>
      </c>
      <c r="BG22" t="s">
        <v>459</v>
      </c>
      <c r="BH22">
        <v>0.49517436315571001</v>
      </c>
      <c r="BI22" s="79" t="s">
        <v>1264</v>
      </c>
      <c r="BJ22" s="79">
        <f t="shared" ref="BJ22:BJ47" si="5">1200+273</f>
        <v>1473</v>
      </c>
      <c r="BK22" s="79">
        <v>48</v>
      </c>
      <c r="BM22" s="79" t="s">
        <v>464</v>
      </c>
      <c r="BN22" s="79" t="s">
        <v>464</v>
      </c>
      <c r="BO22" s="79">
        <v>0</v>
      </c>
      <c r="BQ22" s="79">
        <v>2.85</v>
      </c>
      <c r="BR22" s="79">
        <v>14.3</v>
      </c>
      <c r="BS22" s="79" t="s">
        <v>464</v>
      </c>
      <c r="BT22" s="79" t="s">
        <v>464</v>
      </c>
      <c r="BU22" s="79" t="s">
        <v>1266</v>
      </c>
      <c r="BV22" s="79">
        <v>450</v>
      </c>
      <c r="BZ22" s="81">
        <v>750</v>
      </c>
      <c r="CA22">
        <f t="shared" si="2"/>
        <v>6.620073206530356</v>
      </c>
    </row>
    <row r="23" spans="1:79" x14ac:dyDescent="0.3">
      <c r="A23" s="2" t="s">
        <v>153</v>
      </c>
      <c r="B23" s="13"/>
      <c r="C23" s="13"/>
      <c r="D23" s="2">
        <v>3.2</v>
      </c>
      <c r="E23" s="2" t="s">
        <v>454</v>
      </c>
      <c r="F23" s="9"/>
      <c r="I23" s="2"/>
      <c r="J23" s="25">
        <v>1</v>
      </c>
      <c r="K23">
        <v>1</v>
      </c>
      <c r="L23">
        <v>0</v>
      </c>
      <c r="M23" s="2">
        <v>7.806</v>
      </c>
      <c r="N23" s="2">
        <v>7.6680000000000001</v>
      </c>
      <c r="O23" s="2">
        <v>21.54</v>
      </c>
      <c r="P23" s="1" t="s">
        <v>513</v>
      </c>
      <c r="Q23" s="1"/>
      <c r="R23" s="25">
        <v>3.9327019999999999</v>
      </c>
      <c r="S23" s="25">
        <v>3.9458000000000002</v>
      </c>
      <c r="T23" s="25">
        <v>11.356398779999999</v>
      </c>
      <c r="U23">
        <v>3.9060000000000001</v>
      </c>
      <c r="V23">
        <v>21.603000000000002</v>
      </c>
      <c r="W23">
        <v>3.8879000000000001</v>
      </c>
      <c r="X23">
        <v>0</v>
      </c>
      <c r="AA23" s="2">
        <v>2</v>
      </c>
      <c r="AB23">
        <v>14</v>
      </c>
      <c r="AC23" s="55">
        <f t="shared" ref="AC23:AC30" si="6">M23*N23*O23</f>
        <v>1289.30702832</v>
      </c>
      <c r="AD23" s="57">
        <v>173.54502164551991</v>
      </c>
      <c r="AE23" s="55">
        <v>328.06612625219998</v>
      </c>
      <c r="AF23" s="55">
        <v>0</v>
      </c>
      <c r="AG23" s="52"/>
      <c r="AH23" s="51">
        <v>8.0670709348241429E-2</v>
      </c>
      <c r="AI23" s="52">
        <v>4.2674323496713393E-2</v>
      </c>
      <c r="AJ23" s="52"/>
      <c r="AK23" s="28">
        <v>1.7272727272727271</v>
      </c>
      <c r="AL23" s="28">
        <v>2.545454545454545</v>
      </c>
      <c r="AM23" s="28">
        <v>0.81818181818181823</v>
      </c>
      <c r="AN23" s="28">
        <v>0</v>
      </c>
      <c r="AO23" s="28">
        <v>0.3392857142857143</v>
      </c>
      <c r="AP23" s="28">
        <v>0.5</v>
      </c>
      <c r="AQ23" s="28">
        <v>0.1607142857142857</v>
      </c>
      <c r="AR23" s="28">
        <v>0</v>
      </c>
      <c r="AS23" s="25">
        <v>0.82</v>
      </c>
      <c r="AT23" s="25">
        <v>3.44</v>
      </c>
      <c r="AU23" s="25">
        <v>2.62</v>
      </c>
      <c r="AV23" s="25">
        <v>2.6545454545454539</v>
      </c>
      <c r="AW23">
        <v>2.6545454545454539</v>
      </c>
      <c r="AX23">
        <v>5.9946911436363637</v>
      </c>
      <c r="AY23" s="75">
        <v>0.48450364842179561</v>
      </c>
      <c r="AZ23" s="75"/>
      <c r="BA23" s="75"/>
      <c r="BC23">
        <v>4.0335354674120701E-2</v>
      </c>
      <c r="BD23">
        <v>2.13371617483567E-2</v>
      </c>
      <c r="BF23">
        <v>6.1672516422477411E-2</v>
      </c>
      <c r="BG23">
        <v>3.0836258211238698E-2</v>
      </c>
      <c r="BH23">
        <v>0.48450364842179561</v>
      </c>
      <c r="BI23" s="79" t="s">
        <v>1264</v>
      </c>
      <c r="BJ23" s="79">
        <f t="shared" si="5"/>
        <v>1473</v>
      </c>
      <c r="BK23" s="79">
        <v>48</v>
      </c>
      <c r="BM23" s="79" t="s">
        <v>464</v>
      </c>
      <c r="BN23" s="79" t="s">
        <v>464</v>
      </c>
      <c r="BO23" s="79">
        <v>0</v>
      </c>
      <c r="BQ23" s="79">
        <v>2.85</v>
      </c>
      <c r="BR23" s="79">
        <v>14.3</v>
      </c>
      <c r="BS23" s="79" t="s">
        <v>464</v>
      </c>
      <c r="BT23" s="79" t="s">
        <v>464</v>
      </c>
      <c r="BU23" s="79" t="s">
        <v>1266</v>
      </c>
      <c r="BV23" s="79">
        <v>450</v>
      </c>
      <c r="BZ23" s="81">
        <v>760</v>
      </c>
      <c r="CA23">
        <f t="shared" si="2"/>
        <v>6.633318433280377</v>
      </c>
    </row>
    <row r="24" spans="1:79" x14ac:dyDescent="0.3">
      <c r="A24" s="2" t="s">
        <v>153</v>
      </c>
      <c r="B24" s="13"/>
      <c r="C24" s="13"/>
      <c r="D24" s="2">
        <v>3.35</v>
      </c>
      <c r="E24" s="2" t="s">
        <v>454</v>
      </c>
      <c r="F24" s="9"/>
      <c r="I24" s="2"/>
      <c r="J24" s="25">
        <v>2</v>
      </c>
      <c r="K24">
        <v>0</v>
      </c>
      <c r="L24">
        <v>0</v>
      </c>
      <c r="M24" s="2">
        <v>3.8849999999999998</v>
      </c>
      <c r="N24" s="2">
        <v>3.8849999999999998</v>
      </c>
      <c r="O24" s="2">
        <v>10.989000000000001</v>
      </c>
      <c r="P24" s="1" t="s">
        <v>439</v>
      </c>
      <c r="Q24" s="1"/>
      <c r="R24" s="25">
        <v>11.92921406</v>
      </c>
      <c r="S24" s="25">
        <v>11.92921406</v>
      </c>
      <c r="T24" s="25">
        <v>11.92921406</v>
      </c>
      <c r="U24">
        <v>0</v>
      </c>
      <c r="X24">
        <v>0</v>
      </c>
      <c r="AA24" s="2">
        <v>2</v>
      </c>
      <c r="AB24">
        <v>14</v>
      </c>
      <c r="AC24" s="55">
        <f t="shared" si="6"/>
        <v>165.859449525</v>
      </c>
      <c r="AD24" s="57">
        <v>349.00875366799971</v>
      </c>
      <c r="AE24" s="55">
        <v>0</v>
      </c>
      <c r="AF24" s="55">
        <v>0</v>
      </c>
      <c r="AG24" s="52"/>
      <c r="AH24" s="51">
        <v>8.0227214090553903E-2</v>
      </c>
      <c r="AI24" s="52"/>
      <c r="AJ24" s="52"/>
      <c r="AK24" s="28">
        <v>1.7272727272727271</v>
      </c>
      <c r="AL24" s="28">
        <v>2.545454545454545</v>
      </c>
      <c r="AM24" s="28">
        <v>0.81818181818181823</v>
      </c>
      <c r="AN24" s="28">
        <v>0</v>
      </c>
      <c r="AO24" s="28">
        <v>0.3392857142857143</v>
      </c>
      <c r="AP24" s="28">
        <v>0.5</v>
      </c>
      <c r="AQ24" s="28">
        <v>0.1607142857142857</v>
      </c>
      <c r="AR24" s="28">
        <v>0</v>
      </c>
      <c r="AS24" s="25">
        <v>0.82</v>
      </c>
      <c r="AT24" s="25">
        <v>3.44</v>
      </c>
      <c r="AU24" s="25">
        <v>2.62</v>
      </c>
      <c r="AV24" s="25">
        <v>2.6545454545454539</v>
      </c>
      <c r="AW24">
        <v>2.6545454545454552</v>
      </c>
      <c r="AX24">
        <v>5.9865512095454543</v>
      </c>
      <c r="AY24" s="75">
        <v>0.50734392504100967</v>
      </c>
      <c r="AZ24" s="75"/>
      <c r="BA24" s="75"/>
      <c r="BC24">
        <v>4.0113607045276937E-2</v>
      </c>
      <c r="BF24">
        <v>8.0227214090553903E-2</v>
      </c>
      <c r="BG24">
        <v>4.0113607045276937E-2</v>
      </c>
      <c r="BH24">
        <v>0.50734392504100967</v>
      </c>
      <c r="BI24" s="79" t="s">
        <v>1264</v>
      </c>
      <c r="BJ24" s="79">
        <f t="shared" si="5"/>
        <v>1473</v>
      </c>
      <c r="BK24" s="79">
        <v>48</v>
      </c>
      <c r="BM24" s="79" t="s">
        <v>464</v>
      </c>
      <c r="BN24" s="79" t="s">
        <v>464</v>
      </c>
      <c r="BO24" s="79">
        <v>0</v>
      </c>
      <c r="BQ24" s="79">
        <v>2.85</v>
      </c>
      <c r="BR24" s="79">
        <v>14.3</v>
      </c>
      <c r="BS24" s="79" t="s">
        <v>464</v>
      </c>
      <c r="BT24" s="79" t="s">
        <v>464</v>
      </c>
      <c r="BU24" s="79" t="s">
        <v>1266</v>
      </c>
      <c r="BV24" s="79">
        <v>450</v>
      </c>
      <c r="BZ24" s="81">
        <v>740</v>
      </c>
      <c r="CA24">
        <f t="shared" si="2"/>
        <v>6.6066501861982152</v>
      </c>
    </row>
    <row r="25" spans="1:79" x14ac:dyDescent="0.3">
      <c r="A25" s="2" t="s">
        <v>153</v>
      </c>
      <c r="B25" s="13"/>
      <c r="C25" s="13"/>
      <c r="D25" s="2">
        <v>3.3</v>
      </c>
      <c r="E25" s="2" t="s">
        <v>454</v>
      </c>
      <c r="F25" s="9"/>
      <c r="I25" s="2"/>
      <c r="J25" s="25">
        <v>1</v>
      </c>
      <c r="K25">
        <v>1</v>
      </c>
      <c r="L25">
        <v>0</v>
      </c>
      <c r="M25" s="2">
        <v>3.9049999999999998</v>
      </c>
      <c r="N25" s="2">
        <v>3.9049999999999998</v>
      </c>
      <c r="O25" s="2">
        <v>11.185</v>
      </c>
      <c r="P25" s="1" t="s">
        <v>439</v>
      </c>
      <c r="Q25" s="1"/>
      <c r="R25" s="25">
        <v>3.952105</v>
      </c>
      <c r="S25" s="25">
        <v>3.952105</v>
      </c>
      <c r="T25" s="25">
        <v>11.503833</v>
      </c>
      <c r="U25">
        <v>3.9079999999999999</v>
      </c>
      <c r="V25">
        <v>3.9079999999999999</v>
      </c>
      <c r="W25">
        <v>11.16</v>
      </c>
      <c r="X25">
        <v>0</v>
      </c>
      <c r="AA25" s="2">
        <v>2</v>
      </c>
      <c r="AB25">
        <v>14</v>
      </c>
      <c r="AC25" s="55">
        <f t="shared" si="6"/>
        <v>170.56034462499997</v>
      </c>
      <c r="AD25" s="57">
        <v>179.6799083471451</v>
      </c>
      <c r="AE25" s="55">
        <v>170.44069823999999</v>
      </c>
      <c r="AF25" s="55">
        <v>0</v>
      </c>
      <c r="AG25" s="52"/>
      <c r="AH25" s="51">
        <v>7.7916335380980528E-2</v>
      </c>
      <c r="AI25" s="52">
        <v>8.2140006140355049E-2</v>
      </c>
      <c r="AJ25" s="52"/>
      <c r="AK25" s="28">
        <v>1.7272727272727271</v>
      </c>
      <c r="AL25" s="28">
        <v>2.545454545454545</v>
      </c>
      <c r="AM25" s="28">
        <v>0.81818181818181823</v>
      </c>
      <c r="AN25" s="28">
        <v>0</v>
      </c>
      <c r="AO25" s="28">
        <v>0.3392857142857143</v>
      </c>
      <c r="AP25" s="28">
        <v>0.5</v>
      </c>
      <c r="AQ25" s="28">
        <v>0.1607142857142857</v>
      </c>
      <c r="AR25" s="28">
        <v>0</v>
      </c>
      <c r="AS25" s="25">
        <v>0.79</v>
      </c>
      <c r="AT25" s="25">
        <v>3.44</v>
      </c>
      <c r="AU25" s="25">
        <v>2.65</v>
      </c>
      <c r="AV25" s="25">
        <v>2.6518181818181819</v>
      </c>
      <c r="AW25">
        <v>2.6518181818181819</v>
      </c>
      <c r="AX25">
        <v>5.9730281035195452</v>
      </c>
      <c r="AY25" s="75">
        <v>0.5243291310951993</v>
      </c>
      <c r="AZ25" s="75">
        <v>0.55275184384813547</v>
      </c>
      <c r="BA25" s="75"/>
      <c r="BC25">
        <v>3.8958167690490257E-2</v>
      </c>
      <c r="BD25">
        <v>4.1070003070177517E-2</v>
      </c>
      <c r="BF25">
        <v>8.0028170760667788E-2</v>
      </c>
      <c r="BG25">
        <v>4.0014085380333887E-2</v>
      </c>
      <c r="BH25">
        <v>0.53854048747166738</v>
      </c>
      <c r="BI25" s="79" t="s">
        <v>1264</v>
      </c>
      <c r="BJ25" s="79">
        <f t="shared" si="5"/>
        <v>1473</v>
      </c>
      <c r="BK25" s="79">
        <v>48</v>
      </c>
      <c r="BM25" s="79" t="s">
        <v>464</v>
      </c>
      <c r="BN25" s="79" t="s">
        <v>464</v>
      </c>
      <c r="BO25" s="79">
        <v>0</v>
      </c>
      <c r="BQ25" s="79">
        <v>2.85</v>
      </c>
      <c r="BR25" s="79">
        <v>14.3</v>
      </c>
      <c r="BS25" s="79" t="s">
        <v>464</v>
      </c>
      <c r="BT25" s="79" t="s">
        <v>464</v>
      </c>
      <c r="BU25" s="79" t="s">
        <v>1266</v>
      </c>
      <c r="BV25" s="79">
        <v>450</v>
      </c>
      <c r="BZ25" s="81">
        <v>300</v>
      </c>
      <c r="CA25">
        <f t="shared" si="2"/>
        <v>5.7037824746562009</v>
      </c>
    </row>
    <row r="26" spans="1:79" x14ac:dyDescent="0.3">
      <c r="A26" s="2" t="s">
        <v>63</v>
      </c>
      <c r="B26" s="73"/>
      <c r="C26" s="13"/>
      <c r="D26" s="2">
        <v>3.35</v>
      </c>
      <c r="E26" s="2" t="s">
        <v>454</v>
      </c>
      <c r="F26" s="9"/>
      <c r="I26" s="7"/>
      <c r="J26" s="25">
        <v>4</v>
      </c>
      <c r="K26">
        <v>4</v>
      </c>
      <c r="L26">
        <v>0</v>
      </c>
      <c r="M26" s="2">
        <v>7.7270000000000003</v>
      </c>
      <c r="N26" s="2">
        <v>7.7270000000000003</v>
      </c>
      <c r="O26" s="2">
        <v>29.466000000000001</v>
      </c>
      <c r="P26" s="2" t="s">
        <v>452</v>
      </c>
      <c r="Q26" s="2"/>
      <c r="R26" s="25">
        <v>7.8084429999999996</v>
      </c>
      <c r="S26" s="25">
        <v>7.8548809999999998</v>
      </c>
      <c r="T26" s="25">
        <v>15.19056011</v>
      </c>
      <c r="U26">
        <v>3.8801999999999999</v>
      </c>
      <c r="V26">
        <v>29.507999999999999</v>
      </c>
      <c r="W26">
        <v>7.7140000000000004</v>
      </c>
      <c r="X26">
        <v>0</v>
      </c>
      <c r="AA26" s="2">
        <v>3</v>
      </c>
      <c r="AB26">
        <v>20</v>
      </c>
      <c r="AC26" s="55">
        <f t="shared" si="6"/>
        <v>1759.3125835140002</v>
      </c>
      <c r="AD26" s="57">
        <v>924.74694800021894</v>
      </c>
      <c r="AE26" s="55">
        <v>883.22940750240002</v>
      </c>
      <c r="AF26" s="55">
        <v>0</v>
      </c>
      <c r="AG26" s="52"/>
      <c r="AH26" s="51">
        <v>8.6510153045653584E-2</v>
      </c>
      <c r="AI26" s="52">
        <v>9.0576694254581439E-2</v>
      </c>
      <c r="AJ26" s="52"/>
      <c r="AK26" s="28">
        <v>1.75</v>
      </c>
      <c r="AL26" s="28">
        <v>2.5</v>
      </c>
      <c r="AM26" s="28">
        <v>0.75</v>
      </c>
      <c r="AN26" s="28">
        <v>0</v>
      </c>
      <c r="AO26" s="28">
        <v>0.35</v>
      </c>
      <c r="AP26" s="28">
        <v>0.5</v>
      </c>
      <c r="AQ26" s="28">
        <v>0.15</v>
      </c>
      <c r="AR26" s="28">
        <v>0</v>
      </c>
      <c r="AS26" s="25">
        <v>0.82</v>
      </c>
      <c r="AT26" s="25">
        <v>3.44</v>
      </c>
      <c r="AU26" s="25">
        <v>2.62</v>
      </c>
      <c r="AV26" s="25">
        <v>2.6262500000000002</v>
      </c>
      <c r="AW26">
        <v>2.6262500000000002</v>
      </c>
      <c r="AX26">
        <v>5.96680968125</v>
      </c>
      <c r="AY26" s="75">
        <v>0.50555206026575039</v>
      </c>
      <c r="AZ26" s="75">
        <v>0</v>
      </c>
      <c r="BA26" s="75"/>
      <c r="BC26">
        <v>4.3255076522826792E-2</v>
      </c>
      <c r="BD26">
        <v>4.5288347127290719E-2</v>
      </c>
      <c r="BF26">
        <v>8.8543423650117511E-2</v>
      </c>
      <c r="BG26">
        <v>4.4271711825058763E-2</v>
      </c>
      <c r="BH26">
        <v>0.2527760301328752</v>
      </c>
      <c r="BI26" s="79" t="s">
        <v>1264</v>
      </c>
      <c r="BJ26" s="79">
        <f t="shared" si="5"/>
        <v>1473</v>
      </c>
      <c r="BK26" s="79">
        <v>48</v>
      </c>
      <c r="BM26" s="79" t="s">
        <v>464</v>
      </c>
      <c r="BN26" s="79" t="s">
        <v>464</v>
      </c>
      <c r="BO26" s="79">
        <v>0</v>
      </c>
      <c r="BQ26" s="79">
        <v>2.85</v>
      </c>
      <c r="BR26" s="79">
        <v>14.3</v>
      </c>
      <c r="BS26" s="79" t="s">
        <v>464</v>
      </c>
      <c r="BT26" s="79" t="s">
        <v>464</v>
      </c>
      <c r="BU26" s="79" t="s">
        <v>1266</v>
      </c>
      <c r="BV26" s="79">
        <v>450</v>
      </c>
      <c r="BZ26" s="81">
        <v>5900</v>
      </c>
      <c r="CA26">
        <f t="shared" si="2"/>
        <v>8.6827076298938106</v>
      </c>
    </row>
    <row r="27" spans="1:79" x14ac:dyDescent="0.3">
      <c r="A27" s="2" t="s">
        <v>63</v>
      </c>
      <c r="B27" s="13"/>
      <c r="C27" s="13"/>
      <c r="D27" s="2">
        <v>3.5</v>
      </c>
      <c r="E27" s="2" t="s">
        <v>454</v>
      </c>
      <c r="F27" s="9"/>
      <c r="I27" s="7"/>
      <c r="J27" s="25">
        <v>1</v>
      </c>
      <c r="K27">
        <v>1</v>
      </c>
      <c r="L27">
        <v>0</v>
      </c>
      <c r="M27" s="2">
        <v>7.7249999999999996</v>
      </c>
      <c r="N27" s="2">
        <v>7.7249999999999996</v>
      </c>
      <c r="O27" s="2">
        <v>14.909000000000001</v>
      </c>
      <c r="P27" s="2" t="s">
        <v>451</v>
      </c>
      <c r="Q27" s="2"/>
      <c r="R27" s="25">
        <v>3.9661010000000001</v>
      </c>
      <c r="S27" s="25">
        <v>3.9661010000000001</v>
      </c>
      <c r="T27" s="25">
        <v>15.283337</v>
      </c>
      <c r="U27">
        <v>3.8586499999999999</v>
      </c>
      <c r="V27">
        <v>3.8586499999999999</v>
      </c>
      <c r="W27">
        <v>14.9108</v>
      </c>
      <c r="X27">
        <v>0</v>
      </c>
      <c r="AA27" s="2">
        <v>3</v>
      </c>
      <c r="AB27">
        <v>20</v>
      </c>
      <c r="AC27" s="55">
        <f t="shared" si="6"/>
        <v>889.70389312500004</v>
      </c>
      <c r="AD27" s="57">
        <v>240.40623599981481</v>
      </c>
      <c r="AE27" s="55">
        <v>222.00958249733301</v>
      </c>
      <c r="AF27" s="55">
        <v>0</v>
      </c>
      <c r="AG27" s="52"/>
      <c r="AH27" s="51">
        <v>8.3192517518619641E-2</v>
      </c>
      <c r="AI27" s="52">
        <v>9.0086201573034624E-2</v>
      </c>
      <c r="AJ27" s="52"/>
      <c r="AK27" s="28">
        <v>1.75</v>
      </c>
      <c r="AL27" s="28">
        <v>2.5</v>
      </c>
      <c r="AM27" s="28">
        <v>0.75</v>
      </c>
      <c r="AN27" s="28">
        <v>0</v>
      </c>
      <c r="AO27" s="28">
        <v>0.35</v>
      </c>
      <c r="AP27" s="28">
        <v>0.5</v>
      </c>
      <c r="AQ27" s="28">
        <v>0.15</v>
      </c>
      <c r="AR27" s="28">
        <v>0</v>
      </c>
      <c r="AS27" s="25">
        <v>0.82</v>
      </c>
      <c r="AT27" s="25">
        <v>3.44</v>
      </c>
      <c r="AU27" s="25">
        <v>2.62</v>
      </c>
      <c r="AV27" s="25">
        <v>2.6262500000000002</v>
      </c>
      <c r="AW27">
        <v>2.6262500000000002</v>
      </c>
      <c r="AX27">
        <v>5.9612134765624996</v>
      </c>
      <c r="AY27" s="75">
        <v>0.50467688585120674</v>
      </c>
      <c r="AZ27" s="75">
        <v>0.54649654829675798</v>
      </c>
      <c r="BA27" s="75"/>
      <c r="BC27">
        <v>4.159625875930982E-2</v>
      </c>
      <c r="BD27">
        <v>4.5043100786517312E-2</v>
      </c>
      <c r="BF27">
        <v>8.6639359545827133E-2</v>
      </c>
      <c r="BG27">
        <v>4.3319679772913573E-2</v>
      </c>
      <c r="BH27">
        <v>0.5255867170739823</v>
      </c>
      <c r="BI27" s="79" t="s">
        <v>1264</v>
      </c>
      <c r="BJ27" s="79">
        <f t="shared" si="5"/>
        <v>1473</v>
      </c>
      <c r="BK27" s="79">
        <v>48</v>
      </c>
      <c r="BM27" s="79" t="s">
        <v>464</v>
      </c>
      <c r="BN27" s="79" t="s">
        <v>464</v>
      </c>
      <c r="BO27" s="79">
        <v>0</v>
      </c>
      <c r="BQ27" s="79">
        <v>2.85</v>
      </c>
      <c r="BR27" s="79">
        <v>14.3</v>
      </c>
      <c r="BS27" s="79" t="s">
        <v>464</v>
      </c>
      <c r="BT27" s="79" t="s">
        <v>464</v>
      </c>
      <c r="BU27" s="79" t="s">
        <v>1266</v>
      </c>
      <c r="BV27" s="79">
        <v>450</v>
      </c>
      <c r="BZ27" s="81">
        <v>3100</v>
      </c>
      <c r="CA27">
        <f t="shared" si="2"/>
        <v>8.0391573904732372</v>
      </c>
    </row>
    <row r="28" spans="1:79" x14ac:dyDescent="0.3">
      <c r="A28" s="2" t="s">
        <v>63</v>
      </c>
      <c r="B28" s="13"/>
      <c r="C28" s="13"/>
      <c r="D28" s="2">
        <v>3.5</v>
      </c>
      <c r="E28" s="2" t="s">
        <v>454</v>
      </c>
      <c r="F28" s="9"/>
      <c r="I28" s="7"/>
      <c r="J28" s="25">
        <v>8</v>
      </c>
      <c r="K28">
        <v>8</v>
      </c>
      <c r="L28">
        <v>0</v>
      </c>
      <c r="M28" s="2">
        <v>7.7270000000000003</v>
      </c>
      <c r="N28" s="2">
        <v>7.7270000000000003</v>
      </c>
      <c r="O28" s="2">
        <v>30.175999999999998</v>
      </c>
      <c r="P28" s="2" t="s">
        <v>452</v>
      </c>
      <c r="Q28" s="2"/>
      <c r="R28" s="25">
        <v>7.8252249999999997</v>
      </c>
      <c r="S28" s="25">
        <v>7.8345229999999999</v>
      </c>
      <c r="T28" s="25">
        <v>31.031406</v>
      </c>
      <c r="U28">
        <v>30.184999999999999</v>
      </c>
      <c r="V28">
        <v>7.74</v>
      </c>
      <c r="W28">
        <v>7.7460000000000004</v>
      </c>
      <c r="X28">
        <v>0</v>
      </c>
      <c r="AA28" s="2">
        <v>3</v>
      </c>
      <c r="AB28">
        <v>20</v>
      </c>
      <c r="AC28" s="55">
        <f t="shared" si="6"/>
        <v>1801.704219104</v>
      </c>
      <c r="AD28" s="57">
        <v>1902.4394671889761</v>
      </c>
      <c r="AE28" s="55">
        <v>1809.7126974</v>
      </c>
      <c r="AF28" s="55">
        <v>0</v>
      </c>
      <c r="AG28" s="52"/>
      <c r="AH28" s="51">
        <v>8.4102544527429435E-2</v>
      </c>
      <c r="AI28" s="52">
        <v>8.8411823727529093E-2</v>
      </c>
      <c r="AJ28" s="52"/>
      <c r="AK28" s="28">
        <v>1.75</v>
      </c>
      <c r="AL28" s="28">
        <v>2.5</v>
      </c>
      <c r="AM28" s="28">
        <v>0.75</v>
      </c>
      <c r="AN28" s="28">
        <v>0</v>
      </c>
      <c r="AO28" s="28">
        <v>0.35</v>
      </c>
      <c r="AP28" s="28">
        <v>0.5</v>
      </c>
      <c r="AQ28" s="28">
        <v>0.15</v>
      </c>
      <c r="AR28" s="28">
        <v>0</v>
      </c>
      <c r="AS28" s="25">
        <v>0.79</v>
      </c>
      <c r="AT28" s="25">
        <v>3.44</v>
      </c>
      <c r="AU28" s="25">
        <v>2.65</v>
      </c>
      <c r="AV28" s="25">
        <v>2.6243750000000001</v>
      </c>
      <c r="AW28">
        <v>2.6243750000000001</v>
      </c>
      <c r="AX28">
        <v>5.9519163411696878</v>
      </c>
      <c r="AY28" s="75">
        <v>0.53407279423354193</v>
      </c>
      <c r="AZ28" s="75">
        <v>0.5614378257728565</v>
      </c>
      <c r="BA28" s="75"/>
      <c r="BC28">
        <v>4.2051272263714717E-2</v>
      </c>
      <c r="BD28">
        <v>4.4205911863764553E-2</v>
      </c>
      <c r="BF28">
        <v>8.6257184127479264E-2</v>
      </c>
      <c r="BG28">
        <v>4.3128592063739632E-2</v>
      </c>
      <c r="BH28">
        <v>0.54775531000319921</v>
      </c>
      <c r="BI28" s="79" t="s">
        <v>1264</v>
      </c>
      <c r="BJ28" s="79">
        <f t="shared" si="5"/>
        <v>1473</v>
      </c>
      <c r="BK28" s="79">
        <v>48</v>
      </c>
      <c r="BM28" s="79" t="s">
        <v>464</v>
      </c>
      <c r="BN28" s="79" t="s">
        <v>464</v>
      </c>
      <c r="BO28" s="79">
        <v>0</v>
      </c>
      <c r="BQ28" s="79">
        <v>2.85</v>
      </c>
      <c r="BR28" s="79">
        <v>14.3</v>
      </c>
      <c r="BS28" s="79" t="s">
        <v>464</v>
      </c>
      <c r="BT28" s="79" t="s">
        <v>464</v>
      </c>
      <c r="BU28" s="79" t="s">
        <v>1266</v>
      </c>
      <c r="BV28" s="79">
        <v>450</v>
      </c>
      <c r="BZ28" s="81">
        <v>970</v>
      </c>
      <c r="CA28">
        <f t="shared" si="2"/>
        <v>6.8772960714974287</v>
      </c>
    </row>
    <row r="29" spans="1:79" x14ac:dyDescent="0.3">
      <c r="A29" s="2" t="s">
        <v>151</v>
      </c>
      <c r="B29" s="13"/>
      <c r="C29" s="13"/>
      <c r="D29" s="2">
        <v>3.16</v>
      </c>
      <c r="E29" s="2" t="s">
        <v>454</v>
      </c>
      <c r="F29" s="9"/>
      <c r="I29" s="2">
        <v>4</v>
      </c>
      <c r="J29" s="25">
        <v>0</v>
      </c>
      <c r="K29">
        <v>0</v>
      </c>
      <c r="L29">
        <v>0</v>
      </c>
      <c r="M29" s="2">
        <v>7.8310000000000004</v>
      </c>
      <c r="N29" s="2">
        <v>7.8010000000000002</v>
      </c>
      <c r="O29" s="2">
        <v>15.05</v>
      </c>
      <c r="P29" s="2" t="s">
        <v>1141</v>
      </c>
      <c r="Q29" s="2">
        <v>15.05</v>
      </c>
      <c r="R29" s="25">
        <v>0</v>
      </c>
      <c r="S29" s="25"/>
      <c r="T29" s="25"/>
      <c r="U29">
        <v>0</v>
      </c>
      <c r="X29">
        <v>0</v>
      </c>
      <c r="AA29" s="2">
        <v>3</v>
      </c>
      <c r="AB29">
        <v>20</v>
      </c>
      <c r="AC29" s="55">
        <f t="shared" si="6"/>
        <v>919.39894655000012</v>
      </c>
      <c r="AD29" s="57">
        <f>M29*N29*O29*SIN(RADIANS(97.44))</f>
        <v>911.65853089860946</v>
      </c>
      <c r="AE29" s="55">
        <v>0</v>
      </c>
      <c r="AF29" s="55">
        <v>0</v>
      </c>
      <c r="AG29" s="52">
        <f>I29*AB29/AC29</f>
        <v>8.7013369223660861E-2</v>
      </c>
      <c r="AH29" s="51"/>
      <c r="AI29" s="52"/>
      <c r="AJ29" s="52"/>
      <c r="AK29" s="28">
        <v>1.75</v>
      </c>
      <c r="AL29" s="28">
        <v>2.5</v>
      </c>
      <c r="AM29" s="28">
        <v>0.75</v>
      </c>
      <c r="AN29" s="28">
        <v>0</v>
      </c>
      <c r="AO29" s="28">
        <v>0.35</v>
      </c>
      <c r="AP29" s="28">
        <v>0.5</v>
      </c>
      <c r="AQ29" s="28">
        <v>0.15</v>
      </c>
      <c r="AR29" s="28">
        <v>0</v>
      </c>
      <c r="AS29" s="25">
        <v>0.82</v>
      </c>
      <c r="AT29" s="25">
        <v>3.44</v>
      </c>
      <c r="AU29" s="25">
        <v>2.62</v>
      </c>
      <c r="AV29" s="25">
        <v>2.62</v>
      </c>
      <c r="AW29">
        <v>2.62</v>
      </c>
      <c r="AX29">
        <v>5.9423863675000002</v>
      </c>
      <c r="AY29" s="75"/>
      <c r="AZ29" s="75"/>
      <c r="BA29" s="75"/>
      <c r="BB29">
        <v>4.350668461183043E-2</v>
      </c>
      <c r="BC29">
        <v>0</v>
      </c>
      <c r="BF29">
        <v>8.7013369223660861E-2</v>
      </c>
      <c r="BG29">
        <v>2.1753342305915219E-2</v>
      </c>
      <c r="BH29">
        <v>0</v>
      </c>
      <c r="BI29" s="79" t="s">
        <v>1264</v>
      </c>
      <c r="BJ29" s="79">
        <f t="shared" si="5"/>
        <v>1473</v>
      </c>
      <c r="BK29" s="79">
        <v>48</v>
      </c>
      <c r="BM29" s="79" t="s">
        <v>464</v>
      </c>
      <c r="BN29" s="79" t="s">
        <v>464</v>
      </c>
      <c r="BO29" s="79">
        <v>0</v>
      </c>
      <c r="BQ29" s="79">
        <v>2.85</v>
      </c>
      <c r="BR29" s="79">
        <v>14.3</v>
      </c>
      <c r="BS29" s="79" t="s">
        <v>464</v>
      </c>
      <c r="BT29" s="79" t="s">
        <v>464</v>
      </c>
      <c r="BU29" s="79" t="s">
        <v>1266</v>
      </c>
      <c r="BV29" s="79">
        <v>450</v>
      </c>
      <c r="BZ29" s="81">
        <v>8900</v>
      </c>
      <c r="CA29">
        <f t="shared" si="2"/>
        <v>9.0938065557202314</v>
      </c>
    </row>
    <row r="30" spans="1:79" x14ac:dyDescent="0.3">
      <c r="A30" s="2" t="s">
        <v>1269</v>
      </c>
      <c r="B30" s="13"/>
      <c r="C30" s="13"/>
      <c r="D30" s="2">
        <v>3.21</v>
      </c>
      <c r="E30" s="2" t="s">
        <v>454</v>
      </c>
      <c r="F30" s="9"/>
      <c r="I30" s="2">
        <v>8</v>
      </c>
      <c r="J30" s="25">
        <v>0</v>
      </c>
      <c r="K30">
        <v>0</v>
      </c>
      <c r="L30">
        <v>0</v>
      </c>
      <c r="M30" s="2">
        <v>7.7489999999999997</v>
      </c>
      <c r="N30" s="2">
        <v>7.7359999999999998</v>
      </c>
      <c r="O30" s="2">
        <v>37.369999999999997</v>
      </c>
      <c r="P30" s="2" t="s">
        <v>1142</v>
      </c>
      <c r="Q30" s="2">
        <f>O30/2</f>
        <v>18.684999999999999</v>
      </c>
      <c r="R30" s="25">
        <v>0</v>
      </c>
      <c r="S30" s="25"/>
      <c r="T30" s="25"/>
      <c r="U30">
        <v>0</v>
      </c>
      <c r="X30">
        <v>0</v>
      </c>
      <c r="AA30" s="2">
        <v>4</v>
      </c>
      <c r="AB30">
        <v>26</v>
      </c>
      <c r="AC30" s="55">
        <f t="shared" si="6"/>
        <v>2240.1918856799994</v>
      </c>
      <c r="AD30" s="57">
        <v>2240</v>
      </c>
      <c r="AE30" s="55">
        <v>0</v>
      </c>
      <c r="AF30" s="55">
        <v>0</v>
      </c>
      <c r="AG30" s="52">
        <f>I30*AB30/AC30</f>
        <v>9.2849189093845236E-2</v>
      </c>
      <c r="AH30" s="51"/>
      <c r="AI30" s="52"/>
      <c r="AJ30" s="52"/>
      <c r="AK30" s="28">
        <v>1.714285714285714</v>
      </c>
      <c r="AL30" s="28">
        <v>2.4761904761904758</v>
      </c>
      <c r="AM30" s="28">
        <v>0.76190476190476186</v>
      </c>
      <c r="AN30" s="28">
        <v>0</v>
      </c>
      <c r="AO30" s="28">
        <v>0.34615384615384609</v>
      </c>
      <c r="AP30" s="28">
        <v>0.5</v>
      </c>
      <c r="AQ30" s="28">
        <v>0.1538461538461538</v>
      </c>
      <c r="AR30" s="28">
        <v>0</v>
      </c>
      <c r="AS30" s="25">
        <v>0.82</v>
      </c>
      <c r="AT30" s="25">
        <v>3.44</v>
      </c>
      <c r="AU30" s="25">
        <v>2.62</v>
      </c>
      <c r="AV30" s="25">
        <v>2.612857142857143</v>
      </c>
      <c r="AW30">
        <v>2.612857142857143</v>
      </c>
      <c r="AX30">
        <v>5.9413964502380949</v>
      </c>
      <c r="AY30" s="75"/>
      <c r="AZ30" s="75"/>
      <c r="BA30" s="75"/>
      <c r="BB30">
        <v>4.6424594546922618E-2</v>
      </c>
      <c r="BC30">
        <v>0</v>
      </c>
      <c r="BF30">
        <v>9.2849189093845236E-2</v>
      </c>
      <c r="BG30">
        <v>2.3212297273461309E-2</v>
      </c>
      <c r="BH30">
        <v>0</v>
      </c>
      <c r="BI30" s="79" t="s">
        <v>1264</v>
      </c>
      <c r="BJ30" s="79">
        <f t="shared" si="5"/>
        <v>1473</v>
      </c>
      <c r="BK30" s="79">
        <v>48</v>
      </c>
      <c r="BM30" s="79" t="s">
        <v>464</v>
      </c>
      <c r="BN30" s="79" t="s">
        <v>464</v>
      </c>
      <c r="BO30" s="79">
        <v>0</v>
      </c>
      <c r="BQ30" s="79">
        <v>2.85</v>
      </c>
      <c r="BR30" s="79">
        <v>14.3</v>
      </c>
      <c r="BS30" s="79" t="s">
        <v>464</v>
      </c>
      <c r="BT30" s="79" t="s">
        <v>464</v>
      </c>
      <c r="BU30" s="79" t="s">
        <v>1266</v>
      </c>
      <c r="BV30" s="79">
        <v>450</v>
      </c>
      <c r="BZ30" s="81">
        <v>790</v>
      </c>
      <c r="CA30">
        <f t="shared" si="2"/>
        <v>6.6720329454610674</v>
      </c>
    </row>
    <row r="31" spans="1:79" x14ac:dyDescent="0.3">
      <c r="A31" s="2" t="s">
        <v>304</v>
      </c>
      <c r="B31" s="13"/>
      <c r="C31" s="13"/>
      <c r="D31" s="2">
        <v>3.5</v>
      </c>
      <c r="E31" s="2" t="s">
        <v>454</v>
      </c>
      <c r="F31" s="9"/>
      <c r="I31" s="65">
        <v>4</v>
      </c>
      <c r="J31" s="25">
        <v>4</v>
      </c>
      <c r="K31">
        <v>4</v>
      </c>
      <c r="L31">
        <v>0</v>
      </c>
      <c r="M31" s="2"/>
      <c r="N31" s="2"/>
      <c r="O31" s="2"/>
      <c r="P31" s="2"/>
      <c r="Q31" s="2"/>
      <c r="R31" s="25">
        <v>6.6040679999999998</v>
      </c>
      <c r="S31" s="25">
        <v>7.9389519999999996</v>
      </c>
      <c r="T31" s="25">
        <v>33.703336</v>
      </c>
      <c r="U31">
        <v>7.83</v>
      </c>
      <c r="V31">
        <v>33.209989999999998</v>
      </c>
      <c r="W31">
        <v>6.46</v>
      </c>
      <c r="X31">
        <v>0</v>
      </c>
      <c r="AA31" s="2"/>
      <c r="AB31">
        <v>34</v>
      </c>
      <c r="AC31" s="55">
        <f>M31*N31*O31</f>
        <v>0</v>
      </c>
      <c r="AD31" s="57">
        <v>1767.0449718798691</v>
      </c>
      <c r="AE31" s="55">
        <v>1679.8210721820001</v>
      </c>
      <c r="AF31" s="55">
        <v>0</v>
      </c>
      <c r="AG31" s="52"/>
      <c r="AH31" s="51">
        <v>7.6964651247849417E-2</v>
      </c>
      <c r="AI31" s="52">
        <v>8.0961003676030277E-2</v>
      </c>
      <c r="AJ31" s="52"/>
      <c r="AK31" s="28">
        <v>1.62962962962963</v>
      </c>
      <c r="AL31" s="28">
        <v>2.518518518518519</v>
      </c>
      <c r="AM31" s="28">
        <v>0.88888888888888884</v>
      </c>
      <c r="AN31" s="28">
        <v>0</v>
      </c>
      <c r="AO31" s="28">
        <v>0.32352941176470579</v>
      </c>
      <c r="AP31" s="28">
        <v>0.5</v>
      </c>
      <c r="AQ31" s="28">
        <v>0.1764705882352941</v>
      </c>
      <c r="AR31" s="28">
        <v>0</v>
      </c>
      <c r="AS31" s="25">
        <v>0.82</v>
      </c>
      <c r="AT31" s="25">
        <v>3.44</v>
      </c>
      <c r="AU31" s="25">
        <v>2.62</v>
      </c>
      <c r="AV31" s="25">
        <v>2.642962962962963</v>
      </c>
      <c r="AW31">
        <v>2.642962962962963</v>
      </c>
      <c r="AX31">
        <v>5.9587362692592576</v>
      </c>
      <c r="AY31" s="75">
        <v>0.48264383878002159</v>
      </c>
      <c r="AZ31" s="75">
        <v>0.50770488753139842</v>
      </c>
      <c r="BA31" s="75"/>
      <c r="BB31" t="s">
        <v>459</v>
      </c>
      <c r="BC31">
        <v>3.8482325623924708E-2</v>
      </c>
      <c r="BD31">
        <v>4.0480501838015132E-2</v>
      </c>
      <c r="BF31">
        <v>7.8962827461939847E-2</v>
      </c>
      <c r="BG31" t="s">
        <v>459</v>
      </c>
      <c r="BH31">
        <v>0.49517436315571001</v>
      </c>
      <c r="BI31" s="79" t="s">
        <v>1264</v>
      </c>
      <c r="BJ31" s="79">
        <f t="shared" si="5"/>
        <v>1473</v>
      </c>
      <c r="BK31" s="79">
        <v>48</v>
      </c>
      <c r="BM31" s="79" t="s">
        <v>1268</v>
      </c>
      <c r="BN31" s="79" t="s">
        <v>863</v>
      </c>
      <c r="BO31" s="79">
        <v>0.1</v>
      </c>
      <c r="BQ31" s="79">
        <v>2.85</v>
      </c>
      <c r="BR31" s="79">
        <v>14.3</v>
      </c>
      <c r="BS31" s="79" t="s">
        <v>464</v>
      </c>
      <c r="BT31" s="79" t="s">
        <v>464</v>
      </c>
      <c r="BU31" s="79" t="s">
        <v>1266</v>
      </c>
      <c r="BV31" s="79">
        <v>450</v>
      </c>
      <c r="BZ31" s="81">
        <v>740</v>
      </c>
      <c r="CA31">
        <f t="shared" si="2"/>
        <v>6.6066501861982152</v>
      </c>
    </row>
    <row r="32" spans="1:79" x14ac:dyDescent="0.3">
      <c r="A32" s="2" t="s">
        <v>153</v>
      </c>
      <c r="B32" s="13"/>
      <c r="C32" s="13"/>
      <c r="D32" s="2">
        <v>3.2</v>
      </c>
      <c r="E32" s="2" t="s">
        <v>454</v>
      </c>
      <c r="F32" s="9"/>
      <c r="I32" s="2"/>
      <c r="J32" s="25">
        <v>1</v>
      </c>
      <c r="K32">
        <v>1</v>
      </c>
      <c r="L32">
        <v>0</v>
      </c>
      <c r="M32" s="2">
        <v>7.806</v>
      </c>
      <c r="N32" s="2">
        <v>7.6680000000000001</v>
      </c>
      <c r="O32" s="2">
        <v>21.54</v>
      </c>
      <c r="P32" s="1" t="s">
        <v>513</v>
      </c>
      <c r="Q32" s="1"/>
      <c r="R32" s="25">
        <v>3.9327019999999999</v>
      </c>
      <c r="S32" s="25">
        <v>3.9458000000000002</v>
      </c>
      <c r="T32" s="25">
        <v>11.356398779999999</v>
      </c>
      <c r="U32">
        <v>3.9060000000000001</v>
      </c>
      <c r="V32">
        <v>21.603000000000002</v>
      </c>
      <c r="W32">
        <v>3.8879000000000001</v>
      </c>
      <c r="X32">
        <v>0</v>
      </c>
      <c r="AA32" s="2">
        <v>2</v>
      </c>
      <c r="AB32">
        <v>14</v>
      </c>
      <c r="AC32" s="55">
        <f t="shared" ref="AC32:AC39" si="7">M32*N32*O32</f>
        <v>1289.30702832</v>
      </c>
      <c r="AD32" s="57">
        <v>173.54502164551991</v>
      </c>
      <c r="AE32" s="55">
        <v>328.06612625219998</v>
      </c>
      <c r="AF32" s="55">
        <v>0</v>
      </c>
      <c r="AG32" s="52"/>
      <c r="AH32" s="51">
        <v>8.0670709348241429E-2</v>
      </c>
      <c r="AI32" s="52">
        <v>4.2674323496713393E-2</v>
      </c>
      <c r="AJ32" s="52"/>
      <c r="AK32" s="28">
        <v>1.7272727272727271</v>
      </c>
      <c r="AL32" s="28">
        <v>2.545454545454545</v>
      </c>
      <c r="AM32" s="28">
        <v>0.81818181818181823</v>
      </c>
      <c r="AN32" s="28">
        <v>0</v>
      </c>
      <c r="AO32" s="28">
        <v>0.3392857142857143</v>
      </c>
      <c r="AP32" s="28">
        <v>0.5</v>
      </c>
      <c r="AQ32" s="28">
        <v>0.1607142857142857</v>
      </c>
      <c r="AR32" s="28">
        <v>0</v>
      </c>
      <c r="AS32" s="25">
        <v>0.82</v>
      </c>
      <c r="AT32" s="25">
        <v>3.44</v>
      </c>
      <c r="AU32" s="25">
        <v>2.62</v>
      </c>
      <c r="AV32" s="25">
        <v>2.6545454545454539</v>
      </c>
      <c r="AW32">
        <v>2.6545454545454539</v>
      </c>
      <c r="AX32">
        <v>5.9946911436363637</v>
      </c>
      <c r="AY32" s="75">
        <v>0.48450364842179561</v>
      </c>
      <c r="AZ32" s="75"/>
      <c r="BA32" s="75"/>
      <c r="BC32">
        <v>4.0335354674120701E-2</v>
      </c>
      <c r="BD32">
        <v>2.13371617483567E-2</v>
      </c>
      <c r="BF32">
        <v>6.1672516422477411E-2</v>
      </c>
      <c r="BG32">
        <v>3.0836258211238698E-2</v>
      </c>
      <c r="BH32">
        <v>0.48450364842179561</v>
      </c>
      <c r="BI32" s="79" t="s">
        <v>1264</v>
      </c>
      <c r="BJ32" s="79">
        <f t="shared" si="5"/>
        <v>1473</v>
      </c>
      <c r="BK32" s="79">
        <v>48</v>
      </c>
      <c r="BM32" s="79" t="s">
        <v>1268</v>
      </c>
      <c r="BN32" s="79" t="s">
        <v>863</v>
      </c>
      <c r="BO32" s="79">
        <v>0.1</v>
      </c>
      <c r="BQ32" s="79">
        <v>2.85</v>
      </c>
      <c r="BR32" s="79">
        <v>14.3</v>
      </c>
      <c r="BS32" s="79" t="s">
        <v>464</v>
      </c>
      <c r="BT32" s="79" t="s">
        <v>464</v>
      </c>
      <c r="BU32" s="79" t="s">
        <v>1266</v>
      </c>
      <c r="BV32" s="79">
        <v>450</v>
      </c>
      <c r="BZ32" s="81">
        <v>3800</v>
      </c>
      <c r="CA32">
        <f t="shared" si="2"/>
        <v>8.2427563457144775</v>
      </c>
    </row>
    <row r="33" spans="1:79" x14ac:dyDescent="0.3">
      <c r="A33" s="2" t="s">
        <v>153</v>
      </c>
      <c r="B33" s="13"/>
      <c r="C33" s="13"/>
      <c r="D33" s="2">
        <v>3.35</v>
      </c>
      <c r="E33" s="2" t="s">
        <v>454</v>
      </c>
      <c r="F33" s="9"/>
      <c r="I33" s="2"/>
      <c r="J33" s="25">
        <v>2</v>
      </c>
      <c r="K33">
        <v>0</v>
      </c>
      <c r="L33">
        <v>0</v>
      </c>
      <c r="M33" s="2">
        <v>3.8849999999999998</v>
      </c>
      <c r="N33" s="2">
        <v>3.8849999999999998</v>
      </c>
      <c r="O33" s="2">
        <v>10.989000000000001</v>
      </c>
      <c r="P33" s="1" t="s">
        <v>439</v>
      </c>
      <c r="Q33" s="1"/>
      <c r="R33" s="25">
        <v>11.92921406</v>
      </c>
      <c r="S33" s="25">
        <v>11.92921406</v>
      </c>
      <c r="T33" s="25">
        <v>11.92921406</v>
      </c>
      <c r="U33">
        <v>0</v>
      </c>
      <c r="X33">
        <v>0</v>
      </c>
      <c r="AA33" s="2">
        <v>2</v>
      </c>
      <c r="AB33">
        <v>14</v>
      </c>
      <c r="AC33" s="55">
        <f t="shared" si="7"/>
        <v>165.859449525</v>
      </c>
      <c r="AD33" s="57">
        <v>349.00875366799971</v>
      </c>
      <c r="AE33" s="55">
        <v>0</v>
      </c>
      <c r="AF33" s="55">
        <v>0</v>
      </c>
      <c r="AG33" s="52"/>
      <c r="AH33" s="51">
        <v>8.0227214090553903E-2</v>
      </c>
      <c r="AI33" s="52"/>
      <c r="AJ33" s="52"/>
      <c r="AK33" s="28">
        <v>1.7272727272727271</v>
      </c>
      <c r="AL33" s="28">
        <v>2.545454545454545</v>
      </c>
      <c r="AM33" s="28">
        <v>0.81818181818181823</v>
      </c>
      <c r="AN33" s="28">
        <v>0</v>
      </c>
      <c r="AO33" s="28">
        <v>0.3392857142857143</v>
      </c>
      <c r="AP33" s="28">
        <v>0.5</v>
      </c>
      <c r="AQ33" s="28">
        <v>0.1607142857142857</v>
      </c>
      <c r="AR33" s="28">
        <v>0</v>
      </c>
      <c r="AS33" s="25">
        <v>0.82</v>
      </c>
      <c r="AT33" s="25">
        <v>3.44</v>
      </c>
      <c r="AU33" s="25">
        <v>2.62</v>
      </c>
      <c r="AV33" s="25">
        <v>2.6545454545454539</v>
      </c>
      <c r="AW33">
        <v>2.6545454545454552</v>
      </c>
      <c r="AX33">
        <v>5.9865512095454543</v>
      </c>
      <c r="AY33" s="75">
        <v>0.50734392504100967</v>
      </c>
      <c r="AZ33" s="75"/>
      <c r="BA33" s="75"/>
      <c r="BC33">
        <v>4.0113607045276937E-2</v>
      </c>
      <c r="BF33">
        <v>8.0227214090553903E-2</v>
      </c>
      <c r="BG33">
        <v>4.0113607045276937E-2</v>
      </c>
      <c r="BH33">
        <v>0.50734392504100967</v>
      </c>
      <c r="BI33" s="79" t="s">
        <v>1264</v>
      </c>
      <c r="BJ33" s="79">
        <f t="shared" si="5"/>
        <v>1473</v>
      </c>
      <c r="BK33" s="79">
        <v>48</v>
      </c>
      <c r="BM33" s="79" t="s">
        <v>1268</v>
      </c>
      <c r="BN33" s="79" t="s">
        <v>863</v>
      </c>
      <c r="BO33" s="79">
        <v>0.1</v>
      </c>
      <c r="BQ33" s="79">
        <v>2.85</v>
      </c>
      <c r="BR33" s="79">
        <v>14.3</v>
      </c>
      <c r="BS33" s="79" t="s">
        <v>464</v>
      </c>
      <c r="BT33" s="79" t="s">
        <v>464</v>
      </c>
      <c r="BU33" s="79" t="s">
        <v>1266</v>
      </c>
      <c r="BV33" s="79">
        <v>450</v>
      </c>
      <c r="BZ33" s="81">
        <v>2600</v>
      </c>
      <c r="CA33">
        <f t="shared" si="2"/>
        <v>7.8632667240095735</v>
      </c>
    </row>
    <row r="34" spans="1:79" x14ac:dyDescent="0.3">
      <c r="A34" s="2" t="s">
        <v>153</v>
      </c>
      <c r="B34" s="13"/>
      <c r="C34" s="13"/>
      <c r="D34" s="2">
        <v>3.3</v>
      </c>
      <c r="E34" s="2" t="s">
        <v>454</v>
      </c>
      <c r="F34" s="9"/>
      <c r="I34" s="2"/>
      <c r="J34" s="25">
        <v>1</v>
      </c>
      <c r="K34">
        <v>1</v>
      </c>
      <c r="L34">
        <v>0</v>
      </c>
      <c r="M34" s="2">
        <v>3.9049999999999998</v>
      </c>
      <c r="N34" s="2">
        <v>3.9049999999999998</v>
      </c>
      <c r="O34" s="2">
        <v>11.185</v>
      </c>
      <c r="P34" s="1" t="s">
        <v>439</v>
      </c>
      <c r="Q34" s="1"/>
      <c r="R34" s="25">
        <v>3.952105</v>
      </c>
      <c r="S34" s="25">
        <v>3.952105</v>
      </c>
      <c r="T34" s="25">
        <v>11.503833</v>
      </c>
      <c r="U34">
        <v>3.9079999999999999</v>
      </c>
      <c r="V34">
        <v>3.9079999999999999</v>
      </c>
      <c r="W34">
        <v>11.16</v>
      </c>
      <c r="X34">
        <v>0</v>
      </c>
      <c r="AA34" s="2">
        <v>2</v>
      </c>
      <c r="AB34">
        <v>14</v>
      </c>
      <c r="AC34" s="55">
        <f t="shared" si="7"/>
        <v>170.56034462499997</v>
      </c>
      <c r="AD34" s="57">
        <v>179.6799083471451</v>
      </c>
      <c r="AE34" s="55">
        <v>170.44069823999999</v>
      </c>
      <c r="AF34" s="55">
        <v>0</v>
      </c>
      <c r="AG34" s="52"/>
      <c r="AH34" s="51">
        <v>7.7916335380980528E-2</v>
      </c>
      <c r="AI34" s="52">
        <v>8.2140006140355049E-2</v>
      </c>
      <c r="AJ34" s="52"/>
      <c r="AK34" s="28">
        <v>1.7272727272727271</v>
      </c>
      <c r="AL34" s="28">
        <v>2.545454545454545</v>
      </c>
      <c r="AM34" s="28">
        <v>0.81818181818181823</v>
      </c>
      <c r="AN34" s="28">
        <v>0</v>
      </c>
      <c r="AO34" s="28">
        <v>0.3392857142857143</v>
      </c>
      <c r="AP34" s="28">
        <v>0.5</v>
      </c>
      <c r="AQ34" s="28">
        <v>0.1607142857142857</v>
      </c>
      <c r="AR34" s="28">
        <v>0</v>
      </c>
      <c r="AS34" s="25">
        <v>0.79</v>
      </c>
      <c r="AT34" s="25">
        <v>3.44</v>
      </c>
      <c r="AU34" s="25">
        <v>2.65</v>
      </c>
      <c r="AV34" s="25">
        <v>2.6518181818181819</v>
      </c>
      <c r="AW34">
        <v>2.6518181818181819</v>
      </c>
      <c r="AX34">
        <v>5.9730281035195452</v>
      </c>
      <c r="AY34" s="75">
        <v>0.5243291310951993</v>
      </c>
      <c r="AZ34" s="75">
        <v>0.55275184384813547</v>
      </c>
      <c r="BA34" s="75"/>
      <c r="BC34">
        <v>3.8958167690490257E-2</v>
      </c>
      <c r="BD34">
        <v>4.1070003070177517E-2</v>
      </c>
      <c r="BF34">
        <v>8.0028170760667788E-2</v>
      </c>
      <c r="BG34">
        <v>4.0014085380333887E-2</v>
      </c>
      <c r="BH34">
        <v>0.53854048747166738</v>
      </c>
      <c r="BI34" s="79" t="s">
        <v>1264</v>
      </c>
      <c r="BJ34" s="79">
        <f t="shared" si="5"/>
        <v>1473</v>
      </c>
      <c r="BK34" s="79">
        <v>48</v>
      </c>
      <c r="BM34" s="79" t="s">
        <v>1268</v>
      </c>
      <c r="BN34" s="79" t="s">
        <v>863</v>
      </c>
      <c r="BO34" s="79">
        <v>0.1</v>
      </c>
      <c r="BQ34" s="79">
        <v>2.85</v>
      </c>
      <c r="BR34" s="79">
        <v>14.3</v>
      </c>
      <c r="BS34" s="79" t="s">
        <v>464</v>
      </c>
      <c r="BT34" s="79" t="s">
        <v>464</v>
      </c>
      <c r="BU34" s="79" t="s">
        <v>1266</v>
      </c>
      <c r="BV34" s="79">
        <v>450</v>
      </c>
      <c r="BZ34" s="81">
        <v>2200</v>
      </c>
      <c r="CA34">
        <f t="shared" si="2"/>
        <v>7.696212639346407</v>
      </c>
    </row>
    <row r="35" spans="1:79" x14ac:dyDescent="0.3">
      <c r="A35" s="2" t="s">
        <v>63</v>
      </c>
      <c r="B35" s="73"/>
      <c r="C35" s="13"/>
      <c r="D35" s="2">
        <v>3.35</v>
      </c>
      <c r="E35" s="2" t="s">
        <v>454</v>
      </c>
      <c r="F35" s="9"/>
      <c r="I35" s="7"/>
      <c r="J35" s="25">
        <v>4</v>
      </c>
      <c r="K35">
        <v>4</v>
      </c>
      <c r="L35">
        <v>0</v>
      </c>
      <c r="M35" s="2">
        <v>7.7270000000000003</v>
      </c>
      <c r="N35" s="2">
        <v>7.7270000000000003</v>
      </c>
      <c r="O35" s="2">
        <v>29.466000000000001</v>
      </c>
      <c r="P35" s="2" t="s">
        <v>452</v>
      </c>
      <c r="Q35" s="2"/>
      <c r="R35" s="25">
        <v>7.8084429999999996</v>
      </c>
      <c r="S35" s="25">
        <v>7.8548809999999998</v>
      </c>
      <c r="T35" s="25">
        <v>15.19056011</v>
      </c>
      <c r="U35">
        <v>3.8801999999999999</v>
      </c>
      <c r="V35">
        <v>29.507999999999999</v>
      </c>
      <c r="W35">
        <v>7.7140000000000004</v>
      </c>
      <c r="X35">
        <v>0</v>
      </c>
      <c r="AA35" s="2">
        <v>3</v>
      </c>
      <c r="AB35">
        <v>20</v>
      </c>
      <c r="AC35" s="55">
        <f t="shared" si="7"/>
        <v>1759.3125835140002</v>
      </c>
      <c r="AD35" s="57">
        <v>924.74694800021894</v>
      </c>
      <c r="AE35" s="55">
        <v>883.22940750240002</v>
      </c>
      <c r="AF35" s="55">
        <v>0</v>
      </c>
      <c r="AG35" s="52"/>
      <c r="AH35" s="51">
        <v>8.6510153045653584E-2</v>
      </c>
      <c r="AI35" s="52">
        <v>9.0576694254581439E-2</v>
      </c>
      <c r="AJ35" s="52"/>
      <c r="AK35" s="28">
        <v>1.75</v>
      </c>
      <c r="AL35" s="28">
        <v>2.5</v>
      </c>
      <c r="AM35" s="28">
        <v>0.75</v>
      </c>
      <c r="AN35" s="28">
        <v>0</v>
      </c>
      <c r="AO35" s="28">
        <v>0.35</v>
      </c>
      <c r="AP35" s="28">
        <v>0.5</v>
      </c>
      <c r="AQ35" s="28">
        <v>0.15</v>
      </c>
      <c r="AR35" s="28">
        <v>0</v>
      </c>
      <c r="AS35" s="25">
        <v>0.82</v>
      </c>
      <c r="AT35" s="25">
        <v>3.44</v>
      </c>
      <c r="AU35" s="25">
        <v>2.62</v>
      </c>
      <c r="AV35" s="25">
        <v>2.6262500000000002</v>
      </c>
      <c r="AW35">
        <v>2.6262500000000002</v>
      </c>
      <c r="AX35">
        <v>5.96680968125</v>
      </c>
      <c r="AY35" s="75">
        <v>0.50555206026575039</v>
      </c>
      <c r="AZ35" s="75">
        <v>0</v>
      </c>
      <c r="BA35" s="75"/>
      <c r="BC35">
        <v>4.3255076522826792E-2</v>
      </c>
      <c r="BD35">
        <v>4.5288347127290719E-2</v>
      </c>
      <c r="BF35">
        <v>8.8543423650117511E-2</v>
      </c>
      <c r="BG35">
        <v>4.4271711825058763E-2</v>
      </c>
      <c r="BH35">
        <v>0.2527760301328752</v>
      </c>
      <c r="BI35" s="79" t="s">
        <v>1264</v>
      </c>
      <c r="BJ35" s="79">
        <f t="shared" si="5"/>
        <v>1473</v>
      </c>
      <c r="BK35" s="79">
        <v>48</v>
      </c>
      <c r="BM35" s="79" t="s">
        <v>1268</v>
      </c>
      <c r="BN35" s="79" t="s">
        <v>863</v>
      </c>
      <c r="BO35" s="79">
        <v>0.1</v>
      </c>
      <c r="BQ35" s="79">
        <v>2.85</v>
      </c>
      <c r="BR35" s="79">
        <v>14.3</v>
      </c>
      <c r="BS35" s="79" t="s">
        <v>464</v>
      </c>
      <c r="BT35" s="79" t="s">
        <v>464</v>
      </c>
      <c r="BU35" s="79" t="s">
        <v>1266</v>
      </c>
      <c r="BV35" s="79">
        <v>450</v>
      </c>
      <c r="BZ35" s="81">
        <v>19000</v>
      </c>
      <c r="CA35">
        <f t="shared" si="2"/>
        <v>9.8521942581485771</v>
      </c>
    </row>
    <row r="36" spans="1:79" x14ac:dyDescent="0.3">
      <c r="A36" s="2" t="s">
        <v>63</v>
      </c>
      <c r="B36" s="13"/>
      <c r="C36" s="13"/>
      <c r="D36" s="2">
        <v>3.5</v>
      </c>
      <c r="E36" s="2" t="s">
        <v>454</v>
      </c>
      <c r="F36" s="9"/>
      <c r="I36" s="7"/>
      <c r="J36" s="25">
        <v>1</v>
      </c>
      <c r="K36">
        <v>1</v>
      </c>
      <c r="L36">
        <v>0</v>
      </c>
      <c r="M36" s="2">
        <v>7.7249999999999996</v>
      </c>
      <c r="N36" s="2">
        <v>7.7249999999999996</v>
      </c>
      <c r="O36" s="2">
        <v>14.909000000000001</v>
      </c>
      <c r="P36" s="2" t="s">
        <v>451</v>
      </c>
      <c r="Q36" s="2"/>
      <c r="R36" s="25">
        <v>3.9661010000000001</v>
      </c>
      <c r="S36" s="25">
        <v>3.9661010000000001</v>
      </c>
      <c r="T36" s="25">
        <v>15.283337</v>
      </c>
      <c r="U36">
        <v>3.8586499999999999</v>
      </c>
      <c r="V36">
        <v>3.8586499999999999</v>
      </c>
      <c r="W36">
        <v>14.9108</v>
      </c>
      <c r="X36">
        <v>0</v>
      </c>
      <c r="AA36" s="2">
        <v>3</v>
      </c>
      <c r="AB36">
        <v>20</v>
      </c>
      <c r="AC36" s="55">
        <f t="shared" si="7"/>
        <v>889.70389312500004</v>
      </c>
      <c r="AD36" s="57">
        <v>240.40623599981481</v>
      </c>
      <c r="AE36" s="55">
        <v>222.00958249733301</v>
      </c>
      <c r="AF36" s="55">
        <v>0</v>
      </c>
      <c r="AG36" s="52"/>
      <c r="AH36" s="51">
        <v>8.3192517518619641E-2</v>
      </c>
      <c r="AI36" s="52">
        <v>9.0086201573034624E-2</v>
      </c>
      <c r="AJ36" s="52"/>
      <c r="AK36" s="28">
        <v>1.75</v>
      </c>
      <c r="AL36" s="28">
        <v>2.5</v>
      </c>
      <c r="AM36" s="28">
        <v>0.75</v>
      </c>
      <c r="AN36" s="28">
        <v>0</v>
      </c>
      <c r="AO36" s="28">
        <v>0.35</v>
      </c>
      <c r="AP36" s="28">
        <v>0.5</v>
      </c>
      <c r="AQ36" s="28">
        <v>0.15</v>
      </c>
      <c r="AR36" s="28">
        <v>0</v>
      </c>
      <c r="AS36" s="25">
        <v>0.82</v>
      </c>
      <c r="AT36" s="25">
        <v>3.44</v>
      </c>
      <c r="AU36" s="25">
        <v>2.62</v>
      </c>
      <c r="AV36" s="25">
        <v>2.6262500000000002</v>
      </c>
      <c r="AW36">
        <v>2.6262500000000002</v>
      </c>
      <c r="AX36">
        <v>5.9612134765624996</v>
      </c>
      <c r="AY36" s="75">
        <v>0.50467688585120674</v>
      </c>
      <c r="AZ36" s="75">
        <v>0.54649654829675798</v>
      </c>
      <c r="BA36" s="75"/>
      <c r="BC36">
        <v>4.159625875930982E-2</v>
      </c>
      <c r="BD36">
        <v>4.5043100786517312E-2</v>
      </c>
      <c r="BF36">
        <v>8.6639359545827133E-2</v>
      </c>
      <c r="BG36">
        <v>4.3319679772913573E-2</v>
      </c>
      <c r="BH36">
        <v>0.5255867170739823</v>
      </c>
      <c r="BI36" s="79" t="s">
        <v>1264</v>
      </c>
      <c r="BJ36" s="79">
        <f t="shared" si="5"/>
        <v>1473</v>
      </c>
      <c r="BK36" s="79">
        <v>48</v>
      </c>
      <c r="BM36" s="79" t="s">
        <v>1268</v>
      </c>
      <c r="BN36" s="79" t="s">
        <v>863</v>
      </c>
      <c r="BO36" s="79">
        <v>0.1</v>
      </c>
      <c r="BQ36" s="79">
        <v>2.85</v>
      </c>
      <c r="BR36" s="79">
        <v>14.3</v>
      </c>
      <c r="BS36" s="79" t="s">
        <v>464</v>
      </c>
      <c r="BT36" s="79" t="s">
        <v>464</v>
      </c>
      <c r="BU36" s="79" t="s">
        <v>1266</v>
      </c>
      <c r="BV36" s="79">
        <v>450</v>
      </c>
      <c r="BZ36" s="81">
        <v>17000</v>
      </c>
      <c r="CA36">
        <f t="shared" si="2"/>
        <v>9.7409686230383539</v>
      </c>
    </row>
    <row r="37" spans="1:79" x14ac:dyDescent="0.3">
      <c r="A37" s="2" t="s">
        <v>63</v>
      </c>
      <c r="B37" s="13"/>
      <c r="C37" s="13"/>
      <c r="D37" s="2">
        <v>3.5</v>
      </c>
      <c r="E37" s="2" t="s">
        <v>454</v>
      </c>
      <c r="F37" s="9"/>
      <c r="I37" s="7"/>
      <c r="J37" s="25">
        <v>8</v>
      </c>
      <c r="K37">
        <v>8</v>
      </c>
      <c r="L37">
        <v>0</v>
      </c>
      <c r="M37" s="2">
        <v>7.7270000000000003</v>
      </c>
      <c r="N37" s="2">
        <v>7.7270000000000003</v>
      </c>
      <c r="O37" s="2">
        <v>30.175999999999998</v>
      </c>
      <c r="P37" s="2" t="s">
        <v>452</v>
      </c>
      <c r="Q37" s="2"/>
      <c r="R37" s="25">
        <v>7.8252249999999997</v>
      </c>
      <c r="S37" s="25">
        <v>7.8345229999999999</v>
      </c>
      <c r="T37" s="25">
        <v>31.031406</v>
      </c>
      <c r="U37">
        <v>30.184999999999999</v>
      </c>
      <c r="V37">
        <v>7.74</v>
      </c>
      <c r="W37">
        <v>7.7460000000000004</v>
      </c>
      <c r="X37">
        <v>0</v>
      </c>
      <c r="AA37" s="2">
        <v>3</v>
      </c>
      <c r="AB37">
        <v>20</v>
      </c>
      <c r="AC37" s="55">
        <f t="shared" si="7"/>
        <v>1801.704219104</v>
      </c>
      <c r="AD37" s="57">
        <v>1902.4394671889761</v>
      </c>
      <c r="AE37" s="55">
        <v>1809.7126974</v>
      </c>
      <c r="AF37" s="55">
        <v>0</v>
      </c>
      <c r="AG37" s="52"/>
      <c r="AH37" s="51">
        <v>8.4102544527429435E-2</v>
      </c>
      <c r="AI37" s="52">
        <v>8.8411823727529093E-2</v>
      </c>
      <c r="AJ37" s="52"/>
      <c r="AK37" s="28">
        <v>1.75</v>
      </c>
      <c r="AL37" s="28">
        <v>2.5</v>
      </c>
      <c r="AM37" s="28">
        <v>0.75</v>
      </c>
      <c r="AN37" s="28">
        <v>0</v>
      </c>
      <c r="AO37" s="28">
        <v>0.35</v>
      </c>
      <c r="AP37" s="28">
        <v>0.5</v>
      </c>
      <c r="AQ37" s="28">
        <v>0.15</v>
      </c>
      <c r="AR37" s="28">
        <v>0</v>
      </c>
      <c r="AS37" s="25">
        <v>0.79</v>
      </c>
      <c r="AT37" s="25">
        <v>3.44</v>
      </c>
      <c r="AU37" s="25">
        <v>2.65</v>
      </c>
      <c r="AV37" s="25">
        <v>2.6243750000000001</v>
      </c>
      <c r="AW37">
        <v>2.6243750000000001</v>
      </c>
      <c r="AX37">
        <v>5.9519163411696878</v>
      </c>
      <c r="AY37" s="75">
        <v>0.53407279423354193</v>
      </c>
      <c r="AZ37" s="75">
        <v>0.5614378257728565</v>
      </c>
      <c r="BA37" s="75"/>
      <c r="BC37">
        <v>4.2051272263714717E-2</v>
      </c>
      <c r="BD37">
        <v>4.4205911863764553E-2</v>
      </c>
      <c r="BF37">
        <v>8.6257184127479264E-2</v>
      </c>
      <c r="BG37">
        <v>4.3128592063739632E-2</v>
      </c>
      <c r="BH37">
        <v>0.54775531000319921</v>
      </c>
      <c r="BI37" s="79" t="s">
        <v>1264</v>
      </c>
      <c r="BJ37" s="79">
        <f t="shared" si="5"/>
        <v>1473</v>
      </c>
      <c r="BK37" s="79">
        <v>48</v>
      </c>
      <c r="BM37" s="79" t="s">
        <v>1268</v>
      </c>
      <c r="BN37" s="79" t="s">
        <v>863</v>
      </c>
      <c r="BO37" s="79">
        <v>0.1</v>
      </c>
      <c r="BQ37" s="79">
        <v>2.85</v>
      </c>
      <c r="BR37" s="79">
        <v>14.3</v>
      </c>
      <c r="BS37" s="79" t="s">
        <v>464</v>
      </c>
      <c r="BT37" s="79" t="s">
        <v>464</v>
      </c>
      <c r="BU37" s="79" t="s">
        <v>1266</v>
      </c>
      <c r="BV37" s="79">
        <v>450</v>
      </c>
      <c r="BZ37" s="81">
        <v>8300</v>
      </c>
      <c r="CA37">
        <f t="shared" si="2"/>
        <v>9.0240107937846901</v>
      </c>
    </row>
    <row r="38" spans="1:79" x14ac:dyDescent="0.3">
      <c r="A38" s="2" t="s">
        <v>151</v>
      </c>
      <c r="B38" s="13"/>
      <c r="C38" s="13"/>
      <c r="D38" s="2">
        <v>3.16</v>
      </c>
      <c r="E38" s="2" t="s">
        <v>454</v>
      </c>
      <c r="F38" s="9"/>
      <c r="I38" s="2">
        <v>4</v>
      </c>
      <c r="J38" s="25">
        <v>0</v>
      </c>
      <c r="K38">
        <v>0</v>
      </c>
      <c r="L38">
        <v>0</v>
      </c>
      <c r="M38" s="2">
        <v>7.8310000000000004</v>
      </c>
      <c r="N38" s="2">
        <v>7.8010000000000002</v>
      </c>
      <c r="O38" s="2">
        <v>15.05</v>
      </c>
      <c r="P38" s="2" t="s">
        <v>1141</v>
      </c>
      <c r="Q38" s="2">
        <v>15.05</v>
      </c>
      <c r="R38" s="25">
        <v>0</v>
      </c>
      <c r="S38" s="25"/>
      <c r="T38" s="25"/>
      <c r="U38">
        <v>0</v>
      </c>
      <c r="X38">
        <v>0</v>
      </c>
      <c r="AA38" s="2">
        <v>3</v>
      </c>
      <c r="AB38">
        <v>20</v>
      </c>
      <c r="AC38" s="55">
        <f t="shared" si="7"/>
        <v>919.39894655000012</v>
      </c>
      <c r="AD38" s="57">
        <f>M38*N38*O38*SIN(RADIANS(97.44))</f>
        <v>911.65853089860946</v>
      </c>
      <c r="AE38" s="55">
        <v>0</v>
      </c>
      <c r="AF38" s="55">
        <v>0</v>
      </c>
      <c r="AG38" s="52">
        <f>I38*AB38/AC38</f>
        <v>8.7013369223660861E-2</v>
      </c>
      <c r="AH38" s="51"/>
      <c r="AI38" s="52"/>
      <c r="AJ38" s="52"/>
      <c r="AK38" s="28">
        <v>1.75</v>
      </c>
      <c r="AL38" s="28">
        <v>2.5</v>
      </c>
      <c r="AM38" s="28">
        <v>0.75</v>
      </c>
      <c r="AN38" s="28">
        <v>0</v>
      </c>
      <c r="AO38" s="28">
        <v>0.35</v>
      </c>
      <c r="AP38" s="28">
        <v>0.5</v>
      </c>
      <c r="AQ38" s="28">
        <v>0.15</v>
      </c>
      <c r="AR38" s="28">
        <v>0</v>
      </c>
      <c r="AS38" s="25">
        <v>0.82</v>
      </c>
      <c r="AT38" s="25">
        <v>3.44</v>
      </c>
      <c r="AU38" s="25">
        <v>2.62</v>
      </c>
      <c r="AV38" s="25">
        <v>2.62</v>
      </c>
      <c r="AW38">
        <v>2.62</v>
      </c>
      <c r="AX38">
        <v>5.9423863675000002</v>
      </c>
      <c r="AY38" s="75"/>
      <c r="AZ38" s="75"/>
      <c r="BA38" s="75"/>
      <c r="BB38">
        <v>4.350668461183043E-2</v>
      </c>
      <c r="BC38">
        <v>0</v>
      </c>
      <c r="BF38">
        <v>8.7013369223660861E-2</v>
      </c>
      <c r="BG38">
        <v>2.1753342305915219E-2</v>
      </c>
      <c r="BH38">
        <v>0</v>
      </c>
      <c r="BI38" s="79" t="s">
        <v>1264</v>
      </c>
      <c r="BJ38" s="79">
        <f t="shared" si="5"/>
        <v>1473</v>
      </c>
      <c r="BK38" s="79">
        <v>48</v>
      </c>
      <c r="BM38" s="79" t="s">
        <v>1268</v>
      </c>
      <c r="BN38" s="79" t="s">
        <v>863</v>
      </c>
      <c r="BO38" s="79">
        <v>0.1</v>
      </c>
      <c r="BQ38" s="79">
        <v>2.85</v>
      </c>
      <c r="BR38" s="79">
        <v>14.3</v>
      </c>
      <c r="BS38" s="79" t="s">
        <v>464</v>
      </c>
      <c r="BT38" s="79" t="s">
        <v>464</v>
      </c>
      <c r="BU38" s="79" t="s">
        <v>1266</v>
      </c>
      <c r="BV38" s="79">
        <v>450</v>
      </c>
      <c r="BZ38" s="81">
        <v>43000</v>
      </c>
      <c r="CA38">
        <f t="shared" si="2"/>
        <v>10.668955394675699</v>
      </c>
    </row>
    <row r="39" spans="1:79" x14ac:dyDescent="0.3">
      <c r="A39" s="2" t="s">
        <v>1269</v>
      </c>
      <c r="B39" s="13"/>
      <c r="C39" s="13"/>
      <c r="D39" s="2">
        <v>3.21</v>
      </c>
      <c r="E39" s="2" t="s">
        <v>454</v>
      </c>
      <c r="F39" s="9"/>
      <c r="I39" s="2">
        <v>8</v>
      </c>
      <c r="J39" s="25">
        <v>0</v>
      </c>
      <c r="K39">
        <v>0</v>
      </c>
      <c r="L39">
        <v>0</v>
      </c>
      <c r="M39" s="2">
        <v>7.7489999999999997</v>
      </c>
      <c r="N39" s="2">
        <v>7.7359999999999998</v>
      </c>
      <c r="O39" s="2">
        <v>37.369999999999997</v>
      </c>
      <c r="P39" s="2" t="s">
        <v>1142</v>
      </c>
      <c r="Q39" s="2">
        <f>O39/2</f>
        <v>18.684999999999999</v>
      </c>
      <c r="R39" s="25">
        <v>0</v>
      </c>
      <c r="S39" s="25"/>
      <c r="T39" s="25"/>
      <c r="U39">
        <v>0</v>
      </c>
      <c r="X39">
        <v>0</v>
      </c>
      <c r="AA39" s="2">
        <v>4</v>
      </c>
      <c r="AB39">
        <v>26</v>
      </c>
      <c r="AC39" s="55">
        <f t="shared" si="7"/>
        <v>2240.1918856799994</v>
      </c>
      <c r="AD39" s="57">
        <v>2240</v>
      </c>
      <c r="AE39" s="55">
        <v>0</v>
      </c>
      <c r="AF39" s="55">
        <v>0</v>
      </c>
      <c r="AG39" s="52">
        <f>I39*AB39/AC39</f>
        <v>9.2849189093845236E-2</v>
      </c>
      <c r="AH39" s="51"/>
      <c r="AI39" s="52"/>
      <c r="AJ39" s="52"/>
      <c r="AK39" s="28">
        <v>1.714285714285714</v>
      </c>
      <c r="AL39" s="28">
        <v>2.4761904761904758</v>
      </c>
      <c r="AM39" s="28">
        <v>0.76190476190476186</v>
      </c>
      <c r="AN39" s="28">
        <v>0</v>
      </c>
      <c r="AO39" s="28">
        <v>0.34615384615384609</v>
      </c>
      <c r="AP39" s="28">
        <v>0.5</v>
      </c>
      <c r="AQ39" s="28">
        <v>0.1538461538461538</v>
      </c>
      <c r="AR39" s="28">
        <v>0</v>
      </c>
      <c r="AS39" s="25">
        <v>0.82</v>
      </c>
      <c r="AT39" s="25">
        <v>3.44</v>
      </c>
      <c r="AU39" s="25">
        <v>2.62</v>
      </c>
      <c r="AV39" s="25">
        <v>2.612857142857143</v>
      </c>
      <c r="AW39">
        <v>2.612857142857143</v>
      </c>
      <c r="AX39">
        <v>5.9413964502380949</v>
      </c>
      <c r="AY39" s="75"/>
      <c r="AZ39" s="75"/>
      <c r="BA39" s="75"/>
      <c r="BB39">
        <v>4.6424594546922618E-2</v>
      </c>
      <c r="BC39">
        <v>0</v>
      </c>
      <c r="BF39">
        <v>9.2849189093845236E-2</v>
      </c>
      <c r="BG39">
        <v>2.3212297273461309E-2</v>
      </c>
      <c r="BH39">
        <v>0</v>
      </c>
      <c r="BI39" s="79" t="s">
        <v>1264</v>
      </c>
      <c r="BJ39" s="79">
        <f t="shared" si="5"/>
        <v>1473</v>
      </c>
      <c r="BK39" s="79">
        <v>48</v>
      </c>
      <c r="BM39" s="79" t="s">
        <v>1268</v>
      </c>
      <c r="BN39" s="79" t="s">
        <v>863</v>
      </c>
      <c r="BO39" s="79">
        <v>0.1</v>
      </c>
      <c r="BQ39" s="79">
        <v>2.85</v>
      </c>
      <c r="BR39" s="79">
        <v>14.3</v>
      </c>
      <c r="BS39" s="79" t="s">
        <v>464</v>
      </c>
      <c r="BT39" s="79" t="s">
        <v>464</v>
      </c>
      <c r="BU39" s="79" t="s">
        <v>1266</v>
      </c>
      <c r="BV39" s="79">
        <v>450</v>
      </c>
      <c r="BZ39" s="81">
        <v>18000</v>
      </c>
      <c r="CA39">
        <f t="shared" si="2"/>
        <v>9.7981270368783022</v>
      </c>
    </row>
    <row r="40" spans="1:79" x14ac:dyDescent="0.3">
      <c r="A40" s="2" t="s">
        <v>0</v>
      </c>
      <c r="B40" s="13" t="s">
        <v>685</v>
      </c>
      <c r="C40" s="13"/>
      <c r="D40" s="2"/>
      <c r="E40" s="2" t="s">
        <v>1270</v>
      </c>
      <c r="F40" s="9" t="s">
        <v>523</v>
      </c>
      <c r="G40" t="s">
        <v>606</v>
      </c>
      <c r="I40" s="65">
        <v>4</v>
      </c>
      <c r="J40" s="25">
        <v>4</v>
      </c>
      <c r="K40">
        <v>4</v>
      </c>
      <c r="L40">
        <v>0</v>
      </c>
      <c r="M40" s="2"/>
      <c r="N40" s="2"/>
      <c r="O40" s="2"/>
      <c r="P40" s="2"/>
      <c r="Q40" s="2"/>
      <c r="R40" s="25"/>
      <c r="S40" s="25"/>
      <c r="T40" s="25"/>
      <c r="AA40" s="2"/>
      <c r="AC40" s="55"/>
      <c r="AD40" s="57"/>
      <c r="AE40" s="55"/>
      <c r="AF40" s="55"/>
      <c r="AG40" s="52"/>
      <c r="AH40" s="51"/>
      <c r="AI40" s="52"/>
      <c r="AJ40" s="52"/>
      <c r="AK40" s="28"/>
      <c r="AL40" s="28"/>
      <c r="AM40" s="28"/>
      <c r="AN40" s="28"/>
      <c r="AO40" s="28"/>
      <c r="AP40" s="28"/>
      <c r="AQ40" s="28"/>
      <c r="AR40" s="28"/>
      <c r="AS40" s="25"/>
      <c r="AT40" s="25"/>
      <c r="AU40" s="25"/>
      <c r="AV40" s="25"/>
      <c r="AY40" s="75"/>
      <c r="AZ40" s="75"/>
      <c r="BA40" s="75"/>
      <c r="BI40" s="79" t="s">
        <v>1264</v>
      </c>
      <c r="BJ40" s="79">
        <f t="shared" si="5"/>
        <v>1473</v>
      </c>
      <c r="BK40" s="79">
        <v>48</v>
      </c>
      <c r="BM40" s="79" t="s">
        <v>464</v>
      </c>
      <c r="BN40" s="79" t="s">
        <v>464</v>
      </c>
      <c r="BO40" s="79">
        <v>0</v>
      </c>
      <c r="BP40" s="79">
        <v>1</v>
      </c>
      <c r="BQ40" s="79">
        <v>0.8</v>
      </c>
      <c r="BR40" s="79">
        <v>20</v>
      </c>
      <c r="BS40" s="79" t="s">
        <v>464</v>
      </c>
      <c r="BT40" s="79" t="s">
        <v>464</v>
      </c>
      <c r="BU40" s="79" t="s">
        <v>1271</v>
      </c>
      <c r="BV40" s="79">
        <v>500</v>
      </c>
      <c r="BZ40" s="81">
        <v>66</v>
      </c>
      <c r="CA40">
        <f t="shared" si="2"/>
        <v>4.1896547420264252</v>
      </c>
    </row>
    <row r="41" spans="1:79" x14ac:dyDescent="0.3">
      <c r="A41" s="2" t="s">
        <v>1272</v>
      </c>
      <c r="B41" s="13"/>
      <c r="C41" s="13"/>
      <c r="D41" s="2"/>
      <c r="E41" s="2" t="s">
        <v>1270</v>
      </c>
      <c r="F41" s="9"/>
      <c r="I41" s="2"/>
      <c r="J41" s="25"/>
      <c r="M41" s="2"/>
      <c r="N41" s="2"/>
      <c r="O41" s="2"/>
      <c r="P41" s="2"/>
      <c r="Q41" s="2"/>
      <c r="R41" s="25"/>
      <c r="S41" s="25"/>
      <c r="T41" s="25"/>
      <c r="AA41" s="2"/>
      <c r="AC41" s="55"/>
      <c r="AD41" s="57"/>
      <c r="AE41" s="55"/>
      <c r="AF41" s="55"/>
      <c r="AG41" s="52"/>
      <c r="AH41" s="51"/>
      <c r="AI41" s="52"/>
      <c r="AJ41" s="52"/>
      <c r="AK41" s="28"/>
      <c r="AL41" s="28"/>
      <c r="AM41" s="28"/>
      <c r="AN41" s="28"/>
      <c r="AO41" s="28"/>
      <c r="AP41" s="28"/>
      <c r="AQ41" s="28"/>
      <c r="AR41" s="28"/>
      <c r="AS41" s="25"/>
      <c r="AT41" s="25"/>
      <c r="AU41" s="25"/>
      <c r="AV41" s="25"/>
      <c r="AY41" s="75"/>
      <c r="AZ41" s="75"/>
      <c r="BA41" s="75"/>
      <c r="BI41" s="79" t="s">
        <v>1264</v>
      </c>
      <c r="BJ41" s="79">
        <f t="shared" si="5"/>
        <v>1473</v>
      </c>
      <c r="BK41" s="79">
        <v>48</v>
      </c>
      <c r="BM41" s="79" t="s">
        <v>464</v>
      </c>
      <c r="BN41" s="79" t="s">
        <v>464</v>
      </c>
      <c r="BO41" s="79">
        <v>0</v>
      </c>
      <c r="BP41" s="79">
        <v>1</v>
      </c>
      <c r="BQ41" s="79">
        <v>0.8</v>
      </c>
      <c r="BR41" s="79">
        <v>20</v>
      </c>
      <c r="BS41" s="79" t="s">
        <v>464</v>
      </c>
      <c r="BT41" s="79" t="s">
        <v>464</v>
      </c>
      <c r="BU41" s="79" t="s">
        <v>1271</v>
      </c>
      <c r="BV41" s="79">
        <v>500</v>
      </c>
      <c r="BZ41" s="81">
        <v>35</v>
      </c>
      <c r="CA41">
        <f t="shared" si="2"/>
        <v>3.5553480614894135</v>
      </c>
    </row>
    <row r="42" spans="1:79" x14ac:dyDescent="0.3">
      <c r="A42" s="2" t="s">
        <v>1273</v>
      </c>
      <c r="B42" s="13"/>
      <c r="C42" s="13"/>
      <c r="D42" s="2"/>
      <c r="E42" s="2" t="s">
        <v>1270</v>
      </c>
      <c r="F42" s="9"/>
      <c r="H42" t="s">
        <v>1274</v>
      </c>
      <c r="I42" s="2"/>
      <c r="J42" s="25"/>
      <c r="M42" s="2"/>
      <c r="N42" s="2"/>
      <c r="O42" s="2"/>
      <c r="P42" s="2"/>
      <c r="Q42" s="2"/>
      <c r="R42" s="25"/>
      <c r="S42" s="25"/>
      <c r="T42" s="25"/>
      <c r="AA42" s="2"/>
      <c r="AC42" s="55"/>
      <c r="AD42" s="57"/>
      <c r="AE42" s="55"/>
      <c r="AF42" s="55"/>
      <c r="AG42" s="52"/>
      <c r="AH42" s="51"/>
      <c r="AI42" s="52"/>
      <c r="AJ42" s="52"/>
      <c r="AK42" s="28"/>
      <c r="AL42" s="28"/>
      <c r="AM42" s="28"/>
      <c r="AN42" s="28"/>
      <c r="AO42" s="28"/>
      <c r="AP42" s="28"/>
      <c r="AQ42" s="28"/>
      <c r="AR42" s="28"/>
      <c r="AS42" s="25"/>
      <c r="AT42" s="25"/>
      <c r="AU42" s="25"/>
      <c r="AV42" s="25"/>
      <c r="AY42" s="75"/>
      <c r="AZ42" s="75"/>
      <c r="BA42" s="75"/>
      <c r="BI42" s="79" t="s">
        <v>1264</v>
      </c>
      <c r="BJ42" s="79">
        <f t="shared" si="5"/>
        <v>1473</v>
      </c>
      <c r="BK42" s="79">
        <v>48</v>
      </c>
      <c r="BM42" s="79" t="s">
        <v>464</v>
      </c>
      <c r="BN42" s="79" t="s">
        <v>464</v>
      </c>
      <c r="BO42" s="79">
        <v>0</v>
      </c>
      <c r="BP42" s="79">
        <v>1</v>
      </c>
      <c r="BQ42" s="79">
        <v>0.8</v>
      </c>
      <c r="BR42" s="79">
        <v>20</v>
      </c>
      <c r="BS42" s="79" t="s">
        <v>464</v>
      </c>
      <c r="BT42" s="79" t="s">
        <v>464</v>
      </c>
      <c r="BU42" s="79" t="s">
        <v>1271</v>
      </c>
      <c r="BV42" s="79">
        <v>500</v>
      </c>
      <c r="BZ42" s="81">
        <v>3.3</v>
      </c>
      <c r="CA42">
        <f t="shared" si="2"/>
        <v>1.1939224684724346</v>
      </c>
    </row>
    <row r="43" spans="1:79" x14ac:dyDescent="0.3">
      <c r="A43" s="2" t="s">
        <v>0</v>
      </c>
      <c r="B43" s="13" t="s">
        <v>685</v>
      </c>
      <c r="C43" s="13"/>
      <c r="D43" s="2"/>
      <c r="E43" t="s">
        <v>1276</v>
      </c>
      <c r="F43" s="9" t="s">
        <v>523</v>
      </c>
      <c r="G43" t="s">
        <v>606</v>
      </c>
      <c r="I43" s="2"/>
      <c r="J43" s="25"/>
      <c r="M43" s="2"/>
      <c r="N43" s="2"/>
      <c r="O43" s="2"/>
      <c r="P43" s="2"/>
      <c r="Q43" s="2"/>
      <c r="R43" s="25"/>
      <c r="S43" s="25"/>
      <c r="T43" s="25"/>
      <c r="AA43" s="2"/>
      <c r="AC43" s="55"/>
      <c r="AD43" s="57"/>
      <c r="AE43" s="55"/>
      <c r="AF43" s="55"/>
      <c r="AG43" s="52"/>
      <c r="AH43" s="51"/>
      <c r="AI43" s="52"/>
      <c r="AJ43" s="52"/>
      <c r="AK43" s="28"/>
      <c r="AL43" s="28"/>
      <c r="AM43" s="28"/>
      <c r="AN43" s="28"/>
      <c r="AO43" s="28"/>
      <c r="AP43" s="28"/>
      <c r="AQ43" s="28"/>
      <c r="AR43" s="28"/>
      <c r="AS43" s="25"/>
      <c r="AT43" s="25"/>
      <c r="AU43" s="25"/>
      <c r="AV43" s="25"/>
      <c r="AY43" s="75"/>
      <c r="AZ43" s="75"/>
      <c r="BA43" s="75"/>
      <c r="BI43" s="79" t="s">
        <v>1264</v>
      </c>
      <c r="BJ43" s="79">
        <f t="shared" si="5"/>
        <v>1473</v>
      </c>
      <c r="BK43" s="79">
        <v>48</v>
      </c>
      <c r="BM43" s="79" t="s">
        <v>464</v>
      </c>
      <c r="BN43" s="79" t="s">
        <v>464</v>
      </c>
      <c r="BO43" s="79">
        <v>0</v>
      </c>
      <c r="BP43" s="79">
        <v>1</v>
      </c>
      <c r="BQ43" s="79">
        <v>3.33</v>
      </c>
      <c r="BR43" s="79">
        <v>0</v>
      </c>
      <c r="BS43" s="79" t="s">
        <v>464</v>
      </c>
      <c r="BT43" s="79" t="s">
        <v>464</v>
      </c>
      <c r="BU43" s="79" t="s">
        <v>1266</v>
      </c>
      <c r="BV43" s="79">
        <v>450</v>
      </c>
      <c r="BZ43" s="81">
        <v>5</v>
      </c>
      <c r="CA43">
        <f t="shared" si="2"/>
        <v>1.6094379124341003</v>
      </c>
    </row>
    <row r="44" spans="1:79" x14ac:dyDescent="0.3">
      <c r="A44" s="2" t="s">
        <v>0</v>
      </c>
      <c r="B44" s="13" t="s">
        <v>685</v>
      </c>
      <c r="C44" s="13"/>
      <c r="D44" s="2"/>
      <c r="E44" t="s">
        <v>1276</v>
      </c>
      <c r="F44" s="9" t="s">
        <v>523</v>
      </c>
      <c r="G44" t="s">
        <v>606</v>
      </c>
      <c r="I44" s="2"/>
      <c r="J44" s="25"/>
      <c r="M44" s="2"/>
      <c r="N44" s="2"/>
      <c r="O44" s="2"/>
      <c r="P44" s="2"/>
      <c r="Q44" s="2"/>
      <c r="R44" s="25"/>
      <c r="S44" s="25"/>
      <c r="T44" s="25"/>
      <c r="AA44" s="2"/>
      <c r="AC44" s="55"/>
      <c r="AD44" s="57"/>
      <c r="AE44" s="55"/>
      <c r="AF44" s="55"/>
      <c r="AG44" s="52"/>
      <c r="AH44" s="51"/>
      <c r="AI44" s="52"/>
      <c r="AJ44" s="52"/>
      <c r="AK44" s="28"/>
      <c r="AL44" s="28"/>
      <c r="AM44" s="28"/>
      <c r="AN44" s="28"/>
      <c r="AO44" s="28"/>
      <c r="AP44" s="28"/>
      <c r="AQ44" s="28"/>
      <c r="AR44" s="28"/>
      <c r="AS44" s="25"/>
      <c r="AT44" s="25"/>
      <c r="AU44" s="25"/>
      <c r="AV44" s="25"/>
      <c r="AY44" s="75"/>
      <c r="AZ44" s="75"/>
      <c r="BA44" s="75"/>
      <c r="BI44" s="79" t="s">
        <v>1264</v>
      </c>
      <c r="BJ44" s="79">
        <f t="shared" si="5"/>
        <v>1473</v>
      </c>
      <c r="BK44" s="79">
        <v>48</v>
      </c>
      <c r="BM44" s="79" t="s">
        <v>464</v>
      </c>
      <c r="BN44" s="79" t="s">
        <v>464</v>
      </c>
      <c r="BO44" s="79">
        <v>0</v>
      </c>
      <c r="BP44" s="79">
        <v>1</v>
      </c>
      <c r="BQ44" s="79">
        <v>3.33</v>
      </c>
      <c r="BR44" s="79">
        <v>3</v>
      </c>
      <c r="BS44" s="79" t="s">
        <v>464</v>
      </c>
      <c r="BT44" s="79" t="s">
        <v>464</v>
      </c>
      <c r="BU44" s="79" t="s">
        <v>1266</v>
      </c>
      <c r="BV44" s="79">
        <v>450</v>
      </c>
      <c r="BZ44" s="81">
        <v>177</v>
      </c>
      <c r="CA44">
        <f t="shared" si="2"/>
        <v>5.1761497325738288</v>
      </c>
    </row>
    <row r="45" spans="1:79" x14ac:dyDescent="0.3">
      <c r="A45" s="2" t="s">
        <v>0</v>
      </c>
      <c r="B45" s="13" t="s">
        <v>685</v>
      </c>
      <c r="C45" s="13"/>
      <c r="D45" s="2"/>
      <c r="E45" t="s">
        <v>1276</v>
      </c>
      <c r="F45" s="9" t="s">
        <v>523</v>
      </c>
      <c r="G45" t="s">
        <v>606</v>
      </c>
      <c r="I45" s="2"/>
      <c r="J45" s="25"/>
      <c r="M45" s="2"/>
      <c r="N45" s="2"/>
      <c r="O45" s="2"/>
      <c r="P45" s="2"/>
      <c r="Q45" s="2"/>
      <c r="R45" s="25"/>
      <c r="S45" s="25"/>
      <c r="T45" s="25"/>
      <c r="AA45" s="2"/>
      <c r="AC45" s="55"/>
      <c r="AD45" s="57"/>
      <c r="AE45" s="55"/>
      <c r="AF45" s="55"/>
      <c r="AG45" s="52"/>
      <c r="AH45" s="51"/>
      <c r="AI45" s="52"/>
      <c r="AJ45" s="52"/>
      <c r="AK45" s="28"/>
      <c r="AL45" s="28"/>
      <c r="AM45" s="28"/>
      <c r="AN45" s="28"/>
      <c r="AO45" s="28"/>
      <c r="AP45" s="28"/>
      <c r="AQ45" s="28"/>
      <c r="AR45" s="28"/>
      <c r="AS45" s="25"/>
      <c r="AT45" s="25"/>
      <c r="AU45" s="25"/>
      <c r="AV45" s="25"/>
      <c r="AY45" s="75"/>
      <c r="AZ45" s="75"/>
      <c r="BA45" s="75"/>
      <c r="BI45" s="79" t="s">
        <v>1264</v>
      </c>
      <c r="BJ45" s="79">
        <f t="shared" si="5"/>
        <v>1473</v>
      </c>
      <c r="BK45" s="79">
        <v>48</v>
      </c>
      <c r="BM45" s="79" t="s">
        <v>1275</v>
      </c>
      <c r="BN45" s="79" t="s">
        <v>56</v>
      </c>
      <c r="BO45" s="79">
        <v>0.1</v>
      </c>
      <c r="BP45" s="79">
        <v>1</v>
      </c>
      <c r="BQ45" s="79">
        <v>3.33</v>
      </c>
      <c r="BR45" s="79">
        <v>0</v>
      </c>
      <c r="BS45" s="79" t="s">
        <v>464</v>
      </c>
      <c r="BT45" s="79" t="s">
        <v>464</v>
      </c>
      <c r="BU45" s="79" t="s">
        <v>1266</v>
      </c>
      <c r="BV45" s="79">
        <v>450</v>
      </c>
      <c r="BZ45" s="81">
        <v>4</v>
      </c>
      <c r="CA45">
        <f t="shared" si="2"/>
        <v>1.3862943611198906</v>
      </c>
    </row>
    <row r="46" spans="1:79" x14ac:dyDescent="0.3">
      <c r="A46" s="2" t="s">
        <v>0</v>
      </c>
      <c r="B46" s="13" t="s">
        <v>685</v>
      </c>
      <c r="C46" s="13"/>
      <c r="D46" s="2"/>
      <c r="E46" t="s">
        <v>1276</v>
      </c>
      <c r="F46" s="9" t="s">
        <v>523</v>
      </c>
      <c r="G46" t="s">
        <v>606</v>
      </c>
      <c r="I46" s="2"/>
      <c r="J46" s="25"/>
      <c r="M46" s="2"/>
      <c r="N46" s="2"/>
      <c r="O46" s="2"/>
      <c r="P46" s="2"/>
      <c r="Q46" s="2"/>
      <c r="R46" s="25"/>
      <c r="S46" s="25"/>
      <c r="T46" s="25"/>
      <c r="AA46" s="2"/>
      <c r="AC46" s="55"/>
      <c r="AD46" s="57"/>
      <c r="AE46" s="55"/>
      <c r="AF46" s="55"/>
      <c r="AG46" s="52"/>
      <c r="AH46" s="51"/>
      <c r="AI46" s="52"/>
      <c r="AJ46" s="52"/>
      <c r="AK46" s="28"/>
      <c r="AL46" s="28"/>
      <c r="AM46" s="28"/>
      <c r="AN46" s="28"/>
      <c r="AO46" s="28"/>
      <c r="AP46" s="28"/>
      <c r="AQ46" s="28"/>
      <c r="AR46" s="28"/>
      <c r="AS46" s="25"/>
      <c r="AT46" s="25"/>
      <c r="AU46" s="25"/>
      <c r="AV46" s="25"/>
      <c r="AY46" s="75"/>
      <c r="AZ46" s="75"/>
      <c r="BA46" s="75"/>
      <c r="BI46" s="79" t="s">
        <v>1264</v>
      </c>
      <c r="BJ46" s="79">
        <f t="shared" si="5"/>
        <v>1473</v>
      </c>
      <c r="BK46" s="79">
        <v>48</v>
      </c>
      <c r="BM46" s="79" t="s">
        <v>1275</v>
      </c>
      <c r="BN46" s="79" t="s">
        <v>56</v>
      </c>
      <c r="BO46" s="79">
        <v>0.1</v>
      </c>
      <c r="BP46" s="79">
        <v>1</v>
      </c>
      <c r="BQ46" s="79">
        <v>3.33</v>
      </c>
      <c r="BR46" s="79">
        <v>3</v>
      </c>
      <c r="BS46" s="79" t="s">
        <v>464</v>
      </c>
      <c r="BT46" s="79" t="s">
        <v>464</v>
      </c>
      <c r="BU46" s="79" t="s">
        <v>1266</v>
      </c>
      <c r="BV46" s="79">
        <v>450</v>
      </c>
      <c r="BZ46" s="81">
        <v>667</v>
      </c>
      <c r="CA46">
        <f t="shared" si="2"/>
        <v>6.5027900459156234</v>
      </c>
    </row>
    <row r="47" spans="1:79" x14ac:dyDescent="0.3">
      <c r="A47" s="2" t="s">
        <v>0</v>
      </c>
      <c r="B47" s="13" t="s">
        <v>685</v>
      </c>
      <c r="C47" s="13"/>
      <c r="D47" s="2"/>
      <c r="E47" t="s">
        <v>1276</v>
      </c>
      <c r="F47" s="9" t="s">
        <v>523</v>
      </c>
      <c r="G47" t="s">
        <v>606</v>
      </c>
      <c r="I47" s="2"/>
      <c r="J47" s="25"/>
      <c r="M47" s="2"/>
      <c r="N47" s="2"/>
      <c r="O47" s="2"/>
      <c r="P47" s="2"/>
      <c r="Q47" s="2"/>
      <c r="R47" s="25"/>
      <c r="S47" s="25"/>
      <c r="T47" s="25"/>
      <c r="AA47" s="2"/>
      <c r="AC47" s="55"/>
      <c r="AD47" s="57"/>
      <c r="AE47" s="55"/>
      <c r="AF47" s="55"/>
      <c r="AG47" s="52"/>
      <c r="AH47" s="51"/>
      <c r="AI47" s="52"/>
      <c r="AJ47" s="52"/>
      <c r="AK47" s="28"/>
      <c r="AL47" s="28"/>
      <c r="AM47" s="28"/>
      <c r="AN47" s="28"/>
      <c r="AO47" s="28"/>
      <c r="AP47" s="28"/>
      <c r="AQ47" s="28"/>
      <c r="AR47" s="28"/>
      <c r="AS47" s="25"/>
      <c r="AT47" s="25"/>
      <c r="AU47" s="25"/>
      <c r="AV47" s="25"/>
      <c r="AY47" s="75"/>
      <c r="AZ47" s="75"/>
      <c r="BA47" s="75"/>
      <c r="BI47" s="79" t="s">
        <v>1264</v>
      </c>
      <c r="BJ47" s="79">
        <f t="shared" si="5"/>
        <v>1473</v>
      </c>
      <c r="BK47" s="79">
        <v>48</v>
      </c>
      <c r="BM47" s="79" t="s">
        <v>1275</v>
      </c>
      <c r="BN47" s="79" t="s">
        <v>56</v>
      </c>
      <c r="BO47" s="79">
        <v>1</v>
      </c>
      <c r="BP47" s="79">
        <v>1</v>
      </c>
      <c r="BQ47" s="79">
        <v>3.33</v>
      </c>
      <c r="BR47" s="79">
        <v>0</v>
      </c>
      <c r="BS47" s="79" t="s">
        <v>464</v>
      </c>
      <c r="BT47" s="79" t="s">
        <v>464</v>
      </c>
      <c r="BU47" s="79" t="s">
        <v>1266</v>
      </c>
      <c r="BV47" s="79">
        <v>450</v>
      </c>
      <c r="BZ47" s="81">
        <v>3</v>
      </c>
      <c r="CA47">
        <f t="shared" si="2"/>
        <v>1.0986122886681098</v>
      </c>
    </row>
    <row r="48" spans="1:79" x14ac:dyDescent="0.3">
      <c r="A48" s="2" t="s">
        <v>10</v>
      </c>
      <c r="B48" s="13" t="s">
        <v>695</v>
      </c>
      <c r="C48" s="13"/>
      <c r="D48" s="2">
        <v>3.9</v>
      </c>
      <c r="E48" s="2" t="s">
        <v>453</v>
      </c>
      <c r="F48" s="9" t="s">
        <v>531</v>
      </c>
      <c r="G48">
        <v>-1</v>
      </c>
      <c r="I48" s="2"/>
      <c r="J48" s="25">
        <v>1</v>
      </c>
      <c r="K48">
        <v>0</v>
      </c>
      <c r="L48">
        <v>0</v>
      </c>
      <c r="M48" s="2">
        <v>3.8849999999999998</v>
      </c>
      <c r="N48" s="2">
        <v>3.8849999999999998</v>
      </c>
      <c r="O48" s="2">
        <v>11.12</v>
      </c>
      <c r="P48" s="2" t="s">
        <v>439</v>
      </c>
      <c r="Q48" s="2"/>
      <c r="R48" s="25">
        <v>3.9103940000000001</v>
      </c>
      <c r="S48" s="25">
        <v>3.9103940000000001</v>
      </c>
      <c r="T48" s="25">
        <v>11.314458</v>
      </c>
      <c r="U48">
        <v>0</v>
      </c>
      <c r="X48">
        <v>0</v>
      </c>
      <c r="AA48" s="2">
        <v>2</v>
      </c>
      <c r="AB48">
        <v>14</v>
      </c>
      <c r="AC48" s="55">
        <f t="shared" si="1"/>
        <v>167.83666199999996</v>
      </c>
      <c r="AD48" s="57">
        <v>173.0114278564659</v>
      </c>
      <c r="AE48" s="55">
        <v>0</v>
      </c>
      <c r="AF48" s="55">
        <v>0</v>
      </c>
      <c r="AG48" s="52"/>
      <c r="AH48" s="51">
        <v>8.0919510193365449E-2</v>
      </c>
      <c r="AI48" s="52"/>
      <c r="AJ48" s="52"/>
      <c r="AK48" s="28">
        <v>1.9090909090909089</v>
      </c>
      <c r="AL48" s="28">
        <v>2.545454545454545</v>
      </c>
      <c r="AM48" s="28">
        <v>0.63636363636363635</v>
      </c>
      <c r="AN48" s="28">
        <v>2.545454545454545</v>
      </c>
      <c r="AO48" s="28">
        <v>0.25</v>
      </c>
      <c r="AP48" s="28">
        <v>0.33333333333333331</v>
      </c>
      <c r="AQ48" s="28">
        <v>8.3333333333333329E-2</v>
      </c>
      <c r="AR48" s="28">
        <v>0.33333333333333331</v>
      </c>
      <c r="AS48" s="25">
        <v>0.82</v>
      </c>
      <c r="AT48" s="25">
        <v>3.44</v>
      </c>
      <c r="AU48" s="25">
        <v>2.62</v>
      </c>
      <c r="AV48" s="25">
        <v>2.6363636363636358</v>
      </c>
      <c r="AW48">
        <v>2.6363636363636371</v>
      </c>
      <c r="AX48">
        <v>6.0044088459090901</v>
      </c>
      <c r="AY48" s="75">
        <v>0.5117218936152963</v>
      </c>
      <c r="AZ48" s="75"/>
      <c r="BA48" s="75"/>
      <c r="BC48">
        <v>4.0459755096682717E-2</v>
      </c>
      <c r="BF48">
        <v>8.0919510193365449E-2</v>
      </c>
      <c r="BG48">
        <v>4.0459755096682717E-2</v>
      </c>
      <c r="BH48">
        <v>0.5117218936152963</v>
      </c>
      <c r="BI48" s="79" t="s">
        <v>1264</v>
      </c>
      <c r="BJ48" s="79">
        <v>1373</v>
      </c>
      <c r="BK48" s="79">
        <v>10</v>
      </c>
      <c r="BM48" s="79" t="s">
        <v>464</v>
      </c>
      <c r="BN48" s="79" t="s">
        <v>464</v>
      </c>
      <c r="BO48" s="79">
        <v>0</v>
      </c>
      <c r="BQ48" s="79">
        <v>1</v>
      </c>
      <c r="BR48" s="79">
        <v>0</v>
      </c>
      <c r="BS48" s="79" t="s">
        <v>464</v>
      </c>
      <c r="BT48" s="79" t="s">
        <v>464</v>
      </c>
      <c r="BU48" s="79" t="s">
        <v>1266</v>
      </c>
      <c r="BV48" s="79">
        <v>400</v>
      </c>
      <c r="BW48" s="79">
        <v>254</v>
      </c>
      <c r="BZ48" s="81">
        <v>6</v>
      </c>
      <c r="CA48">
        <f t="shared" si="2"/>
        <v>1.791759469228055</v>
      </c>
    </row>
    <row r="49" spans="1:79" x14ac:dyDescent="0.3">
      <c r="A49" s="2" t="s">
        <v>11</v>
      </c>
      <c r="B49" s="13" t="s">
        <v>696</v>
      </c>
      <c r="C49" s="13"/>
      <c r="D49" s="2">
        <v>3.6</v>
      </c>
      <c r="E49" s="2" t="s">
        <v>453</v>
      </c>
      <c r="F49" s="9">
        <v>-1</v>
      </c>
      <c r="G49">
        <v>-1</v>
      </c>
      <c r="H49" s="58" t="s">
        <v>1144</v>
      </c>
      <c r="I49" s="2"/>
      <c r="J49" s="25">
        <v>0</v>
      </c>
      <c r="K49">
        <v>0</v>
      </c>
      <c r="L49">
        <v>1</v>
      </c>
      <c r="M49" s="2"/>
      <c r="N49" s="2"/>
      <c r="O49" s="2"/>
      <c r="P49" s="2"/>
      <c r="Q49" s="2"/>
      <c r="R49" s="25">
        <v>0</v>
      </c>
      <c r="S49" s="25"/>
      <c r="T49" s="25"/>
      <c r="U49">
        <v>0</v>
      </c>
      <c r="X49">
        <v>3.8653</v>
      </c>
      <c r="Y49">
        <v>3.8653</v>
      </c>
      <c r="Z49">
        <v>11.0131</v>
      </c>
      <c r="AA49" s="2">
        <v>2</v>
      </c>
      <c r="AB49">
        <v>14</v>
      </c>
      <c r="AC49" s="55">
        <f t="shared" si="1"/>
        <v>0</v>
      </c>
      <c r="AD49" s="57">
        <v>0</v>
      </c>
      <c r="AE49" s="55">
        <v>0</v>
      </c>
      <c r="AF49" s="55">
        <v>164.541706117579</v>
      </c>
      <c r="AG49" s="52"/>
      <c r="AH49" s="51"/>
      <c r="AI49" s="52"/>
      <c r="AJ49" s="52">
        <v>8.5084811202795069E-2</v>
      </c>
      <c r="AK49" s="28">
        <v>1.9090909090909089</v>
      </c>
      <c r="AL49" s="28">
        <v>2.545454545454545</v>
      </c>
      <c r="AM49" s="28">
        <v>0.54545454545454541</v>
      </c>
      <c r="AN49" s="28">
        <v>2.8181818181818179</v>
      </c>
      <c r="AO49" s="28">
        <v>0.2441860465116279</v>
      </c>
      <c r="AP49" s="28">
        <v>0.32558139534883718</v>
      </c>
      <c r="AQ49" s="28">
        <v>6.9767441860465115E-2</v>
      </c>
      <c r="AR49" s="28">
        <v>0.3604651162790698</v>
      </c>
      <c r="AS49" s="25">
        <v>0.82</v>
      </c>
      <c r="AT49" s="25">
        <v>3.44</v>
      </c>
      <c r="AU49" s="25">
        <v>2.62</v>
      </c>
      <c r="AV49" s="25">
        <v>2.6390909090909092</v>
      </c>
      <c r="AW49">
        <v>2.6390909090909092</v>
      </c>
      <c r="AX49">
        <v>5.9791810459090904</v>
      </c>
      <c r="AY49" s="75"/>
      <c r="AZ49" s="75"/>
      <c r="BA49" s="75">
        <v>0.53381265134868672</v>
      </c>
      <c r="BE49">
        <v>4.2542405601397527E-2</v>
      </c>
      <c r="BF49">
        <v>8.5084811202795069E-2</v>
      </c>
      <c r="BG49">
        <v>4.2542405601397527E-2</v>
      </c>
      <c r="BH49">
        <v>0.53381265134868672</v>
      </c>
      <c r="BI49" s="79" t="s">
        <v>1264</v>
      </c>
      <c r="BJ49" s="79">
        <v>1373</v>
      </c>
      <c r="BK49" s="79">
        <v>10</v>
      </c>
      <c r="BM49" s="79" t="s">
        <v>464</v>
      </c>
      <c r="BN49" s="79" t="s">
        <v>464</v>
      </c>
      <c r="BO49" s="79">
        <v>0</v>
      </c>
      <c r="BQ49" s="79">
        <v>1</v>
      </c>
      <c r="BR49" s="79">
        <v>0</v>
      </c>
      <c r="BS49" s="79" t="s">
        <v>464</v>
      </c>
      <c r="BT49" s="79" t="s">
        <v>464</v>
      </c>
      <c r="BU49" s="79" t="s">
        <v>1266</v>
      </c>
      <c r="BV49" s="79">
        <v>400</v>
      </c>
      <c r="BW49" s="79">
        <v>254</v>
      </c>
      <c r="BZ49" s="81">
        <v>4.5</v>
      </c>
      <c r="CA49">
        <f t="shared" si="2"/>
        <v>1.5040773967762742</v>
      </c>
    </row>
    <row r="50" spans="1:79" x14ac:dyDescent="0.3">
      <c r="A50" s="2" t="s">
        <v>12</v>
      </c>
      <c r="B50" s="13" t="s">
        <v>697</v>
      </c>
      <c r="C50" s="13"/>
      <c r="D50" s="2">
        <v>4.2</v>
      </c>
      <c r="E50" s="2" t="s">
        <v>453</v>
      </c>
      <c r="F50" s="9">
        <v>-1</v>
      </c>
      <c r="G50">
        <v>-1</v>
      </c>
      <c r="H50" s="9" t="s">
        <v>1145</v>
      </c>
      <c r="I50" s="2"/>
      <c r="J50" s="25">
        <v>0</v>
      </c>
      <c r="K50">
        <v>0</v>
      </c>
      <c r="L50">
        <v>1</v>
      </c>
      <c r="M50" s="2"/>
      <c r="N50" s="2"/>
      <c r="O50" s="2"/>
      <c r="P50" s="2"/>
      <c r="Q50" s="2"/>
      <c r="R50" s="25">
        <v>0</v>
      </c>
      <c r="S50" s="25"/>
      <c r="T50" s="25"/>
      <c r="U50">
        <v>0</v>
      </c>
      <c r="X50">
        <v>3.8445</v>
      </c>
      <c r="Y50">
        <v>3.8445</v>
      </c>
      <c r="Z50">
        <v>11.03</v>
      </c>
      <c r="AA50" s="2">
        <v>2</v>
      </c>
      <c r="AB50">
        <v>14</v>
      </c>
      <c r="AC50" s="55">
        <f t="shared" si="1"/>
        <v>0</v>
      </c>
      <c r="AD50" s="57">
        <v>0</v>
      </c>
      <c r="AE50" s="55">
        <v>0</v>
      </c>
      <c r="AF50" s="55">
        <v>163.0253881575</v>
      </c>
      <c r="AG50" s="52"/>
      <c r="AH50" s="51"/>
      <c r="AI50" s="52"/>
      <c r="AJ50" s="52">
        <v>8.5876194856683907E-2</v>
      </c>
      <c r="AK50" s="28">
        <v>1.9090909090909089</v>
      </c>
      <c r="AL50" s="28">
        <v>2.545454545454545</v>
      </c>
      <c r="AM50" s="28">
        <v>0.54545454545454541</v>
      </c>
      <c r="AN50" s="28">
        <v>2.9090909090909092</v>
      </c>
      <c r="AO50" s="28">
        <v>0.2413793103448276</v>
      </c>
      <c r="AP50" s="28">
        <v>0.32183908045977011</v>
      </c>
      <c r="AQ50" s="28">
        <v>6.8965517241379309E-2</v>
      </c>
      <c r="AR50" s="28">
        <v>0.36781609195402298</v>
      </c>
      <c r="AS50" s="25">
        <v>0.82</v>
      </c>
      <c r="AT50" s="25">
        <v>3.44</v>
      </c>
      <c r="AU50" s="25">
        <v>2.62</v>
      </c>
      <c r="AV50" s="25">
        <v>2.64</v>
      </c>
      <c r="AW50">
        <v>2.64</v>
      </c>
      <c r="AX50">
        <v>5.9811382595454541</v>
      </c>
      <c r="AY50" s="75"/>
      <c r="AZ50" s="75"/>
      <c r="BA50" s="75">
        <v>0.53809297903977493</v>
      </c>
      <c r="BE50">
        <v>4.2938097428341947E-2</v>
      </c>
      <c r="BF50">
        <v>8.5876194856683907E-2</v>
      </c>
      <c r="BG50">
        <v>4.2938097428341947E-2</v>
      </c>
      <c r="BH50">
        <v>0.53809297903977493</v>
      </c>
      <c r="BI50" s="79" t="s">
        <v>1264</v>
      </c>
      <c r="BJ50" s="79">
        <v>1373</v>
      </c>
      <c r="BK50" s="79">
        <v>10</v>
      </c>
      <c r="BM50" s="79" t="s">
        <v>464</v>
      </c>
      <c r="BN50" s="79" t="s">
        <v>464</v>
      </c>
      <c r="BO50" s="79">
        <v>0</v>
      </c>
      <c r="BQ50" s="79">
        <v>1</v>
      </c>
      <c r="BR50" s="79">
        <v>0</v>
      </c>
      <c r="BS50" s="79" t="s">
        <v>464</v>
      </c>
      <c r="BT50" s="79" t="s">
        <v>464</v>
      </c>
      <c r="BU50" s="79" t="s">
        <v>1266</v>
      </c>
      <c r="BV50" s="79">
        <v>400</v>
      </c>
      <c r="BW50" s="79">
        <v>254</v>
      </c>
      <c r="BZ50" s="81">
        <v>235</v>
      </c>
      <c r="CA50">
        <f t="shared" si="2"/>
        <v>5.4595855141441589</v>
      </c>
    </row>
    <row r="51" spans="1:79" x14ac:dyDescent="0.3">
      <c r="A51" s="2" t="s">
        <v>13</v>
      </c>
      <c r="B51" s="13" t="s">
        <v>698</v>
      </c>
      <c r="C51" s="13"/>
      <c r="D51" s="2">
        <v>4.2</v>
      </c>
      <c r="E51" s="2" t="s">
        <v>453</v>
      </c>
      <c r="F51" s="9">
        <v>-1</v>
      </c>
      <c r="G51">
        <v>-1</v>
      </c>
      <c r="H51" t="s">
        <v>1147</v>
      </c>
      <c r="I51" s="2"/>
      <c r="J51" s="25">
        <v>0</v>
      </c>
      <c r="K51">
        <v>0</v>
      </c>
      <c r="L51">
        <v>1</v>
      </c>
      <c r="M51" s="2"/>
      <c r="O51" s="2"/>
      <c r="P51" s="2"/>
      <c r="Q51" s="2"/>
      <c r="R51" s="25">
        <v>0</v>
      </c>
      <c r="S51" s="25"/>
      <c r="T51" s="25"/>
      <c r="U51">
        <v>0</v>
      </c>
      <c r="X51">
        <v>3.8252000000000002</v>
      </c>
      <c r="Y51">
        <v>3.8252000000000002</v>
      </c>
      <c r="Z51">
        <v>11.013500000000001</v>
      </c>
      <c r="AA51" s="2">
        <v>2</v>
      </c>
      <c r="AB51">
        <v>14</v>
      </c>
      <c r="AC51" s="55">
        <f t="shared" si="1"/>
        <v>0</v>
      </c>
      <c r="AD51" s="57">
        <v>0</v>
      </c>
      <c r="AE51" s="55">
        <v>0</v>
      </c>
      <c r="AF51" s="55">
        <v>161.15123953304001</v>
      </c>
      <c r="AG51" s="52"/>
      <c r="AH51" s="51"/>
      <c r="AI51" s="52"/>
      <c r="AJ51" s="52">
        <v>8.6874913531953646E-2</v>
      </c>
      <c r="AK51" s="28">
        <v>1.9090909090909089</v>
      </c>
      <c r="AL51" s="28">
        <v>2.545454545454545</v>
      </c>
      <c r="AM51" s="28">
        <v>0.54545454545454541</v>
      </c>
      <c r="AN51" s="28">
        <v>3.0909090909090908</v>
      </c>
      <c r="AO51" s="28">
        <v>0.2359550561797753</v>
      </c>
      <c r="AP51" s="28">
        <v>0.3146067415730337</v>
      </c>
      <c r="AQ51" s="28">
        <v>6.7415730337078636E-2</v>
      </c>
      <c r="AR51" s="28">
        <v>0.38202247191011229</v>
      </c>
      <c r="AS51" s="25">
        <v>0.82</v>
      </c>
      <c r="AT51" s="25">
        <v>3.44</v>
      </c>
      <c r="AU51" s="25">
        <v>2.62</v>
      </c>
      <c r="AV51" s="25">
        <v>2.642727272727273</v>
      </c>
      <c r="AW51">
        <v>2.642727272727273</v>
      </c>
      <c r="AX51">
        <v>5.9894662913636356</v>
      </c>
      <c r="AY51" s="75"/>
      <c r="AZ51" s="75"/>
      <c r="BA51" s="75">
        <v>0.54194665977883461</v>
      </c>
      <c r="BE51">
        <v>4.3437456765976823E-2</v>
      </c>
      <c r="BF51">
        <v>8.6874913531953646E-2</v>
      </c>
      <c r="BG51">
        <v>4.3437456765976823E-2</v>
      </c>
      <c r="BH51">
        <v>0.54194665977883461</v>
      </c>
      <c r="BI51" s="79" t="s">
        <v>1264</v>
      </c>
      <c r="BJ51" s="79">
        <v>1373</v>
      </c>
      <c r="BK51" s="79">
        <v>10</v>
      </c>
      <c r="BM51" s="79" t="s">
        <v>464</v>
      </c>
      <c r="BN51" s="79" t="s">
        <v>464</v>
      </c>
      <c r="BO51" s="79">
        <v>0</v>
      </c>
      <c r="BQ51" s="79">
        <v>1</v>
      </c>
      <c r="BR51" s="79">
        <v>0</v>
      </c>
      <c r="BS51" s="79" t="s">
        <v>464</v>
      </c>
      <c r="BT51" s="79" t="s">
        <v>464</v>
      </c>
      <c r="BU51" s="79" t="s">
        <v>1266</v>
      </c>
      <c r="BV51" s="79">
        <v>400</v>
      </c>
      <c r="BW51" s="79">
        <v>254</v>
      </c>
      <c r="BZ51" s="81">
        <v>53</v>
      </c>
      <c r="CA51">
        <f t="shared" si="2"/>
        <v>3.970291913552122</v>
      </c>
    </row>
    <row r="52" spans="1:79" x14ac:dyDescent="0.3">
      <c r="A52" s="2" t="s">
        <v>10</v>
      </c>
      <c r="B52" s="13" t="s">
        <v>695</v>
      </c>
      <c r="C52" s="13"/>
      <c r="D52" s="2">
        <v>3.9</v>
      </c>
      <c r="E52" s="2" t="s">
        <v>453</v>
      </c>
      <c r="F52" s="9" t="s">
        <v>531</v>
      </c>
      <c r="G52">
        <v>-1</v>
      </c>
      <c r="I52" s="2"/>
      <c r="J52" s="25">
        <v>1</v>
      </c>
      <c r="K52">
        <v>0</v>
      </c>
      <c r="L52">
        <v>0</v>
      </c>
      <c r="M52" s="2">
        <v>3.8849999999999998</v>
      </c>
      <c r="N52" s="2">
        <v>3.8849999999999998</v>
      </c>
      <c r="O52" s="2">
        <v>11.12</v>
      </c>
      <c r="P52" s="2" t="s">
        <v>439</v>
      </c>
      <c r="Q52" s="2"/>
      <c r="R52" s="25">
        <v>3.9103940000000001</v>
      </c>
      <c r="S52" s="25">
        <v>3.9103940000000001</v>
      </c>
      <c r="T52" s="25">
        <v>11.314458</v>
      </c>
      <c r="U52">
        <v>0</v>
      </c>
      <c r="X52">
        <v>0</v>
      </c>
      <c r="AA52" s="2">
        <v>2</v>
      </c>
      <c r="AB52">
        <v>14</v>
      </c>
      <c r="AC52" s="55">
        <f t="shared" ref="AC52:AC55" si="8">M52*N52*O52</f>
        <v>167.83666199999996</v>
      </c>
      <c r="AD52" s="57">
        <v>173.0114278564659</v>
      </c>
      <c r="AE52" s="55">
        <v>0</v>
      </c>
      <c r="AF52" s="55">
        <v>0</v>
      </c>
      <c r="AG52" s="52"/>
      <c r="AH52" s="51">
        <v>8.0919510193365449E-2</v>
      </c>
      <c r="AI52" s="52"/>
      <c r="AJ52" s="52"/>
      <c r="AK52" s="28">
        <v>1.9090909090909089</v>
      </c>
      <c r="AL52" s="28">
        <v>2.545454545454545</v>
      </c>
      <c r="AM52" s="28">
        <v>0.63636363636363635</v>
      </c>
      <c r="AN52" s="28">
        <v>2.545454545454545</v>
      </c>
      <c r="AO52" s="28">
        <v>0.25</v>
      </c>
      <c r="AP52" s="28">
        <v>0.33333333333333331</v>
      </c>
      <c r="AQ52" s="28">
        <v>8.3333333333333329E-2</v>
      </c>
      <c r="AR52" s="28">
        <v>0.33333333333333331</v>
      </c>
      <c r="AS52" s="25">
        <v>0.82</v>
      </c>
      <c r="AT52" s="25">
        <v>3.44</v>
      </c>
      <c r="AU52" s="25">
        <v>2.62</v>
      </c>
      <c r="AV52" s="25">
        <v>2.6363636363636358</v>
      </c>
      <c r="AW52">
        <v>2.6363636363636371</v>
      </c>
      <c r="AX52">
        <v>6.0044088459090901</v>
      </c>
      <c r="AY52" s="75">
        <v>0.5117218936152963</v>
      </c>
      <c r="AZ52" s="75"/>
      <c r="BA52" s="75"/>
      <c r="BC52">
        <v>4.0459755096682717E-2</v>
      </c>
      <c r="BF52">
        <v>8.0919510193365449E-2</v>
      </c>
      <c r="BG52">
        <v>4.0459755096682717E-2</v>
      </c>
      <c r="BH52">
        <v>0.5117218936152963</v>
      </c>
      <c r="BI52" s="79" t="s">
        <v>1264</v>
      </c>
      <c r="BJ52" s="79">
        <v>1373</v>
      </c>
      <c r="BK52" s="79">
        <v>10</v>
      </c>
      <c r="BM52" s="79" t="s">
        <v>464</v>
      </c>
      <c r="BN52" s="79" t="s">
        <v>464</v>
      </c>
      <c r="BO52" s="79">
        <v>0</v>
      </c>
      <c r="BQ52" s="79">
        <v>1</v>
      </c>
      <c r="BR52" s="79">
        <v>16</v>
      </c>
      <c r="BS52" s="79" t="s">
        <v>464</v>
      </c>
      <c r="BT52" s="79" t="s">
        <v>464</v>
      </c>
      <c r="BU52" s="79" t="s">
        <v>1266</v>
      </c>
      <c r="BV52" s="79">
        <v>400</v>
      </c>
      <c r="BW52" s="79">
        <v>280</v>
      </c>
      <c r="BZ52" s="81">
        <v>15.5</v>
      </c>
      <c r="CA52">
        <f t="shared" si="2"/>
        <v>2.7408400239252009</v>
      </c>
    </row>
    <row r="53" spans="1:79" x14ac:dyDescent="0.3">
      <c r="A53" s="2" t="s">
        <v>11</v>
      </c>
      <c r="B53" s="13" t="s">
        <v>696</v>
      </c>
      <c r="C53" s="13"/>
      <c r="D53" s="2">
        <v>3.6</v>
      </c>
      <c r="E53" s="2" t="s">
        <v>453</v>
      </c>
      <c r="F53" s="9">
        <v>-1</v>
      </c>
      <c r="G53">
        <v>-1</v>
      </c>
      <c r="H53" s="58" t="s">
        <v>1144</v>
      </c>
      <c r="I53" s="2"/>
      <c r="J53" s="25">
        <v>0</v>
      </c>
      <c r="K53">
        <v>0</v>
      </c>
      <c r="L53">
        <v>1</v>
      </c>
      <c r="M53" s="2"/>
      <c r="N53" s="2"/>
      <c r="O53" s="2"/>
      <c r="P53" s="2"/>
      <c r="Q53" s="2"/>
      <c r="R53" s="25">
        <v>0</v>
      </c>
      <c r="S53" s="25"/>
      <c r="T53" s="25"/>
      <c r="U53">
        <v>0</v>
      </c>
      <c r="X53">
        <v>3.8653</v>
      </c>
      <c r="Y53">
        <v>3.8653</v>
      </c>
      <c r="Z53">
        <v>11.0131</v>
      </c>
      <c r="AA53" s="2">
        <v>2</v>
      </c>
      <c r="AB53">
        <v>14</v>
      </c>
      <c r="AC53" s="55">
        <f t="shared" si="8"/>
        <v>0</v>
      </c>
      <c r="AD53" s="57">
        <v>0</v>
      </c>
      <c r="AE53" s="55">
        <v>0</v>
      </c>
      <c r="AF53" s="55">
        <v>164.541706117579</v>
      </c>
      <c r="AG53" s="52"/>
      <c r="AH53" s="51"/>
      <c r="AI53" s="52"/>
      <c r="AJ53" s="52">
        <v>8.5084811202795069E-2</v>
      </c>
      <c r="AK53" s="28">
        <v>1.9090909090909089</v>
      </c>
      <c r="AL53" s="28">
        <v>2.545454545454545</v>
      </c>
      <c r="AM53" s="28">
        <v>0.54545454545454541</v>
      </c>
      <c r="AN53" s="28">
        <v>2.8181818181818179</v>
      </c>
      <c r="AO53" s="28">
        <v>0.2441860465116279</v>
      </c>
      <c r="AP53" s="28">
        <v>0.32558139534883718</v>
      </c>
      <c r="AQ53" s="28">
        <v>6.9767441860465115E-2</v>
      </c>
      <c r="AR53" s="28">
        <v>0.3604651162790698</v>
      </c>
      <c r="AS53" s="25">
        <v>0.82</v>
      </c>
      <c r="AT53" s="25">
        <v>3.44</v>
      </c>
      <c r="AU53" s="25">
        <v>2.62</v>
      </c>
      <c r="AV53" s="25">
        <v>2.6390909090909092</v>
      </c>
      <c r="AW53">
        <v>2.6390909090909092</v>
      </c>
      <c r="AX53">
        <v>5.9791810459090904</v>
      </c>
      <c r="AY53" s="75"/>
      <c r="AZ53" s="75"/>
      <c r="BA53" s="75">
        <v>0.53381265134868672</v>
      </c>
      <c r="BE53">
        <v>4.2542405601397527E-2</v>
      </c>
      <c r="BF53">
        <v>8.5084811202795069E-2</v>
      </c>
      <c r="BG53">
        <v>4.2542405601397527E-2</v>
      </c>
      <c r="BH53">
        <v>0.53381265134868672</v>
      </c>
      <c r="BI53" s="79" t="s">
        <v>1264</v>
      </c>
      <c r="BJ53" s="79">
        <v>1373</v>
      </c>
      <c r="BK53" s="79">
        <v>10</v>
      </c>
      <c r="BM53" s="79" t="s">
        <v>464</v>
      </c>
      <c r="BN53" s="79" t="s">
        <v>464</v>
      </c>
      <c r="BO53" s="79">
        <v>0</v>
      </c>
      <c r="BQ53" s="79">
        <v>1</v>
      </c>
      <c r="BR53" s="79">
        <v>16</v>
      </c>
      <c r="BS53" s="79" t="s">
        <v>464</v>
      </c>
      <c r="BT53" s="79" t="s">
        <v>464</v>
      </c>
      <c r="BU53" s="79" t="s">
        <v>1266</v>
      </c>
      <c r="BV53" s="79">
        <v>400</v>
      </c>
      <c r="BW53" s="79">
        <v>280</v>
      </c>
      <c r="BZ53" s="81">
        <v>0.25</v>
      </c>
      <c r="CA53">
        <f t="shared" si="2"/>
        <v>-1.3862943611198906</v>
      </c>
    </row>
    <row r="54" spans="1:79" x14ac:dyDescent="0.3">
      <c r="A54" s="2" t="s">
        <v>12</v>
      </c>
      <c r="B54" s="13" t="s">
        <v>697</v>
      </c>
      <c r="C54" s="13"/>
      <c r="D54" s="2">
        <v>4.2</v>
      </c>
      <c r="E54" s="2" t="s">
        <v>453</v>
      </c>
      <c r="F54" s="9">
        <v>-1</v>
      </c>
      <c r="G54">
        <v>-1</v>
      </c>
      <c r="H54" s="9" t="s">
        <v>1145</v>
      </c>
      <c r="I54" s="2"/>
      <c r="J54" s="25">
        <v>0</v>
      </c>
      <c r="K54">
        <v>0</v>
      </c>
      <c r="L54">
        <v>1</v>
      </c>
      <c r="M54" s="2"/>
      <c r="N54" s="2"/>
      <c r="O54" s="2"/>
      <c r="P54" s="2"/>
      <c r="Q54" s="2"/>
      <c r="R54" s="25">
        <v>0</v>
      </c>
      <c r="S54" s="25"/>
      <c r="T54" s="25"/>
      <c r="U54">
        <v>0</v>
      </c>
      <c r="X54">
        <v>3.8445</v>
      </c>
      <c r="Y54">
        <v>3.8445</v>
      </c>
      <c r="Z54">
        <v>11.03</v>
      </c>
      <c r="AA54" s="2">
        <v>2</v>
      </c>
      <c r="AB54">
        <v>14</v>
      </c>
      <c r="AC54" s="55">
        <f t="shared" si="8"/>
        <v>0</v>
      </c>
      <c r="AD54" s="57">
        <v>0</v>
      </c>
      <c r="AE54" s="55">
        <v>0</v>
      </c>
      <c r="AF54" s="55">
        <v>163.0253881575</v>
      </c>
      <c r="AG54" s="52"/>
      <c r="AH54" s="51"/>
      <c r="AI54" s="52"/>
      <c r="AJ54" s="52">
        <v>8.5876194856683907E-2</v>
      </c>
      <c r="AK54" s="28">
        <v>1.9090909090909089</v>
      </c>
      <c r="AL54" s="28">
        <v>2.545454545454545</v>
      </c>
      <c r="AM54" s="28">
        <v>0.54545454545454541</v>
      </c>
      <c r="AN54" s="28">
        <v>2.9090909090909092</v>
      </c>
      <c r="AO54" s="28">
        <v>0.2413793103448276</v>
      </c>
      <c r="AP54" s="28">
        <v>0.32183908045977011</v>
      </c>
      <c r="AQ54" s="28">
        <v>6.8965517241379309E-2</v>
      </c>
      <c r="AR54" s="28">
        <v>0.36781609195402298</v>
      </c>
      <c r="AS54" s="25">
        <v>0.82</v>
      </c>
      <c r="AT54" s="25">
        <v>3.44</v>
      </c>
      <c r="AU54" s="25">
        <v>2.62</v>
      </c>
      <c r="AV54" s="25">
        <v>2.64</v>
      </c>
      <c r="AW54">
        <v>2.64</v>
      </c>
      <c r="AX54">
        <v>5.9811382595454541</v>
      </c>
      <c r="AY54" s="75"/>
      <c r="AZ54" s="75"/>
      <c r="BA54" s="75">
        <v>0.53809297903977493</v>
      </c>
      <c r="BE54">
        <v>4.2938097428341947E-2</v>
      </c>
      <c r="BF54">
        <v>8.5876194856683907E-2</v>
      </c>
      <c r="BG54">
        <v>4.2938097428341947E-2</v>
      </c>
      <c r="BH54">
        <v>0.53809297903977493</v>
      </c>
      <c r="BI54" s="79" t="s">
        <v>1264</v>
      </c>
      <c r="BJ54" s="79">
        <v>1373</v>
      </c>
      <c r="BK54" s="79">
        <v>10</v>
      </c>
      <c r="BM54" s="79" t="s">
        <v>464</v>
      </c>
      <c r="BN54" s="79" t="s">
        <v>464</v>
      </c>
      <c r="BO54" s="79">
        <v>0</v>
      </c>
      <c r="BQ54" s="79">
        <v>1</v>
      </c>
      <c r="BR54" s="79">
        <v>16</v>
      </c>
      <c r="BS54" s="79" t="s">
        <v>464</v>
      </c>
      <c r="BT54" s="79" t="s">
        <v>464</v>
      </c>
      <c r="BU54" s="79" t="s">
        <v>1266</v>
      </c>
      <c r="BV54" s="79">
        <v>400</v>
      </c>
      <c r="BW54" s="79">
        <v>280</v>
      </c>
      <c r="BZ54" s="81">
        <v>1.8499999999999999</v>
      </c>
      <c r="CA54">
        <f t="shared" si="2"/>
        <v>0.61518563909023338</v>
      </c>
    </row>
    <row r="55" spans="1:79" x14ac:dyDescent="0.3">
      <c r="A55" s="2" t="s">
        <v>13</v>
      </c>
      <c r="B55" s="13" t="s">
        <v>698</v>
      </c>
      <c r="C55" s="13"/>
      <c r="D55" s="2">
        <v>4.2</v>
      </c>
      <c r="E55" s="2" t="s">
        <v>453</v>
      </c>
      <c r="F55" s="9">
        <v>-1</v>
      </c>
      <c r="G55">
        <v>-1</v>
      </c>
      <c r="H55" t="s">
        <v>1147</v>
      </c>
      <c r="I55" s="2"/>
      <c r="J55" s="25">
        <v>0</v>
      </c>
      <c r="K55">
        <v>0</v>
      </c>
      <c r="L55">
        <v>1</v>
      </c>
      <c r="M55" s="2"/>
      <c r="O55" s="2"/>
      <c r="P55" s="2"/>
      <c r="Q55" s="2"/>
      <c r="R55" s="25">
        <v>0</v>
      </c>
      <c r="S55" s="25"/>
      <c r="T55" s="25"/>
      <c r="U55">
        <v>0</v>
      </c>
      <c r="X55">
        <v>3.8252000000000002</v>
      </c>
      <c r="Y55">
        <v>3.8252000000000002</v>
      </c>
      <c r="Z55">
        <v>11.013500000000001</v>
      </c>
      <c r="AA55" s="2">
        <v>2</v>
      </c>
      <c r="AB55">
        <v>14</v>
      </c>
      <c r="AC55" s="55">
        <f t="shared" si="8"/>
        <v>0</v>
      </c>
      <c r="AD55" s="57">
        <v>0</v>
      </c>
      <c r="AE55" s="55">
        <v>0</v>
      </c>
      <c r="AF55" s="55">
        <v>161.15123953304001</v>
      </c>
      <c r="AG55" s="52"/>
      <c r="AH55" s="51"/>
      <c r="AI55" s="52"/>
      <c r="AJ55" s="52">
        <v>8.6874913531953646E-2</v>
      </c>
      <c r="AK55" s="28">
        <v>1.9090909090909089</v>
      </c>
      <c r="AL55" s="28">
        <v>2.545454545454545</v>
      </c>
      <c r="AM55" s="28">
        <v>0.54545454545454541</v>
      </c>
      <c r="AN55" s="28">
        <v>3.0909090909090908</v>
      </c>
      <c r="AO55" s="28">
        <v>0.2359550561797753</v>
      </c>
      <c r="AP55" s="28">
        <v>0.3146067415730337</v>
      </c>
      <c r="AQ55" s="28">
        <v>6.7415730337078636E-2</v>
      </c>
      <c r="AR55" s="28">
        <v>0.38202247191011229</v>
      </c>
      <c r="AS55" s="25">
        <v>0.82</v>
      </c>
      <c r="AT55" s="25">
        <v>3.44</v>
      </c>
      <c r="AU55" s="25">
        <v>2.62</v>
      </c>
      <c r="AV55" s="25">
        <v>2.642727272727273</v>
      </c>
      <c r="AW55">
        <v>2.642727272727273</v>
      </c>
      <c r="AX55">
        <v>5.9894662913636356</v>
      </c>
      <c r="AY55" s="75"/>
      <c r="AZ55" s="75"/>
      <c r="BA55" s="75">
        <v>0.54194665977883461</v>
      </c>
      <c r="BE55">
        <v>4.3437456765976823E-2</v>
      </c>
      <c r="BF55">
        <v>8.6874913531953646E-2</v>
      </c>
      <c r="BG55">
        <v>4.3437456765976823E-2</v>
      </c>
      <c r="BH55">
        <v>0.54194665977883461</v>
      </c>
      <c r="BI55" s="79" t="s">
        <v>1264</v>
      </c>
      <c r="BJ55" s="79">
        <v>1373</v>
      </c>
      <c r="BK55" s="79">
        <v>10</v>
      </c>
      <c r="BM55" s="79" t="s">
        <v>464</v>
      </c>
      <c r="BN55" s="79" t="s">
        <v>464</v>
      </c>
      <c r="BO55" s="79">
        <v>0</v>
      </c>
      <c r="BQ55" s="79">
        <v>1</v>
      </c>
      <c r="BR55" s="79">
        <v>16</v>
      </c>
      <c r="BS55" s="79" t="s">
        <v>464</v>
      </c>
      <c r="BT55" s="79" t="s">
        <v>464</v>
      </c>
      <c r="BU55" s="79" t="s">
        <v>1266</v>
      </c>
      <c r="BV55" s="79">
        <v>400</v>
      </c>
      <c r="BW55" s="79">
        <v>280</v>
      </c>
      <c r="BZ55" s="81">
        <v>1.8499999999999999</v>
      </c>
      <c r="CA55">
        <f t="shared" si="2"/>
        <v>0.61518563909023338</v>
      </c>
    </row>
    <row r="56" spans="1:79" x14ac:dyDescent="0.3">
      <c r="A56" s="2" t="s">
        <v>8</v>
      </c>
      <c r="B56" s="13" t="s">
        <v>694</v>
      </c>
      <c r="C56" s="13"/>
      <c r="D56" s="2">
        <v>3</v>
      </c>
      <c r="E56" s="2" t="s">
        <v>454</v>
      </c>
      <c r="F56" s="9" t="s">
        <v>530</v>
      </c>
      <c r="G56" t="s">
        <v>612</v>
      </c>
      <c r="I56" s="2"/>
      <c r="J56" s="25"/>
      <c r="M56" s="2"/>
      <c r="N56" s="2"/>
      <c r="O56" s="2"/>
      <c r="P56" s="2"/>
      <c r="Q56" s="2"/>
      <c r="R56" s="25"/>
      <c r="S56" s="25"/>
      <c r="T56" s="25"/>
      <c r="AA56" s="2"/>
      <c r="AC56" s="55"/>
      <c r="AD56" s="57"/>
      <c r="AE56" s="55"/>
      <c r="AF56" s="55"/>
      <c r="AG56" s="52"/>
      <c r="AH56" s="51"/>
      <c r="AI56" s="52"/>
      <c r="AJ56" s="52"/>
      <c r="AK56" s="28"/>
      <c r="AL56" s="28"/>
      <c r="AM56" s="28"/>
      <c r="AN56" s="28"/>
      <c r="AO56" s="28"/>
      <c r="AP56" s="28"/>
      <c r="AQ56" s="28"/>
      <c r="AR56" s="28"/>
      <c r="AS56" s="25"/>
      <c r="AT56" s="25"/>
      <c r="AU56" s="25"/>
      <c r="AV56" s="25"/>
      <c r="AY56" s="75"/>
      <c r="AZ56" s="75"/>
      <c r="BA56" s="75"/>
      <c r="BM56" s="79" t="s">
        <v>1268</v>
      </c>
      <c r="BN56" s="79" t="s">
        <v>863</v>
      </c>
      <c r="BO56" s="79">
        <v>0.1</v>
      </c>
      <c r="BP56" s="79">
        <v>42.7</v>
      </c>
      <c r="BQ56" s="79">
        <v>1</v>
      </c>
      <c r="BR56" s="79">
        <v>0</v>
      </c>
      <c r="BS56" s="79" t="s">
        <v>464</v>
      </c>
      <c r="BT56" s="79" t="s">
        <v>464</v>
      </c>
      <c r="BU56" s="79" t="s">
        <v>1266</v>
      </c>
      <c r="BV56" s="79">
        <v>400</v>
      </c>
      <c r="BW56" s="79">
        <v>254</v>
      </c>
      <c r="BZ56" s="81">
        <v>0.3</v>
      </c>
      <c r="CA56">
        <f t="shared" si="2"/>
        <v>-1.2039728043259361</v>
      </c>
    </row>
    <row r="57" spans="1:79" x14ac:dyDescent="0.3">
      <c r="A57" s="5" t="s">
        <v>14</v>
      </c>
      <c r="B57" s="39" t="s">
        <v>699</v>
      </c>
      <c r="C57" s="39"/>
      <c r="D57" s="5">
        <v>4</v>
      </c>
      <c r="E57" s="5" t="s">
        <v>9</v>
      </c>
      <c r="F57" s="89" t="s">
        <v>532</v>
      </c>
      <c r="G57" s="5" t="s">
        <v>613</v>
      </c>
      <c r="H57" s="5"/>
      <c r="I57" s="5"/>
      <c r="J57" s="41">
        <v>4</v>
      </c>
      <c r="K57" s="5">
        <v>4</v>
      </c>
      <c r="L57" s="5">
        <v>0</v>
      </c>
      <c r="M57" s="5"/>
      <c r="N57" s="5"/>
      <c r="O57" s="5"/>
      <c r="P57" s="5"/>
      <c r="Q57" s="5"/>
      <c r="R57" s="41">
        <v>7.8568680000000004</v>
      </c>
      <c r="S57" s="41">
        <v>7.8568680000000004</v>
      </c>
      <c r="T57" s="41">
        <v>7.8568680000000004</v>
      </c>
      <c r="U57" s="5">
        <v>7.78</v>
      </c>
      <c r="V57" s="5">
        <v>7.78</v>
      </c>
      <c r="W57" s="5">
        <v>7.78</v>
      </c>
      <c r="X57" s="5">
        <v>0</v>
      </c>
      <c r="Y57" s="5"/>
      <c r="Z57" s="5"/>
      <c r="AA57" s="5"/>
      <c r="AB57" s="5">
        <v>12</v>
      </c>
      <c r="AC57" s="5">
        <f t="shared" si="1"/>
        <v>0</v>
      </c>
      <c r="AD57" s="41">
        <v>485.00740615389492</v>
      </c>
      <c r="AE57" s="5">
        <v>470.91095200000012</v>
      </c>
      <c r="AF57" s="5">
        <v>0</v>
      </c>
      <c r="AG57" s="5"/>
      <c r="AH57" s="41">
        <v>9.896756088868755E-2</v>
      </c>
      <c r="AI57" s="5">
        <v>0.1019300990901566</v>
      </c>
      <c r="AJ57" s="5"/>
      <c r="AK57" s="5">
        <v>2</v>
      </c>
      <c r="AL57" s="5">
        <v>2.666666666666667</v>
      </c>
      <c r="AM57" s="5">
        <v>0.66666666666666663</v>
      </c>
      <c r="AN57" s="5">
        <v>3.1111111111111112</v>
      </c>
      <c r="AO57" s="5">
        <v>0.23684210526315791</v>
      </c>
      <c r="AP57" s="5">
        <v>0.31578947368421051</v>
      </c>
      <c r="AQ57" s="5">
        <v>7.8947368421052627E-2</v>
      </c>
      <c r="AR57" s="5">
        <v>0.36842105263157893</v>
      </c>
      <c r="AS57" s="41">
        <v>1</v>
      </c>
      <c r="AT57" s="41">
        <v>3.44</v>
      </c>
      <c r="AU57" s="41">
        <v>2.44</v>
      </c>
      <c r="AV57" s="41">
        <v>2.7377777777777781</v>
      </c>
      <c r="AW57" s="5">
        <v>2.7377777777777781</v>
      </c>
      <c r="AX57" s="5">
        <v>6.2421139038888889</v>
      </c>
      <c r="AY57" s="5">
        <v>0.49860192759728061</v>
      </c>
      <c r="AZ57" s="5">
        <v>0.51352729551146459</v>
      </c>
      <c r="BA57" s="5"/>
      <c r="BB57" s="5"/>
      <c r="BC57" s="5">
        <v>4.9483780444343768E-2</v>
      </c>
      <c r="BD57" s="5">
        <v>5.0965049545078307E-2</v>
      </c>
      <c r="BE57" s="5"/>
      <c r="BF57" s="5">
        <v>0.1004488299894221</v>
      </c>
      <c r="BG57" s="5">
        <v>5.0224414994711038E-2</v>
      </c>
      <c r="BH57" s="5">
        <v>0.50606461155437255</v>
      </c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 t="s">
        <v>464</v>
      </c>
      <c r="BT57" s="84" t="s">
        <v>464</v>
      </c>
      <c r="BU57" s="84"/>
      <c r="BV57" s="84"/>
      <c r="BW57" s="84"/>
      <c r="BX57" s="84"/>
      <c r="BY57" s="84"/>
      <c r="BZ57" s="84"/>
      <c r="CA57" t="e">
        <f t="shared" si="2"/>
        <v>#NUM!</v>
      </c>
    </row>
    <row r="58" spans="1:79" x14ac:dyDescent="0.3">
      <c r="A58" s="5" t="s">
        <v>15</v>
      </c>
      <c r="B58" s="39" t="s">
        <v>700</v>
      </c>
      <c r="C58" s="39"/>
      <c r="D58" s="5">
        <v>4.4000000000000004</v>
      </c>
      <c r="E58" s="5" t="s">
        <v>9</v>
      </c>
      <c r="F58" s="40" t="s">
        <v>533</v>
      </c>
      <c r="G58" s="5" t="s">
        <v>614</v>
      </c>
      <c r="H58" s="5"/>
      <c r="I58" s="5"/>
      <c r="J58" s="41">
        <v>4</v>
      </c>
      <c r="K58" s="5">
        <v>4</v>
      </c>
      <c r="L58" s="5">
        <v>0</v>
      </c>
      <c r="M58" s="5"/>
      <c r="N58" s="5"/>
      <c r="O58" s="5"/>
      <c r="P58" s="5"/>
      <c r="Q58" s="5"/>
      <c r="R58" s="41">
        <v>5.63450966</v>
      </c>
      <c r="S58" s="41">
        <v>7.6422105</v>
      </c>
      <c r="T58" s="41">
        <v>11.066420430000001</v>
      </c>
      <c r="U58" s="5">
        <v>11.013</v>
      </c>
      <c r="V58" s="5">
        <v>7.6319999999999997</v>
      </c>
      <c r="W58" s="5">
        <v>5.6210000000000004</v>
      </c>
      <c r="X58" s="5">
        <v>0</v>
      </c>
      <c r="Y58" s="5"/>
      <c r="Z58" s="5"/>
      <c r="AA58" s="5"/>
      <c r="AB58" s="5">
        <v>12</v>
      </c>
      <c r="AC58" s="5">
        <f t="shared" si="1"/>
        <v>0</v>
      </c>
      <c r="AD58" s="41">
        <v>476.5212686940929</v>
      </c>
      <c r="AE58" s="5">
        <v>472.45188513599999</v>
      </c>
      <c r="AF58" s="5">
        <v>0</v>
      </c>
      <c r="AG58" s="5"/>
      <c r="AH58" s="41">
        <v>0.1007300264509579</v>
      </c>
      <c r="AI58" s="5">
        <v>0.1015976473163669</v>
      </c>
      <c r="AJ58" s="5"/>
      <c r="AK58" s="5">
        <v>2</v>
      </c>
      <c r="AL58" s="5">
        <v>2.666666666666667</v>
      </c>
      <c r="AM58" s="5">
        <v>0.66666666666666663</v>
      </c>
      <c r="AN58" s="5">
        <v>3.1111111111111112</v>
      </c>
      <c r="AO58" s="5">
        <v>0.23684210526315791</v>
      </c>
      <c r="AP58" s="5">
        <v>0.31578947368421051</v>
      </c>
      <c r="AQ58" s="5">
        <v>7.8947368421052627E-2</v>
      </c>
      <c r="AR58" s="5">
        <v>0.36842105263157893</v>
      </c>
      <c r="AS58" s="41">
        <v>0.95</v>
      </c>
      <c r="AT58" s="41">
        <v>3.44</v>
      </c>
      <c r="AU58" s="41">
        <v>2.4900000000000002</v>
      </c>
      <c r="AV58" s="41">
        <v>2.7322222222222221</v>
      </c>
      <c r="AW58" s="5">
        <v>2.7322222222222221</v>
      </c>
      <c r="AX58" s="5">
        <v>6.2204042916666662</v>
      </c>
      <c r="AY58" s="5">
        <v>0.5362582325986015</v>
      </c>
      <c r="AZ58" s="5">
        <v>0.54087720122437066</v>
      </c>
      <c r="BA58" s="5"/>
      <c r="BB58" s="5"/>
      <c r="BC58" s="5">
        <v>5.0365013225478962E-2</v>
      </c>
      <c r="BD58" s="5">
        <v>5.0798823658183438E-2</v>
      </c>
      <c r="BE58" s="5"/>
      <c r="BF58" s="5">
        <v>0.1011638368836624</v>
      </c>
      <c r="BG58" s="5">
        <v>5.05819184418312E-2</v>
      </c>
      <c r="BH58" s="5">
        <v>0.53856771691148608</v>
      </c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 t="s">
        <v>464</v>
      </c>
      <c r="BT58" s="84" t="s">
        <v>464</v>
      </c>
      <c r="BU58" s="84"/>
      <c r="BV58" s="84"/>
      <c r="BW58" s="84"/>
      <c r="BX58" s="84"/>
      <c r="BY58" s="84"/>
      <c r="BZ58" s="84"/>
      <c r="CA58" t="e">
        <f t="shared" si="2"/>
        <v>#NUM!</v>
      </c>
    </row>
    <row r="59" spans="1:79" x14ac:dyDescent="0.3">
      <c r="A59" s="5" t="s">
        <v>16</v>
      </c>
      <c r="B59" s="39" t="s">
        <v>701</v>
      </c>
      <c r="C59" s="39"/>
      <c r="D59" s="5">
        <v>4.0999999999999996</v>
      </c>
      <c r="E59" s="5" t="s">
        <v>9</v>
      </c>
      <c r="F59" s="40" t="s">
        <v>534</v>
      </c>
      <c r="G59" s="5" t="s">
        <v>615</v>
      </c>
      <c r="H59" s="5"/>
      <c r="I59" s="5"/>
      <c r="J59" s="41">
        <v>6</v>
      </c>
      <c r="K59" s="5">
        <v>12</v>
      </c>
      <c r="L59" s="5">
        <v>0</v>
      </c>
      <c r="M59" s="5"/>
      <c r="N59" s="5"/>
      <c r="O59" s="5"/>
      <c r="P59" s="5"/>
      <c r="Q59" s="5"/>
      <c r="R59" s="41">
        <v>9.2906580000000005</v>
      </c>
      <c r="S59" s="41">
        <v>9.8537374799999977</v>
      </c>
      <c r="T59" s="41">
        <v>14.19785074</v>
      </c>
      <c r="U59" s="5">
        <v>21.14</v>
      </c>
      <c r="V59" s="5">
        <v>21.14</v>
      </c>
      <c r="W59" s="5">
        <v>3.9169999999999998</v>
      </c>
      <c r="X59" s="5">
        <v>0</v>
      </c>
      <c r="Y59" s="5"/>
      <c r="Z59" s="5"/>
      <c r="AA59" s="5"/>
      <c r="AB59" s="5">
        <v>12</v>
      </c>
      <c r="AC59" s="5">
        <f t="shared" si="1"/>
        <v>0</v>
      </c>
      <c r="AD59" s="41">
        <v>1160.7096237378021</v>
      </c>
      <c r="AE59" s="5">
        <v>1515.9824344215051</v>
      </c>
      <c r="AF59" s="5">
        <v>0</v>
      </c>
      <c r="AG59" s="5"/>
      <c r="AH59" s="41">
        <v>6.2031018376620617E-2</v>
      </c>
      <c r="AI59" s="5">
        <v>9.4987907993109438E-2</v>
      </c>
      <c r="AJ59" s="5"/>
      <c r="AK59" s="5">
        <v>2</v>
      </c>
      <c r="AL59" s="5">
        <v>2.666666666666667</v>
      </c>
      <c r="AM59" s="5">
        <v>0.66666666666666663</v>
      </c>
      <c r="AN59" s="5">
        <v>3.1111111111111112</v>
      </c>
      <c r="AO59" s="5">
        <v>0.23684210526315791</v>
      </c>
      <c r="AP59" s="5">
        <v>0.31578947368421051</v>
      </c>
      <c r="AQ59" s="5">
        <v>7.8947368421052627E-2</v>
      </c>
      <c r="AR59" s="5">
        <v>0.36842105263157893</v>
      </c>
      <c r="AS59" s="41">
        <v>0.89</v>
      </c>
      <c r="AT59" s="41">
        <v>3.44</v>
      </c>
      <c r="AU59" s="41">
        <v>2.5499999999999998</v>
      </c>
      <c r="AV59" s="41">
        <v>2.7255555555555562</v>
      </c>
      <c r="AW59" s="5">
        <v>2.7255555555555548</v>
      </c>
      <c r="AX59" s="5">
        <v>6.1987019111111108</v>
      </c>
      <c r="AY59" s="5">
        <v>0.35206135737794247</v>
      </c>
      <c r="AZ59" s="5">
        <v>0.53911047565759851</v>
      </c>
      <c r="BA59" s="5"/>
      <c r="BB59" s="5"/>
      <c r="BC59" s="5">
        <v>3.1015509188310308E-2</v>
      </c>
      <c r="BD59" s="5">
        <v>4.7493953996554719E-2</v>
      </c>
      <c r="BE59" s="5"/>
      <c r="BF59" s="5">
        <v>7.8509463184865028E-2</v>
      </c>
      <c r="BG59" s="5">
        <v>3.9254731592432507E-2</v>
      </c>
      <c r="BH59" s="5">
        <v>0.44558591651777052</v>
      </c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 t="s">
        <v>464</v>
      </c>
      <c r="BT59" s="84" t="s">
        <v>464</v>
      </c>
      <c r="BU59" s="84"/>
      <c r="BV59" s="84"/>
      <c r="BW59" s="84"/>
      <c r="BX59" s="84"/>
      <c r="BY59" s="84"/>
      <c r="BZ59" s="84"/>
      <c r="CA59" t="e">
        <f t="shared" si="2"/>
        <v>#NUM!</v>
      </c>
    </row>
    <row r="60" spans="1:79" x14ac:dyDescent="0.3">
      <c r="A60" s="2" t="s">
        <v>17</v>
      </c>
      <c r="B60" s="13" t="s">
        <v>702</v>
      </c>
      <c r="C60" s="13"/>
      <c r="D60" s="2">
        <v>3.67</v>
      </c>
      <c r="E60" s="2" t="s">
        <v>117</v>
      </c>
      <c r="F60" s="9" t="s">
        <v>535</v>
      </c>
      <c r="G60" t="s">
        <v>616</v>
      </c>
      <c r="I60" s="2"/>
      <c r="J60" s="25">
        <v>1</v>
      </c>
      <c r="K60">
        <v>4</v>
      </c>
      <c r="L60">
        <v>0</v>
      </c>
      <c r="M60" s="2">
        <v>5.4669999999999996</v>
      </c>
      <c r="N60" s="2">
        <v>5.4269999999999996</v>
      </c>
      <c r="O60" s="2">
        <v>24.931000000000001</v>
      </c>
      <c r="P60" s="2" t="s">
        <v>450</v>
      </c>
      <c r="Q60" s="2"/>
      <c r="R60" s="25">
        <v>13.46934785</v>
      </c>
      <c r="S60" s="25">
        <v>13.46934785</v>
      </c>
      <c r="T60" s="25">
        <v>13.46934785</v>
      </c>
      <c r="U60">
        <v>5.4659000000000004</v>
      </c>
      <c r="V60">
        <v>5.4318</v>
      </c>
      <c r="W60">
        <v>24.9619</v>
      </c>
      <c r="X60">
        <v>0</v>
      </c>
      <c r="AA60" s="2">
        <v>2</v>
      </c>
      <c r="AB60">
        <v>18</v>
      </c>
      <c r="AC60" s="55">
        <f t="shared" si="1"/>
        <v>739.68803577899985</v>
      </c>
      <c r="AD60" s="57">
        <v>189.22149105491849</v>
      </c>
      <c r="AE60" s="55">
        <v>741.11071385887806</v>
      </c>
      <c r="AF60" s="55">
        <v>0</v>
      </c>
      <c r="AG60" s="52"/>
      <c r="AH60" s="51">
        <v>9.5126615373598261E-2</v>
      </c>
      <c r="AI60" s="52">
        <v>9.7151476363233638E-2</v>
      </c>
      <c r="AJ60" s="52"/>
      <c r="AK60" s="28">
        <v>2</v>
      </c>
      <c r="AL60" s="28">
        <v>3</v>
      </c>
      <c r="AM60" s="28">
        <v>1.857142857142857</v>
      </c>
      <c r="AN60" s="28">
        <v>4</v>
      </c>
      <c r="AO60" s="28">
        <v>0.18421052631578949</v>
      </c>
      <c r="AP60" s="28">
        <v>0.27631578947368418</v>
      </c>
      <c r="AQ60" s="28">
        <v>0.1710526315789474</v>
      </c>
      <c r="AR60" s="28">
        <v>0.36842105263157893</v>
      </c>
      <c r="AS60" s="25">
        <v>1</v>
      </c>
      <c r="AT60" s="25">
        <v>3.44</v>
      </c>
      <c r="AU60" s="25">
        <v>2.44</v>
      </c>
      <c r="AV60" s="25">
        <v>2.785714285714286</v>
      </c>
      <c r="AW60">
        <v>2.785714285714286</v>
      </c>
      <c r="AX60">
        <v>6.216117408214286</v>
      </c>
      <c r="AY60" s="75">
        <v>0.52325723799350143</v>
      </c>
      <c r="AZ60" s="75"/>
      <c r="BA60" s="75"/>
      <c r="BC60">
        <v>4.7563307686799138E-2</v>
      </c>
      <c r="BD60">
        <v>4.8575738181616819E-2</v>
      </c>
      <c r="BF60">
        <v>9.6139045868415957E-2</v>
      </c>
      <c r="BG60">
        <v>4.8069522934207978E-2</v>
      </c>
      <c r="BH60">
        <v>0.52325723799350143</v>
      </c>
      <c r="BI60" s="79" t="s">
        <v>1264</v>
      </c>
      <c r="BJ60" s="79">
        <v>1334</v>
      </c>
      <c r="BK60" s="79">
        <v>54</v>
      </c>
      <c r="BM60" s="79" t="s">
        <v>464</v>
      </c>
      <c r="BN60" s="79" t="s">
        <v>464</v>
      </c>
      <c r="BO60" s="79">
        <v>0</v>
      </c>
      <c r="BP60" s="79">
        <v>1.96</v>
      </c>
      <c r="BQ60" s="79">
        <v>0.5</v>
      </c>
      <c r="BR60" s="79">
        <v>12.5</v>
      </c>
      <c r="BS60" s="79" t="s">
        <v>464</v>
      </c>
      <c r="BT60" s="79" t="s">
        <v>464</v>
      </c>
      <c r="BU60" s="79" t="s">
        <v>1266</v>
      </c>
      <c r="BV60" s="79">
        <v>350</v>
      </c>
      <c r="BX60" s="79" t="s">
        <v>1287</v>
      </c>
      <c r="BZ60" s="81">
        <v>1500</v>
      </c>
      <c r="CA60">
        <f t="shared" si="2"/>
        <v>7.3132203870903014</v>
      </c>
    </row>
    <row r="61" spans="1:79" x14ac:dyDescent="0.3">
      <c r="A61" s="2" t="s">
        <v>51</v>
      </c>
      <c r="B61" s="13" t="s">
        <v>703</v>
      </c>
      <c r="C61" s="13"/>
      <c r="D61" s="2">
        <v>3.64</v>
      </c>
      <c r="E61" s="2" t="s">
        <v>117</v>
      </c>
      <c r="F61" s="9" t="s">
        <v>536</v>
      </c>
      <c r="G61" t="s">
        <v>617</v>
      </c>
      <c r="I61" s="2"/>
      <c r="J61" s="25">
        <v>1</v>
      </c>
      <c r="K61">
        <v>4</v>
      </c>
      <c r="L61">
        <v>0</v>
      </c>
      <c r="M61" s="2">
        <v>5.4729999999999999</v>
      </c>
      <c r="N61" s="2">
        <v>5.5269999999999992</v>
      </c>
      <c r="O61" s="2">
        <v>25.030999999999999</v>
      </c>
      <c r="P61" s="2" t="s">
        <v>450</v>
      </c>
      <c r="Q61" s="2"/>
      <c r="R61" s="25">
        <v>12.88926011</v>
      </c>
      <c r="S61" s="25">
        <v>12.88926011</v>
      </c>
      <c r="T61" s="25">
        <v>12.88926011</v>
      </c>
      <c r="U61">
        <v>5.5223699999999996</v>
      </c>
      <c r="V61">
        <v>5.5240799999999997</v>
      </c>
      <c r="W61">
        <v>25.026399999999999</v>
      </c>
      <c r="X61">
        <v>0</v>
      </c>
      <c r="AA61" s="2">
        <v>2</v>
      </c>
      <c r="AB61">
        <v>18</v>
      </c>
      <c r="AC61" s="55">
        <f t="shared" si="1"/>
        <v>757.16950240099993</v>
      </c>
      <c r="AD61" s="57">
        <v>195.03203980213701</v>
      </c>
      <c r="AE61" s="55">
        <v>763.45570050087724</v>
      </c>
      <c r="AF61" s="55">
        <v>0</v>
      </c>
      <c r="AG61" s="52"/>
      <c r="AH61" s="51">
        <v>9.2292528029042184E-2</v>
      </c>
      <c r="AI61" s="52">
        <v>9.4308025930991482E-2</v>
      </c>
      <c r="AJ61" s="52"/>
      <c r="AK61" s="28">
        <v>2</v>
      </c>
      <c r="AL61" s="28">
        <v>3</v>
      </c>
      <c r="AM61" s="28">
        <v>1.857142857142857</v>
      </c>
      <c r="AN61" s="28">
        <v>4</v>
      </c>
      <c r="AO61" s="28">
        <v>0.18421052631578949</v>
      </c>
      <c r="AP61" s="28">
        <v>0.27631578947368418</v>
      </c>
      <c r="AQ61" s="28">
        <v>0.1710526315789474</v>
      </c>
      <c r="AR61" s="28">
        <v>0.36842105263157893</v>
      </c>
      <c r="AS61" s="25">
        <v>0.95</v>
      </c>
      <c r="AT61" s="25">
        <v>3.44</v>
      </c>
      <c r="AU61" s="25">
        <v>2.4900000000000002</v>
      </c>
      <c r="AV61" s="25">
        <v>2.782142857142857</v>
      </c>
      <c r="AW61">
        <v>2.7821428571428579</v>
      </c>
      <c r="AX61">
        <v>6.2021612289285706</v>
      </c>
      <c r="AY61" s="75">
        <v>0.52524560229640982</v>
      </c>
      <c r="AZ61" s="75">
        <v>0.53671599358424449</v>
      </c>
      <c r="BA61" s="75"/>
      <c r="BC61">
        <v>4.6146264014521092E-2</v>
      </c>
      <c r="BD61">
        <v>4.7154012965495741E-2</v>
      </c>
      <c r="BF61">
        <v>9.3300276980016833E-2</v>
      </c>
      <c r="BG61">
        <v>4.6650138490008423E-2</v>
      </c>
      <c r="BH61">
        <v>0.53098079794032715</v>
      </c>
      <c r="BI61" s="79" t="s">
        <v>1264</v>
      </c>
      <c r="BJ61" s="79">
        <v>1334</v>
      </c>
      <c r="BK61" s="79">
        <v>54</v>
      </c>
      <c r="BM61" s="79" t="s">
        <v>464</v>
      </c>
      <c r="BN61" s="79" t="s">
        <v>464</v>
      </c>
      <c r="BO61" s="79">
        <v>0</v>
      </c>
      <c r="BP61" s="79">
        <v>2.36</v>
      </c>
      <c r="BQ61" s="79">
        <v>0.5</v>
      </c>
      <c r="BR61" s="79">
        <v>12.5</v>
      </c>
      <c r="BS61" s="79" t="s">
        <v>464</v>
      </c>
      <c r="BT61" s="79" t="s">
        <v>464</v>
      </c>
      <c r="BU61" s="79" t="s">
        <v>1266</v>
      </c>
      <c r="BV61" s="79">
        <v>350</v>
      </c>
      <c r="BX61" s="79" t="s">
        <v>1287</v>
      </c>
      <c r="BZ61" s="81">
        <v>11299.999999999998</v>
      </c>
      <c r="CA61">
        <f t="shared" si="2"/>
        <v>9.3325580047004326</v>
      </c>
    </row>
    <row r="62" spans="1:79" x14ac:dyDescent="0.3">
      <c r="A62" s="2" t="s">
        <v>18</v>
      </c>
      <c r="B62" s="13" t="s">
        <v>704</v>
      </c>
      <c r="C62" s="13"/>
      <c r="D62" s="2">
        <v>3.52</v>
      </c>
      <c r="E62" s="2" t="s">
        <v>117</v>
      </c>
      <c r="F62" s="9" t="s">
        <v>537</v>
      </c>
      <c r="G62" t="s">
        <v>618</v>
      </c>
      <c r="I62" s="2"/>
      <c r="J62" s="25">
        <v>1</v>
      </c>
      <c r="K62">
        <v>1</v>
      </c>
      <c r="L62">
        <v>0</v>
      </c>
      <c r="M62" s="2">
        <v>3.9539999999999997</v>
      </c>
      <c r="N62" s="2">
        <v>3.9539999999999997</v>
      </c>
      <c r="O62" s="2">
        <v>25.487000000000002</v>
      </c>
      <c r="P62" s="2" t="s">
        <v>440</v>
      </c>
      <c r="Q62" s="2"/>
      <c r="R62" s="25">
        <v>12.939761450000001</v>
      </c>
      <c r="S62" s="25">
        <v>12.939761450000001</v>
      </c>
      <c r="T62" s="25">
        <v>12.939761450000001</v>
      </c>
      <c r="U62">
        <v>3.9355000000000002</v>
      </c>
      <c r="V62">
        <v>3.9355000000000002</v>
      </c>
      <c r="W62">
        <v>25.5686</v>
      </c>
      <c r="X62">
        <v>0</v>
      </c>
      <c r="AA62" s="2">
        <v>2</v>
      </c>
      <c r="AB62">
        <v>18</v>
      </c>
      <c r="AC62" s="55">
        <f t="shared" si="1"/>
        <v>398.46671449199999</v>
      </c>
      <c r="AD62" s="57">
        <v>198.96095988642259</v>
      </c>
      <c r="AE62" s="55">
        <v>396.01057416815007</v>
      </c>
      <c r="AF62" s="55">
        <v>0</v>
      </c>
      <c r="AG62" s="52"/>
      <c r="AH62" s="51">
        <v>9.047000984653146E-2</v>
      </c>
      <c r="AI62" s="52">
        <v>4.5453331739462637E-2</v>
      </c>
      <c r="AJ62" s="52"/>
      <c r="AK62" s="28">
        <v>2</v>
      </c>
      <c r="AL62" s="28">
        <v>3</v>
      </c>
      <c r="AM62" s="28">
        <v>1.857142857142857</v>
      </c>
      <c r="AN62" s="28">
        <v>4</v>
      </c>
      <c r="AO62" s="28">
        <v>0.18421052631578949</v>
      </c>
      <c r="AP62" s="28">
        <v>0.27631578947368418</v>
      </c>
      <c r="AQ62" s="28">
        <v>0.1710526315789474</v>
      </c>
      <c r="AR62" s="28">
        <v>0.36842105263157893</v>
      </c>
      <c r="AS62" s="25">
        <v>0.89</v>
      </c>
      <c r="AT62" s="25">
        <v>3.44</v>
      </c>
      <c r="AU62" s="25">
        <v>2.5499999999999998</v>
      </c>
      <c r="AV62" s="25">
        <v>2.777857142857143</v>
      </c>
      <c r="AW62">
        <v>2.777857142857143</v>
      </c>
      <c r="AX62">
        <v>6.1882096985714297</v>
      </c>
      <c r="AY62" s="75">
        <v>0.53609483093200738</v>
      </c>
      <c r="AZ62" s="75"/>
      <c r="BA62" s="75"/>
      <c r="BC62">
        <v>4.5235004923265723E-2</v>
      </c>
      <c r="BD62">
        <v>2.2726665869731318E-2</v>
      </c>
      <c r="BF62">
        <v>6.7961670792997045E-2</v>
      </c>
      <c r="BG62">
        <v>3.3980835396498522E-2</v>
      </c>
      <c r="BH62">
        <v>0.53609483093200738</v>
      </c>
      <c r="BI62" s="79" t="s">
        <v>1264</v>
      </c>
      <c r="BJ62" s="79">
        <v>1273</v>
      </c>
      <c r="BK62" s="79">
        <v>72</v>
      </c>
      <c r="BM62" s="79" t="s">
        <v>464</v>
      </c>
      <c r="BN62" s="79" t="s">
        <v>464</v>
      </c>
      <c r="BO62" s="79">
        <v>0</v>
      </c>
      <c r="BP62" s="79">
        <v>2.1800000000000002</v>
      </c>
      <c r="BQ62" s="79">
        <v>0.5</v>
      </c>
      <c r="BR62" s="79">
        <v>12.5</v>
      </c>
      <c r="BS62" s="79" t="s">
        <v>464</v>
      </c>
      <c r="BT62" s="79" t="s">
        <v>464</v>
      </c>
      <c r="BU62" s="79" t="s">
        <v>1266</v>
      </c>
      <c r="BV62" s="79">
        <v>350</v>
      </c>
      <c r="BX62" s="79" t="s">
        <v>1287</v>
      </c>
      <c r="BZ62" s="81">
        <v>550</v>
      </c>
      <c r="CA62">
        <f t="shared" si="2"/>
        <v>6.3099182782265162</v>
      </c>
    </row>
    <row r="63" spans="1:79" x14ac:dyDescent="0.3">
      <c r="A63" s="2" t="s">
        <v>19</v>
      </c>
      <c r="B63" s="13" t="s">
        <v>705</v>
      </c>
      <c r="C63" s="13"/>
      <c r="D63" s="2">
        <v>3.46</v>
      </c>
      <c r="E63" s="2" t="s">
        <v>435</v>
      </c>
      <c r="F63" s="9" t="s">
        <v>538</v>
      </c>
      <c r="G63">
        <v>-1</v>
      </c>
      <c r="I63" s="2"/>
      <c r="J63" s="25">
        <v>1</v>
      </c>
      <c r="K63">
        <v>0</v>
      </c>
      <c r="L63">
        <v>0</v>
      </c>
      <c r="M63" s="2" t="s">
        <v>464</v>
      </c>
      <c r="N63" s="2" t="s">
        <v>464</v>
      </c>
      <c r="O63" s="2" t="s">
        <v>464</v>
      </c>
      <c r="P63" s="2" t="s">
        <v>450</v>
      </c>
      <c r="Q63" s="2"/>
      <c r="R63" s="25">
        <v>13.83861243</v>
      </c>
      <c r="S63" s="25">
        <v>13.83861243</v>
      </c>
      <c r="T63" s="25">
        <v>13.83861243</v>
      </c>
      <c r="U63">
        <v>0</v>
      </c>
      <c r="X63">
        <v>0</v>
      </c>
      <c r="AA63" s="2">
        <v>2</v>
      </c>
      <c r="AB63">
        <v>18</v>
      </c>
      <c r="AC63" s="55" t="e">
        <f t="shared" si="1"/>
        <v>#VALUE!</v>
      </c>
      <c r="AD63" s="57">
        <v>208.2630581553295</v>
      </c>
      <c r="AE63" s="55">
        <v>0</v>
      </c>
      <c r="AF63" s="55">
        <v>0</v>
      </c>
      <c r="AG63" s="52"/>
      <c r="AH63" s="51">
        <v>8.6429154356194082E-2</v>
      </c>
      <c r="AI63" s="52"/>
      <c r="AJ63" s="52"/>
      <c r="AK63" s="28">
        <v>1.857142857142857</v>
      </c>
      <c r="AL63" s="28">
        <v>3</v>
      </c>
      <c r="AM63" s="28">
        <v>2</v>
      </c>
      <c r="AN63" s="28">
        <v>2</v>
      </c>
      <c r="AO63" s="28">
        <v>0.20967741935483869</v>
      </c>
      <c r="AP63" s="28">
        <v>0.33870967741935482</v>
      </c>
      <c r="AQ63" s="28">
        <v>0.22580645161290319</v>
      </c>
      <c r="AR63" s="28">
        <v>0.22580645161290319</v>
      </c>
      <c r="AS63" s="25">
        <v>1</v>
      </c>
      <c r="AT63" s="25">
        <v>3.44</v>
      </c>
      <c r="AU63" s="25">
        <v>2.44</v>
      </c>
      <c r="AV63" s="25">
        <v>2.8</v>
      </c>
      <c r="AW63">
        <v>2.8</v>
      </c>
      <c r="AX63">
        <v>6.2020864082142868</v>
      </c>
      <c r="AY63" s="75">
        <v>0.47541563854575991</v>
      </c>
      <c r="AZ63" s="75"/>
      <c r="BA63" s="75"/>
      <c r="BC63">
        <v>4.3214577178097048E-2</v>
      </c>
      <c r="BF63">
        <v>8.6429154356194082E-2</v>
      </c>
      <c r="BG63">
        <v>4.3214577178097048E-2</v>
      </c>
      <c r="BH63">
        <v>0.47541563854575991</v>
      </c>
      <c r="BI63" s="79" t="s">
        <v>1264</v>
      </c>
      <c r="BJ63" s="79">
        <v>1334</v>
      </c>
      <c r="BK63" s="79">
        <v>54</v>
      </c>
      <c r="BM63" s="79" t="s">
        <v>464</v>
      </c>
      <c r="BN63" s="79" t="s">
        <v>464</v>
      </c>
      <c r="BO63" s="79">
        <v>0</v>
      </c>
      <c r="BQ63" s="79">
        <v>0.5</v>
      </c>
      <c r="BR63" s="79">
        <v>12.5</v>
      </c>
      <c r="BS63" s="79" t="s">
        <v>464</v>
      </c>
      <c r="BT63" s="79" t="s">
        <v>464</v>
      </c>
      <c r="BU63" s="79" t="s">
        <v>1266</v>
      </c>
      <c r="BV63" s="79">
        <v>350</v>
      </c>
      <c r="BX63" s="79" t="s">
        <v>1287</v>
      </c>
      <c r="BZ63" s="81">
        <v>580</v>
      </c>
      <c r="CA63">
        <f t="shared" si="2"/>
        <v>6.363028103540465</v>
      </c>
    </row>
    <row r="64" spans="1:79" x14ac:dyDescent="0.3">
      <c r="A64" s="2" t="s">
        <v>20</v>
      </c>
      <c r="B64" s="13" t="s">
        <v>706</v>
      </c>
      <c r="C64" s="13"/>
      <c r="D64" s="2">
        <v>3.43</v>
      </c>
      <c r="E64" s="2" t="s">
        <v>435</v>
      </c>
      <c r="F64" s="9" t="s">
        <v>539</v>
      </c>
      <c r="G64" t="s">
        <v>619</v>
      </c>
      <c r="I64" s="2"/>
      <c r="J64" s="25">
        <v>2</v>
      </c>
      <c r="K64">
        <v>4</v>
      </c>
      <c r="L64">
        <v>0</v>
      </c>
      <c r="M64" s="2" t="s">
        <v>464</v>
      </c>
      <c r="N64" s="2" t="s">
        <v>464</v>
      </c>
      <c r="O64" s="2" t="s">
        <v>464</v>
      </c>
      <c r="P64" s="2" t="s">
        <v>450</v>
      </c>
      <c r="Q64" s="2"/>
      <c r="R64" s="25">
        <v>13.01244535</v>
      </c>
      <c r="S64" s="25">
        <v>13.01244535</v>
      </c>
      <c r="T64" s="25">
        <v>5.6884839999999999</v>
      </c>
      <c r="U64">
        <v>5.5060000000000002</v>
      </c>
      <c r="V64">
        <v>5.5060000000000002</v>
      </c>
      <c r="W64">
        <v>25</v>
      </c>
      <c r="X64">
        <v>0</v>
      </c>
      <c r="AA64" s="2">
        <v>2</v>
      </c>
      <c r="AB64">
        <v>18</v>
      </c>
      <c r="AC64" s="55" t="e">
        <f t="shared" si="1"/>
        <v>#VALUE!</v>
      </c>
      <c r="AD64" s="57">
        <v>408.08048566890238</v>
      </c>
      <c r="AE64" s="55">
        <v>757.90090000000009</v>
      </c>
      <c r="AF64" s="55">
        <v>0</v>
      </c>
      <c r="AG64" s="52"/>
      <c r="AH64" s="51">
        <v>8.8217891480379992E-2</v>
      </c>
      <c r="AI64" s="52">
        <v>9.4999227471559922E-2</v>
      </c>
      <c r="AJ64" s="52"/>
      <c r="AK64" s="28">
        <v>1.857142857142857</v>
      </c>
      <c r="AL64" s="28">
        <v>3</v>
      </c>
      <c r="AM64" s="28">
        <v>2</v>
      </c>
      <c r="AN64" s="28">
        <v>2</v>
      </c>
      <c r="AO64" s="28">
        <v>0.20967741935483869</v>
      </c>
      <c r="AP64" s="28">
        <v>0.33870967741935482</v>
      </c>
      <c r="AQ64" s="28">
        <v>0.22580645161290319</v>
      </c>
      <c r="AR64" s="28">
        <v>0.22580645161290319</v>
      </c>
      <c r="AS64" s="25">
        <v>0.95</v>
      </c>
      <c r="AT64" s="25">
        <v>3.44</v>
      </c>
      <c r="AU64" s="25">
        <v>2.4900000000000002</v>
      </c>
      <c r="AV64" s="25">
        <v>2.7964285714285722</v>
      </c>
      <c r="AW64">
        <v>2.7964285714285722</v>
      </c>
      <c r="AX64">
        <v>6.1881302289285713</v>
      </c>
      <c r="AY64" s="75">
        <v>0.50205645606923555</v>
      </c>
      <c r="AZ64" s="75">
        <v>0.54064968764634491</v>
      </c>
      <c r="BA64" s="75"/>
      <c r="BC64">
        <v>4.4108945740190003E-2</v>
      </c>
      <c r="BD64">
        <v>4.7499613735779961E-2</v>
      </c>
      <c r="BF64">
        <v>9.1608559475969964E-2</v>
      </c>
      <c r="BG64">
        <v>4.5804279737984982E-2</v>
      </c>
      <c r="BH64">
        <v>0.52135307185779023</v>
      </c>
      <c r="BI64" s="79" t="s">
        <v>1264</v>
      </c>
      <c r="BJ64" s="79">
        <v>1334</v>
      </c>
      <c r="BK64" s="79">
        <v>54</v>
      </c>
      <c r="BM64" s="79" t="s">
        <v>464</v>
      </c>
      <c r="BN64" s="79" t="s">
        <v>464</v>
      </c>
      <c r="BO64" s="79">
        <v>0</v>
      </c>
      <c r="BQ64" s="79">
        <v>0.5</v>
      </c>
      <c r="BR64" s="79">
        <v>12.5</v>
      </c>
      <c r="BS64" s="79" t="s">
        <v>464</v>
      </c>
      <c r="BT64" s="79" t="s">
        <v>464</v>
      </c>
      <c r="BU64" s="79" t="s">
        <v>1266</v>
      </c>
      <c r="BV64" s="79">
        <v>350</v>
      </c>
      <c r="BX64" s="79" t="s">
        <v>1287</v>
      </c>
      <c r="BZ64" s="81">
        <v>3660</v>
      </c>
      <c r="CA64">
        <f t="shared" si="2"/>
        <v>8.2052184263954118</v>
      </c>
    </row>
    <row r="65" spans="1:79" x14ac:dyDescent="0.3">
      <c r="A65" s="2" t="s">
        <v>21</v>
      </c>
      <c r="B65" s="13" t="s">
        <v>707</v>
      </c>
      <c r="C65" s="13"/>
      <c r="D65" s="2">
        <v>3.3</v>
      </c>
      <c r="E65" s="2" t="s">
        <v>435</v>
      </c>
      <c r="F65" s="9" t="s">
        <v>540</v>
      </c>
      <c r="G65" t="s">
        <v>620</v>
      </c>
      <c r="I65" s="2"/>
      <c r="J65" s="25">
        <v>2</v>
      </c>
      <c r="K65">
        <v>2</v>
      </c>
      <c r="L65">
        <v>0</v>
      </c>
      <c r="M65" s="2" t="s">
        <v>464</v>
      </c>
      <c r="N65" s="2" t="s">
        <v>464</v>
      </c>
      <c r="O65" s="2" t="s">
        <v>464</v>
      </c>
      <c r="P65" s="2" t="s">
        <v>440</v>
      </c>
      <c r="Q65" s="2"/>
      <c r="R65" s="25">
        <v>13.052871550000001</v>
      </c>
      <c r="S65" s="25">
        <v>13.052871550000001</v>
      </c>
      <c r="T65" s="25">
        <v>5.7602650000000004</v>
      </c>
      <c r="U65">
        <v>3.9390000000000001</v>
      </c>
      <c r="V65">
        <v>3.9390000000000001</v>
      </c>
      <c r="W65">
        <v>25.636399999999998</v>
      </c>
      <c r="X65">
        <v>0</v>
      </c>
      <c r="AA65" s="2">
        <v>2</v>
      </c>
      <c r="AB65">
        <v>18</v>
      </c>
      <c r="AC65" s="55" t="e">
        <f t="shared" si="1"/>
        <v>#VALUE!</v>
      </c>
      <c r="AD65" s="57">
        <v>419.87909289623292</v>
      </c>
      <c r="AE65" s="55">
        <v>397.76722984439999</v>
      </c>
      <c r="AF65" s="55">
        <v>0</v>
      </c>
      <c r="AG65" s="52"/>
      <c r="AH65" s="51">
        <v>8.5738967738736363E-2</v>
      </c>
      <c r="AI65" s="52">
        <v>9.0505193235960166E-2</v>
      </c>
      <c r="AJ65" s="52"/>
      <c r="AK65" s="28">
        <v>1.857142857142857</v>
      </c>
      <c r="AL65" s="28">
        <v>3</v>
      </c>
      <c r="AM65" s="28">
        <v>2</v>
      </c>
      <c r="AN65" s="28">
        <v>2</v>
      </c>
      <c r="AO65" s="28">
        <v>0.20967741935483869</v>
      </c>
      <c r="AP65" s="28">
        <v>0.33870967741935482</v>
      </c>
      <c r="AQ65" s="28">
        <v>0.22580645161290319</v>
      </c>
      <c r="AR65" s="28">
        <v>0.22580645161290319</v>
      </c>
      <c r="AS65" s="25">
        <v>0.89</v>
      </c>
      <c r="AT65" s="25">
        <v>3.44</v>
      </c>
      <c r="AU65" s="25">
        <v>2.5499999999999998</v>
      </c>
      <c r="AV65" s="25">
        <v>2.7921428571428568</v>
      </c>
      <c r="AW65">
        <v>2.7921428571428568</v>
      </c>
      <c r="AX65">
        <v>6.1741786985714304</v>
      </c>
      <c r="AY65" s="75">
        <v>0.50806026761966716</v>
      </c>
      <c r="AZ65" s="75">
        <v>0</v>
      </c>
      <c r="BA65" s="75"/>
      <c r="BC65">
        <v>4.2869483869368182E-2</v>
      </c>
      <c r="BD65">
        <v>4.5252596617980083E-2</v>
      </c>
      <c r="BF65">
        <v>8.8122080487348264E-2</v>
      </c>
      <c r="BG65">
        <v>4.4061040243674132E-2</v>
      </c>
      <c r="BH65">
        <v>0.25403013380983358</v>
      </c>
      <c r="BI65" s="79" t="s">
        <v>1264</v>
      </c>
      <c r="BJ65" s="79">
        <v>1334</v>
      </c>
      <c r="BK65" s="79">
        <v>54</v>
      </c>
      <c r="BM65" s="79" t="s">
        <v>464</v>
      </c>
      <c r="BN65" s="79" t="s">
        <v>464</v>
      </c>
      <c r="BO65" s="79">
        <v>0</v>
      </c>
      <c r="BQ65" s="79">
        <v>0.5</v>
      </c>
      <c r="BR65" s="79">
        <v>12.5</v>
      </c>
      <c r="BS65" s="79" t="s">
        <v>464</v>
      </c>
      <c r="BT65" s="79" t="s">
        <v>464</v>
      </c>
      <c r="BU65" s="79" t="s">
        <v>1266</v>
      </c>
      <c r="BV65" s="79">
        <v>350</v>
      </c>
      <c r="BX65" s="79" t="s">
        <v>1287</v>
      </c>
      <c r="BZ65" s="81">
        <v>1130</v>
      </c>
      <c r="CA65">
        <f t="shared" si="2"/>
        <v>7.0299729117063858</v>
      </c>
    </row>
    <row r="66" spans="1:79" x14ac:dyDescent="0.3">
      <c r="A66" s="2" t="s">
        <v>22</v>
      </c>
      <c r="B66" s="13" t="s">
        <v>876</v>
      </c>
      <c r="C66" s="13"/>
      <c r="D66" s="2">
        <v>2.74</v>
      </c>
      <c r="E66" s="2" t="s">
        <v>213</v>
      </c>
      <c r="F66" s="32" t="s">
        <v>541</v>
      </c>
      <c r="G66" t="s">
        <v>621</v>
      </c>
      <c r="I66" s="2"/>
      <c r="J66" s="25">
        <v>0</v>
      </c>
      <c r="K66">
        <v>4</v>
      </c>
      <c r="L66">
        <v>0</v>
      </c>
      <c r="M66" s="2"/>
      <c r="N66" s="2"/>
      <c r="O66" s="2"/>
      <c r="P66" s="2"/>
      <c r="Q66" s="2"/>
      <c r="R66" s="25">
        <v>0</v>
      </c>
      <c r="S66" s="25"/>
      <c r="T66" s="25"/>
      <c r="U66">
        <v>5.5453000000000001</v>
      </c>
      <c r="V66">
        <v>5.5453000000000001</v>
      </c>
      <c r="W66">
        <v>25.686699999999998</v>
      </c>
      <c r="X66">
        <v>0</v>
      </c>
      <c r="AA66" s="2" t="s">
        <v>464</v>
      </c>
      <c r="AB66">
        <v>18</v>
      </c>
      <c r="AC66" s="55">
        <f t="shared" si="1"/>
        <v>0</v>
      </c>
      <c r="AD66" s="57">
        <v>0</v>
      </c>
      <c r="AE66" s="55">
        <v>789.87506903020289</v>
      </c>
      <c r="AF66" s="55">
        <v>0</v>
      </c>
      <c r="AG66" s="52"/>
      <c r="AH66" s="51"/>
      <c r="AI66" s="52">
        <v>9.1153655588092616E-2</v>
      </c>
      <c r="AJ66" s="52"/>
      <c r="AK66" s="28">
        <v>1.871428571428571</v>
      </c>
      <c r="AL66" s="28">
        <v>3.1428571428571428</v>
      </c>
      <c r="AM66" s="28">
        <v>2.714285714285714</v>
      </c>
      <c r="AN66" s="28">
        <v>3.2</v>
      </c>
      <c r="AO66" s="28">
        <v>0.17124183006535951</v>
      </c>
      <c r="AP66" s="28">
        <v>0.28758169934640521</v>
      </c>
      <c r="AQ66" s="28">
        <v>0.2483660130718954</v>
      </c>
      <c r="AR66" s="28">
        <v>0.29281045751633977</v>
      </c>
      <c r="AS66" s="25">
        <v>1.6</v>
      </c>
      <c r="AT66" s="25">
        <v>3.44</v>
      </c>
      <c r="AU66" s="25">
        <v>1.84</v>
      </c>
      <c r="AV66" s="25">
        <v>2.9058571428571431</v>
      </c>
      <c r="AW66">
        <v>2.9058571428571431</v>
      </c>
      <c r="AX66">
        <v>6.2676757950000006</v>
      </c>
      <c r="AY66" s="75">
        <v>0.51995616258071919</v>
      </c>
      <c r="AZ66" s="75">
        <v>0.51988140722208986</v>
      </c>
      <c r="BA66" s="75"/>
      <c r="BD66">
        <v>4.5576827794046308E-2</v>
      </c>
      <c r="BF66">
        <v>9.1153655588092616E-2</v>
      </c>
      <c r="BG66">
        <v>4.5576827794046308E-2</v>
      </c>
      <c r="BH66">
        <v>0.51991878490140453</v>
      </c>
      <c r="BI66" s="79" t="s">
        <v>1264</v>
      </c>
      <c r="BJ66" s="79">
        <v>1323</v>
      </c>
      <c r="BK66" s="79">
        <v>24</v>
      </c>
      <c r="BM66" s="79" t="s">
        <v>1268</v>
      </c>
      <c r="BN66" s="79" t="s">
        <v>863</v>
      </c>
      <c r="BO66" s="79">
        <v>0.1</v>
      </c>
      <c r="BQ66" s="79">
        <v>1.5</v>
      </c>
      <c r="BR66" s="79">
        <v>15</v>
      </c>
      <c r="BS66" s="79" t="s">
        <v>464</v>
      </c>
      <c r="BT66" s="79" t="s">
        <v>464</v>
      </c>
      <c r="BU66" s="79" t="s">
        <v>1271</v>
      </c>
      <c r="BV66" s="79">
        <v>450</v>
      </c>
      <c r="BW66" s="79">
        <v>420</v>
      </c>
      <c r="BZ66" s="81">
        <v>11.7</v>
      </c>
      <c r="CA66">
        <f t="shared" si="2"/>
        <v>2.4595888418037104</v>
      </c>
    </row>
    <row r="67" spans="1:79" x14ac:dyDescent="0.3">
      <c r="A67" s="2" t="s">
        <v>23</v>
      </c>
      <c r="B67" s="13" t="s">
        <v>877</v>
      </c>
      <c r="C67" s="13"/>
      <c r="D67" s="2">
        <v>2.74</v>
      </c>
      <c r="E67" s="2" t="s">
        <v>213</v>
      </c>
      <c r="F67" s="32" t="s">
        <v>541</v>
      </c>
      <c r="G67" t="s">
        <v>621</v>
      </c>
      <c r="I67" s="2"/>
      <c r="J67" s="25">
        <v>0</v>
      </c>
      <c r="K67">
        <v>4</v>
      </c>
      <c r="L67">
        <v>0</v>
      </c>
      <c r="M67" s="2"/>
      <c r="N67" s="2"/>
      <c r="O67" s="2"/>
      <c r="P67" s="2"/>
      <c r="Q67" s="2"/>
      <c r="R67" s="25">
        <v>0</v>
      </c>
      <c r="S67" s="25"/>
      <c r="T67" s="25"/>
      <c r="U67">
        <v>5.5453000000000001</v>
      </c>
      <c r="V67">
        <v>5.5453000000000001</v>
      </c>
      <c r="W67">
        <v>25.686699999999998</v>
      </c>
      <c r="X67">
        <v>0</v>
      </c>
      <c r="AA67" s="2" t="s">
        <v>464</v>
      </c>
      <c r="AB67">
        <v>18</v>
      </c>
      <c r="AC67" s="55">
        <f t="shared" si="1"/>
        <v>0</v>
      </c>
      <c r="AD67" s="57">
        <v>0</v>
      </c>
      <c r="AE67" s="55">
        <v>789.87506903020289</v>
      </c>
      <c r="AF67" s="55">
        <v>0</v>
      </c>
      <c r="AG67" s="52"/>
      <c r="AH67" s="51"/>
      <c r="AI67" s="52">
        <v>9.1153655588092616E-2</v>
      </c>
      <c r="AJ67" s="52"/>
      <c r="AK67" s="28">
        <v>1.8678571428571431</v>
      </c>
      <c r="AL67" s="28">
        <v>3.1428571428571428</v>
      </c>
      <c r="AM67" s="28">
        <v>2.714285714285714</v>
      </c>
      <c r="AN67" s="28">
        <v>3.15</v>
      </c>
      <c r="AO67" s="28">
        <v>0.1717569786535304</v>
      </c>
      <c r="AP67" s="28">
        <v>0.28899835796387519</v>
      </c>
      <c r="AQ67" s="28">
        <v>0.24958949096880129</v>
      </c>
      <c r="AR67" s="28">
        <v>0.28965517241379313</v>
      </c>
      <c r="AS67" s="25">
        <v>1.6</v>
      </c>
      <c r="AT67" s="25">
        <v>3.44</v>
      </c>
      <c r="AU67" s="25">
        <v>1.84</v>
      </c>
      <c r="AV67" s="25">
        <v>2.903142857142857</v>
      </c>
      <c r="AW67">
        <v>2.903142857142857</v>
      </c>
      <c r="AX67">
        <v>6.2658828646428582</v>
      </c>
      <c r="AY67" s="75">
        <v>0.51995616258071919</v>
      </c>
      <c r="AZ67" s="75">
        <v>0.51988140722208986</v>
      </c>
      <c r="BA67" s="75"/>
      <c r="BD67">
        <v>4.5576827794046308E-2</v>
      </c>
      <c r="BF67">
        <v>9.1153655588092616E-2</v>
      </c>
      <c r="BG67">
        <v>4.5576827794046308E-2</v>
      </c>
      <c r="BH67">
        <v>0.51991878490140453</v>
      </c>
      <c r="BI67" s="79" t="s">
        <v>1264</v>
      </c>
      <c r="BJ67" s="79">
        <v>1323</v>
      </c>
      <c r="BK67" s="79">
        <v>24</v>
      </c>
      <c r="BM67" s="79" t="s">
        <v>1268</v>
      </c>
      <c r="BN67" s="79" t="s">
        <v>863</v>
      </c>
      <c r="BO67" s="79">
        <v>0.1</v>
      </c>
      <c r="BQ67" s="79">
        <v>1.5</v>
      </c>
      <c r="BR67" s="79">
        <v>15</v>
      </c>
      <c r="BS67" s="79" t="s">
        <v>464</v>
      </c>
      <c r="BT67" s="79" t="s">
        <v>464</v>
      </c>
      <c r="BU67" s="79" t="s">
        <v>1271</v>
      </c>
      <c r="BV67" s="79">
        <v>450</v>
      </c>
      <c r="BW67" s="79">
        <v>420</v>
      </c>
      <c r="BZ67" s="81">
        <v>15.3</v>
      </c>
      <c r="CA67">
        <f t="shared" ref="CA67:CA130" si="9">LN(BZ67)</f>
        <v>2.7278528283983898</v>
      </c>
    </row>
    <row r="68" spans="1:79" x14ac:dyDescent="0.3">
      <c r="A68" s="2" t="s">
        <v>24</v>
      </c>
      <c r="B68" s="13" t="s">
        <v>878</v>
      </c>
      <c r="C68" s="13"/>
      <c r="D68" s="2">
        <v>2.75</v>
      </c>
      <c r="E68" s="2" t="s">
        <v>213</v>
      </c>
      <c r="F68" s="32" t="s">
        <v>541</v>
      </c>
      <c r="G68" t="s">
        <v>621</v>
      </c>
      <c r="I68" s="2"/>
      <c r="J68" s="25">
        <v>0</v>
      </c>
      <c r="K68">
        <v>4</v>
      </c>
      <c r="L68">
        <v>0</v>
      </c>
      <c r="M68" s="2"/>
      <c r="N68" s="2"/>
      <c r="O68" s="2"/>
      <c r="P68" s="2"/>
      <c r="Q68" s="2"/>
      <c r="R68" s="25">
        <v>0</v>
      </c>
      <c r="S68" s="25"/>
      <c r="T68" s="25"/>
      <c r="U68">
        <v>5.5453000000000001</v>
      </c>
      <c r="V68">
        <v>5.5453000000000001</v>
      </c>
      <c r="W68">
        <v>25.686699999999998</v>
      </c>
      <c r="X68">
        <v>0</v>
      </c>
      <c r="AA68" s="2" t="s">
        <v>464</v>
      </c>
      <c r="AB68">
        <v>18</v>
      </c>
      <c r="AC68" s="55">
        <f t="shared" si="1"/>
        <v>0</v>
      </c>
      <c r="AD68" s="57">
        <v>0</v>
      </c>
      <c r="AE68" s="55">
        <v>789.87506903020289</v>
      </c>
      <c r="AF68" s="55">
        <v>0</v>
      </c>
      <c r="AG68" s="52"/>
      <c r="AH68" s="51"/>
      <c r="AI68" s="52">
        <v>9.1153655588092616E-2</v>
      </c>
      <c r="AJ68" s="52"/>
      <c r="AK68" s="28">
        <v>1.8642857142857141</v>
      </c>
      <c r="AL68" s="28">
        <v>3.1428571428571428</v>
      </c>
      <c r="AM68" s="28">
        <v>2.714285714285714</v>
      </c>
      <c r="AN68" s="28">
        <v>3.1</v>
      </c>
      <c r="AO68" s="28">
        <v>0.17227722772277229</v>
      </c>
      <c r="AP68" s="28">
        <v>0.29042904290429039</v>
      </c>
      <c r="AQ68" s="28">
        <v>0.25082508250825092</v>
      </c>
      <c r="AR68" s="28">
        <v>0.28646864686468648</v>
      </c>
      <c r="AS68" s="25">
        <v>1.6</v>
      </c>
      <c r="AT68" s="25">
        <v>3.44</v>
      </c>
      <c r="AU68" s="25">
        <v>1.84</v>
      </c>
      <c r="AV68" s="25">
        <v>2.9004285714285709</v>
      </c>
      <c r="AW68">
        <v>2.9004285714285718</v>
      </c>
      <c r="AX68">
        <v>6.2640899342857157</v>
      </c>
      <c r="AY68" s="75">
        <v>0.51995616258071919</v>
      </c>
      <c r="AZ68" s="75">
        <v>0.51988140722208986</v>
      </c>
      <c r="BA68" s="75"/>
      <c r="BD68">
        <v>4.5576827794046308E-2</v>
      </c>
      <c r="BF68">
        <v>9.1153655588092616E-2</v>
      </c>
      <c r="BG68">
        <v>4.5576827794046308E-2</v>
      </c>
      <c r="BH68">
        <v>0.51991878490140453</v>
      </c>
      <c r="BI68" s="79" t="s">
        <v>1264</v>
      </c>
      <c r="BJ68" s="79">
        <v>1323</v>
      </c>
      <c r="BK68" s="79">
        <v>24</v>
      </c>
      <c r="BM68" s="79" t="s">
        <v>1268</v>
      </c>
      <c r="BN68" s="79" t="s">
        <v>863</v>
      </c>
      <c r="BO68" s="79">
        <v>0.1</v>
      </c>
      <c r="BQ68" s="79">
        <v>1.5</v>
      </c>
      <c r="BR68" s="79">
        <v>15</v>
      </c>
      <c r="BS68" s="79" t="s">
        <v>464</v>
      </c>
      <c r="BT68" s="79" t="s">
        <v>464</v>
      </c>
      <c r="BU68" s="79" t="s">
        <v>1271</v>
      </c>
      <c r="BV68" s="79">
        <v>450</v>
      </c>
      <c r="BW68" s="79">
        <v>420</v>
      </c>
      <c r="BZ68" s="81">
        <v>9.1</v>
      </c>
      <c r="CA68">
        <f t="shared" si="9"/>
        <v>2.2082744135228043</v>
      </c>
    </row>
    <row r="69" spans="1:79" x14ac:dyDescent="0.3">
      <c r="A69" s="2" t="s">
        <v>25</v>
      </c>
      <c r="B69" s="13" t="s">
        <v>708</v>
      </c>
      <c r="C69" s="13"/>
      <c r="D69" s="2">
        <v>2.88</v>
      </c>
      <c r="E69" s="2" t="s">
        <v>213</v>
      </c>
      <c r="F69" s="9" t="s">
        <v>541</v>
      </c>
      <c r="G69" t="s">
        <v>621</v>
      </c>
      <c r="I69" s="2"/>
      <c r="J69" s="25">
        <v>1</v>
      </c>
      <c r="K69">
        <v>4</v>
      </c>
      <c r="L69">
        <v>0</v>
      </c>
      <c r="M69" s="2">
        <v>5.4960000000000004</v>
      </c>
      <c r="N69" s="2">
        <v>5.4960000000000004</v>
      </c>
      <c r="O69" s="2">
        <v>25.55</v>
      </c>
      <c r="P69" s="2" t="s">
        <v>450</v>
      </c>
      <c r="Q69" s="2"/>
      <c r="R69" s="25">
        <v>12.868820120000001</v>
      </c>
      <c r="S69" s="25">
        <v>12.868820120000001</v>
      </c>
      <c r="T69" s="25">
        <v>12.868820120000001</v>
      </c>
      <c r="U69">
        <v>5.5453000000000001</v>
      </c>
      <c r="V69">
        <v>5.5453000000000001</v>
      </c>
      <c r="W69">
        <v>25.686699999999998</v>
      </c>
      <c r="X69">
        <v>0</v>
      </c>
      <c r="AA69" s="2">
        <v>4</v>
      </c>
      <c r="AB69">
        <v>18</v>
      </c>
      <c r="AC69" s="55">
        <f t="shared" si="1"/>
        <v>771.76370880000013</v>
      </c>
      <c r="AD69" s="57">
        <v>197.4403766939285</v>
      </c>
      <c r="AE69" s="55">
        <v>789.87506903020289</v>
      </c>
      <c r="AF69" s="55">
        <v>0</v>
      </c>
      <c r="AG69" s="52"/>
      <c r="AH69" s="51">
        <v>9.1166762854710051E-2</v>
      </c>
      <c r="AI69" s="52">
        <v>9.1153655588092616E-2</v>
      </c>
      <c r="AJ69" s="52"/>
      <c r="AK69" s="28">
        <v>1.857142857142857</v>
      </c>
      <c r="AL69" s="28">
        <v>3.1428571428571428</v>
      </c>
      <c r="AM69" s="28">
        <v>2.714285714285714</v>
      </c>
      <c r="AN69" s="28">
        <v>3</v>
      </c>
      <c r="AO69" s="28">
        <v>0.17333333333333331</v>
      </c>
      <c r="AP69" s="28">
        <v>0.29333333333333328</v>
      </c>
      <c r="AQ69" s="28">
        <v>0.25333333333333341</v>
      </c>
      <c r="AR69" s="28">
        <v>0.28000000000000003</v>
      </c>
      <c r="AS69" s="25">
        <v>1.6</v>
      </c>
      <c r="AT69" s="25">
        <v>3.44</v>
      </c>
      <c r="AU69" s="25">
        <v>1.84</v>
      </c>
      <c r="AV69" s="25">
        <v>2.895</v>
      </c>
      <c r="AW69">
        <v>2.895</v>
      </c>
      <c r="AX69">
        <v>6.260504073571429</v>
      </c>
      <c r="AY69" s="75">
        <v>0.51995616258071919</v>
      </c>
      <c r="AZ69" s="75">
        <v>0.51988140722208986</v>
      </c>
      <c r="BA69" s="75"/>
      <c r="BC69">
        <v>4.5583381427355033E-2</v>
      </c>
      <c r="BD69">
        <v>4.5576827794046308E-2</v>
      </c>
      <c r="BF69">
        <v>9.1160209221401334E-2</v>
      </c>
      <c r="BG69">
        <v>4.5580104610700667E-2</v>
      </c>
      <c r="BH69">
        <v>0.51991878490140453</v>
      </c>
      <c r="BI69" s="79" t="s">
        <v>1264</v>
      </c>
      <c r="BJ69" s="79">
        <v>1323</v>
      </c>
      <c r="BK69" s="79">
        <v>24</v>
      </c>
      <c r="BM69" s="79" t="s">
        <v>1268</v>
      </c>
      <c r="BN69" s="79" t="s">
        <v>863</v>
      </c>
      <c r="BO69" s="79">
        <v>0.1</v>
      </c>
      <c r="BQ69" s="79">
        <v>1.5</v>
      </c>
      <c r="BR69" s="79">
        <v>15</v>
      </c>
      <c r="BS69" s="79" t="s">
        <v>464</v>
      </c>
      <c r="BT69" s="79" t="s">
        <v>464</v>
      </c>
      <c r="BU69" s="79" t="s">
        <v>1271</v>
      </c>
      <c r="BV69" s="79">
        <v>450</v>
      </c>
      <c r="BW69" s="79">
        <v>420</v>
      </c>
      <c r="BZ69" s="81">
        <v>7.6</v>
      </c>
      <c r="CA69">
        <f t="shared" si="9"/>
        <v>2.0281482472922852</v>
      </c>
    </row>
    <row r="70" spans="1:79" x14ac:dyDescent="0.3">
      <c r="A70" s="2" t="s">
        <v>26</v>
      </c>
      <c r="B70" s="13" t="s">
        <v>879</v>
      </c>
      <c r="C70" s="13"/>
      <c r="D70" s="2">
        <v>2.91</v>
      </c>
      <c r="E70" s="2" t="s">
        <v>213</v>
      </c>
      <c r="F70" s="32" t="s">
        <v>541</v>
      </c>
      <c r="G70" t="s">
        <v>621</v>
      </c>
      <c r="I70" s="2"/>
      <c r="J70" s="25">
        <v>0</v>
      </c>
      <c r="K70">
        <v>4</v>
      </c>
      <c r="L70">
        <v>0</v>
      </c>
      <c r="M70" s="2"/>
      <c r="N70" s="2"/>
      <c r="O70" s="2"/>
      <c r="P70" s="2"/>
      <c r="Q70" s="2"/>
      <c r="R70" s="25">
        <v>0</v>
      </c>
      <c r="S70" s="25"/>
      <c r="T70" s="25"/>
      <c r="U70">
        <v>5.5453000000000001</v>
      </c>
      <c r="V70">
        <v>5.5453000000000001</v>
      </c>
      <c r="W70">
        <v>25.686699999999998</v>
      </c>
      <c r="X70">
        <v>0</v>
      </c>
      <c r="AA70" s="2" t="s">
        <v>464</v>
      </c>
      <c r="AB70">
        <v>18</v>
      </c>
      <c r="AC70" s="55">
        <f t="shared" si="1"/>
        <v>0</v>
      </c>
      <c r="AD70" s="57">
        <v>0</v>
      </c>
      <c r="AE70" s="55">
        <v>789.87506903020289</v>
      </c>
      <c r="AF70" s="55">
        <v>0</v>
      </c>
      <c r="AG70" s="52"/>
      <c r="AH70" s="51"/>
      <c r="AI70" s="52">
        <v>9.1153655588092616E-2</v>
      </c>
      <c r="AJ70" s="52"/>
      <c r="AK70" s="28">
        <v>1.8642857142857141</v>
      </c>
      <c r="AL70" s="28">
        <v>3.1428571428571428</v>
      </c>
      <c r="AM70" s="28">
        <v>2.7</v>
      </c>
      <c r="AN70" s="28">
        <v>3</v>
      </c>
      <c r="AO70" s="28">
        <v>0.1741160773849233</v>
      </c>
      <c r="AP70" s="28">
        <v>0.29352901934623082</v>
      </c>
      <c r="AQ70" s="28">
        <v>0.25216811207471651</v>
      </c>
      <c r="AR70" s="28">
        <v>0.28018679119412943</v>
      </c>
      <c r="AS70" s="25">
        <v>1.54</v>
      </c>
      <c r="AT70" s="25">
        <v>3.44</v>
      </c>
      <c r="AU70" s="25">
        <v>1.9</v>
      </c>
      <c r="AV70" s="25">
        <v>2.894571428571429</v>
      </c>
      <c r="AW70">
        <v>2.894571428571429</v>
      </c>
      <c r="AX70">
        <v>6.2577448164285716</v>
      </c>
      <c r="AY70" s="75">
        <v>0.51995616258071919</v>
      </c>
      <c r="AZ70" s="75">
        <v>0.51988140722208986</v>
      </c>
      <c r="BA70" s="75"/>
      <c r="BD70">
        <v>4.5576827794046308E-2</v>
      </c>
      <c r="BF70">
        <v>9.1153655588092616E-2</v>
      </c>
      <c r="BG70">
        <v>4.5576827794046308E-2</v>
      </c>
      <c r="BH70">
        <v>0.51991878490140453</v>
      </c>
      <c r="BI70" s="79" t="s">
        <v>1264</v>
      </c>
      <c r="BJ70" s="79">
        <v>1323</v>
      </c>
      <c r="BK70" s="79">
        <v>24</v>
      </c>
      <c r="BM70" s="79" t="s">
        <v>1268</v>
      </c>
      <c r="BN70" s="79" t="s">
        <v>863</v>
      </c>
      <c r="BO70" s="79">
        <v>0.1</v>
      </c>
      <c r="BQ70" s="79">
        <v>1.5</v>
      </c>
      <c r="BR70" s="79">
        <v>15</v>
      </c>
      <c r="BS70" s="79" t="s">
        <v>464</v>
      </c>
      <c r="BT70" s="79" t="s">
        <v>464</v>
      </c>
      <c r="BU70" s="79" t="s">
        <v>1271</v>
      </c>
      <c r="BV70" s="79">
        <v>450</v>
      </c>
      <c r="BW70" s="79">
        <v>420</v>
      </c>
      <c r="BZ70" s="81">
        <v>2.8</v>
      </c>
      <c r="CA70">
        <f t="shared" si="9"/>
        <v>1.0296194171811581</v>
      </c>
    </row>
    <row r="71" spans="1:79" x14ac:dyDescent="0.3">
      <c r="A71" s="2" t="s">
        <v>10</v>
      </c>
      <c r="B71" s="13" t="s">
        <v>695</v>
      </c>
      <c r="C71" s="13"/>
      <c r="D71" s="2">
        <v>3.9</v>
      </c>
      <c r="E71" s="2" t="s">
        <v>134</v>
      </c>
      <c r="F71" s="9" t="s">
        <v>531</v>
      </c>
      <c r="G71">
        <v>-1</v>
      </c>
      <c r="I71" s="2"/>
      <c r="J71" s="25">
        <v>1</v>
      </c>
      <c r="K71">
        <v>0</v>
      </c>
      <c r="L71">
        <v>0</v>
      </c>
      <c r="M71" s="2">
        <v>3.8849999999999998</v>
      </c>
      <c r="N71" s="2">
        <v>3.8849999999999998</v>
      </c>
      <c r="O71" s="2">
        <v>11.12</v>
      </c>
      <c r="P71" s="2" t="s">
        <v>439</v>
      </c>
      <c r="Q71" s="2"/>
      <c r="R71" s="25">
        <v>3.9103940000000001</v>
      </c>
      <c r="S71" s="25">
        <v>3.9103940000000001</v>
      </c>
      <c r="T71" s="25">
        <v>11.314458</v>
      </c>
      <c r="U71">
        <v>0</v>
      </c>
      <c r="X71">
        <v>0</v>
      </c>
      <c r="AA71" s="2">
        <v>2</v>
      </c>
      <c r="AB71">
        <v>14</v>
      </c>
      <c r="AC71" s="55">
        <f t="shared" si="1"/>
        <v>167.83666199999996</v>
      </c>
      <c r="AD71" s="57">
        <v>173.0114278564659</v>
      </c>
      <c r="AE71" s="55">
        <v>0</v>
      </c>
      <c r="AF71" s="55">
        <v>0</v>
      </c>
      <c r="AG71" s="52"/>
      <c r="AH71" s="51">
        <v>8.0919510193365449E-2</v>
      </c>
      <c r="AI71" s="52"/>
      <c r="AJ71" s="52"/>
      <c r="AK71" s="28">
        <v>1.9090909090909089</v>
      </c>
      <c r="AL71" s="28">
        <v>2.545454545454545</v>
      </c>
      <c r="AM71" s="28">
        <v>0.63636363636363635</v>
      </c>
      <c r="AN71" s="28">
        <v>2.545454545454545</v>
      </c>
      <c r="AO71" s="28">
        <v>0.25</v>
      </c>
      <c r="AP71" s="28">
        <v>0.33333333333333331</v>
      </c>
      <c r="AQ71" s="28">
        <v>8.3333333333333329E-2</v>
      </c>
      <c r="AR71" s="28">
        <v>0.33333333333333331</v>
      </c>
      <c r="AS71" s="25">
        <v>0.82</v>
      </c>
      <c r="AT71" s="25">
        <v>3.44</v>
      </c>
      <c r="AU71" s="25">
        <v>2.62</v>
      </c>
      <c r="AV71" s="25">
        <v>2.6363636363636358</v>
      </c>
      <c r="AW71">
        <v>2.6363636363636371</v>
      </c>
      <c r="AX71">
        <v>6.0044088459090901</v>
      </c>
      <c r="AY71" s="75">
        <v>0.5117218936152963</v>
      </c>
      <c r="AZ71" s="75"/>
      <c r="BA71" s="75"/>
      <c r="BC71">
        <v>4.0459755096682717E-2</v>
      </c>
      <c r="BF71">
        <v>8.0919510193365449E-2</v>
      </c>
      <c r="BG71">
        <v>4.0459755096682717E-2</v>
      </c>
      <c r="BH71">
        <v>0.5117218936152963</v>
      </c>
      <c r="BI71" s="79" t="s">
        <v>1264</v>
      </c>
      <c r="BJ71" s="79">
        <v>1373</v>
      </c>
      <c r="BK71" s="79">
        <v>10</v>
      </c>
      <c r="BM71" s="79" t="s">
        <v>464</v>
      </c>
      <c r="BN71" s="79" t="s">
        <v>464</v>
      </c>
      <c r="BO71" s="79">
        <v>0</v>
      </c>
      <c r="BP71" s="79" t="s">
        <v>464</v>
      </c>
      <c r="BQ71" s="79">
        <v>1</v>
      </c>
      <c r="BS71" s="79" t="s">
        <v>464</v>
      </c>
      <c r="BT71" s="79" t="s">
        <v>464</v>
      </c>
      <c r="BU71" s="79" t="s">
        <v>1266</v>
      </c>
      <c r="BV71" s="79">
        <v>400</v>
      </c>
      <c r="BX71" s="79" t="s">
        <v>1287</v>
      </c>
      <c r="BZ71" s="81">
        <v>6</v>
      </c>
      <c r="CA71">
        <f t="shared" si="9"/>
        <v>1.791759469228055</v>
      </c>
    </row>
    <row r="72" spans="1:79" x14ac:dyDescent="0.3">
      <c r="A72" s="2" t="s">
        <v>11</v>
      </c>
      <c r="B72" s="13" t="s">
        <v>696</v>
      </c>
      <c r="C72" s="13"/>
      <c r="D72" s="2">
        <v>3.5</v>
      </c>
      <c r="E72" s="2" t="s">
        <v>134</v>
      </c>
      <c r="F72" s="9">
        <v>-1</v>
      </c>
      <c r="G72">
        <v>-1</v>
      </c>
      <c r="H72" s="9" t="s">
        <v>1144</v>
      </c>
      <c r="I72" s="2"/>
      <c r="J72" s="25">
        <v>0</v>
      </c>
      <c r="K72">
        <v>0</v>
      </c>
      <c r="L72">
        <v>1</v>
      </c>
      <c r="M72" s="2">
        <v>3.8839999999999999</v>
      </c>
      <c r="N72" s="2">
        <v>3.8839999999999999</v>
      </c>
      <c r="O72" s="2">
        <v>11.12</v>
      </c>
      <c r="P72" s="2" t="s">
        <v>439</v>
      </c>
      <c r="Q72" s="2"/>
      <c r="R72" s="25">
        <v>0</v>
      </c>
      <c r="S72" s="25"/>
      <c r="T72" s="25"/>
      <c r="U72">
        <v>0</v>
      </c>
      <c r="X72">
        <v>3.8653</v>
      </c>
      <c r="Y72">
        <v>3.8653</v>
      </c>
      <c r="Z72">
        <v>11.0131</v>
      </c>
      <c r="AA72" s="2">
        <v>2</v>
      </c>
      <c r="AB72">
        <v>14</v>
      </c>
      <c r="AC72" s="55">
        <f t="shared" si="1"/>
        <v>167.75027071999997</v>
      </c>
      <c r="AD72" s="57">
        <v>0</v>
      </c>
      <c r="AE72" s="55">
        <v>0</v>
      </c>
      <c r="AF72" s="55">
        <v>164.541706117579</v>
      </c>
      <c r="AG72" s="52"/>
      <c r="AH72" s="51"/>
      <c r="AI72" s="52"/>
      <c r="AJ72" s="52">
        <v>8.5084811202795069E-2</v>
      </c>
      <c r="AK72" s="28">
        <v>1.9090909090909089</v>
      </c>
      <c r="AL72" s="28">
        <v>2.545454545454545</v>
      </c>
      <c r="AM72" s="28">
        <v>0.54545454545454541</v>
      </c>
      <c r="AN72" s="28">
        <v>2.8181818181818179</v>
      </c>
      <c r="AO72" s="28">
        <v>0.2441860465116279</v>
      </c>
      <c r="AP72" s="28">
        <v>0.32558139534883718</v>
      </c>
      <c r="AQ72" s="28">
        <v>6.9767441860465115E-2</v>
      </c>
      <c r="AR72" s="28">
        <v>0.3604651162790698</v>
      </c>
      <c r="AS72" s="25">
        <v>0.82</v>
      </c>
      <c r="AT72" s="25">
        <v>3.44</v>
      </c>
      <c r="AU72" s="25">
        <v>2.62</v>
      </c>
      <c r="AV72" s="25">
        <v>2.6390909090909092</v>
      </c>
      <c r="AW72">
        <v>2.6390909090909092</v>
      </c>
      <c r="AX72">
        <v>5.9791810459090904</v>
      </c>
      <c r="AY72" s="75"/>
      <c r="AZ72" s="75"/>
      <c r="BA72" s="75">
        <v>0.53381265134868672</v>
      </c>
      <c r="BE72">
        <v>4.2542405601397527E-2</v>
      </c>
      <c r="BF72">
        <v>8.5084811202795069E-2</v>
      </c>
      <c r="BG72">
        <v>4.2542405601397527E-2</v>
      </c>
      <c r="BH72">
        <v>0.53381265134868672</v>
      </c>
      <c r="BI72" s="79" t="s">
        <v>1264</v>
      </c>
      <c r="BJ72" s="79">
        <v>1373</v>
      </c>
      <c r="BK72" s="79">
        <v>10</v>
      </c>
      <c r="BM72" s="79" t="s">
        <v>464</v>
      </c>
      <c r="BN72" s="79" t="s">
        <v>464</v>
      </c>
      <c r="BO72" s="79">
        <v>0</v>
      </c>
      <c r="BP72" s="79" t="s">
        <v>464</v>
      </c>
      <c r="BQ72" s="79">
        <v>1</v>
      </c>
      <c r="BS72" s="79" t="s">
        <v>464</v>
      </c>
      <c r="BT72" s="79" t="s">
        <v>464</v>
      </c>
      <c r="BU72" s="79" t="s">
        <v>1266</v>
      </c>
      <c r="BV72" s="79">
        <v>400</v>
      </c>
      <c r="BX72" s="79" t="s">
        <v>1287</v>
      </c>
      <c r="BZ72" s="81">
        <v>4.5</v>
      </c>
      <c r="CA72">
        <f t="shared" si="9"/>
        <v>1.5040773967762742</v>
      </c>
    </row>
    <row r="73" spans="1:79" x14ac:dyDescent="0.3">
      <c r="A73" s="2" t="s">
        <v>12</v>
      </c>
      <c r="B73" s="13" t="s">
        <v>697</v>
      </c>
      <c r="C73" s="13"/>
      <c r="D73" s="2">
        <v>3.8</v>
      </c>
      <c r="E73" s="2" t="s">
        <v>134</v>
      </c>
      <c r="F73" s="9">
        <v>-1</v>
      </c>
      <c r="G73">
        <v>-1</v>
      </c>
      <c r="H73" s="9" t="s">
        <v>1145</v>
      </c>
      <c r="I73" s="2"/>
      <c r="J73" s="25">
        <v>0</v>
      </c>
      <c r="K73">
        <v>0</v>
      </c>
      <c r="L73">
        <v>1</v>
      </c>
      <c r="M73" s="2">
        <v>3.8460000000000001</v>
      </c>
      <c r="N73" s="2">
        <v>3.8460000000000001</v>
      </c>
      <c r="O73" s="2">
        <v>11.1</v>
      </c>
      <c r="P73" s="2" t="s">
        <v>439</v>
      </c>
      <c r="Q73" s="2"/>
      <c r="R73" s="25">
        <v>0</v>
      </c>
      <c r="S73" s="25"/>
      <c r="T73" s="25"/>
      <c r="U73">
        <v>0</v>
      </c>
      <c r="X73">
        <v>3.8445</v>
      </c>
      <c r="Y73">
        <v>3.8445</v>
      </c>
      <c r="Z73">
        <v>11.03</v>
      </c>
      <c r="AA73" s="2">
        <v>2</v>
      </c>
      <c r="AB73">
        <v>14</v>
      </c>
      <c r="AC73" s="55">
        <f t="shared" si="1"/>
        <v>164.1880476</v>
      </c>
      <c r="AD73" s="57">
        <v>0</v>
      </c>
      <c r="AE73" s="55">
        <v>0</v>
      </c>
      <c r="AF73" s="55">
        <v>163.0253881575</v>
      </c>
      <c r="AG73" s="52"/>
      <c r="AH73" s="51"/>
      <c r="AI73" s="52"/>
      <c r="AJ73" s="52">
        <v>8.5876194856683907E-2</v>
      </c>
      <c r="AK73" s="28">
        <v>1.9090909090909089</v>
      </c>
      <c r="AL73" s="28">
        <v>2.545454545454545</v>
      </c>
      <c r="AM73" s="28">
        <v>0.54545454545454541</v>
      </c>
      <c r="AN73" s="28">
        <v>2.9090909090909092</v>
      </c>
      <c r="AO73" s="28">
        <v>0.2413793103448276</v>
      </c>
      <c r="AP73" s="28">
        <v>0.32183908045977011</v>
      </c>
      <c r="AQ73" s="28">
        <v>6.8965517241379309E-2</v>
      </c>
      <c r="AR73" s="28">
        <v>0.36781609195402298</v>
      </c>
      <c r="AS73" s="25">
        <v>0.82</v>
      </c>
      <c r="AT73" s="25">
        <v>3.44</v>
      </c>
      <c r="AU73" s="25">
        <v>2.62</v>
      </c>
      <c r="AV73" s="25">
        <v>2.64</v>
      </c>
      <c r="AW73">
        <v>2.64</v>
      </c>
      <c r="AX73">
        <v>5.9811382595454541</v>
      </c>
      <c r="AY73" s="75"/>
      <c r="AZ73" s="75"/>
      <c r="BA73" s="75">
        <v>0.53809297903977493</v>
      </c>
      <c r="BE73">
        <v>4.2938097428341947E-2</v>
      </c>
      <c r="BF73">
        <v>8.5876194856683907E-2</v>
      </c>
      <c r="BG73">
        <v>4.2938097428341947E-2</v>
      </c>
      <c r="BH73">
        <v>0.53809297903977493</v>
      </c>
      <c r="BI73" s="79" t="s">
        <v>1264</v>
      </c>
      <c r="BJ73" s="79">
        <v>1373</v>
      </c>
      <c r="BK73" s="79">
        <v>10</v>
      </c>
      <c r="BM73" s="79" t="s">
        <v>464</v>
      </c>
      <c r="BN73" s="79" t="s">
        <v>464</v>
      </c>
      <c r="BO73" s="79">
        <v>0</v>
      </c>
      <c r="BP73" s="79" t="s">
        <v>464</v>
      </c>
      <c r="BQ73" s="79">
        <v>1</v>
      </c>
      <c r="BS73" s="79" t="s">
        <v>464</v>
      </c>
      <c r="BT73" s="79" t="s">
        <v>464</v>
      </c>
      <c r="BU73" s="79" t="s">
        <v>1266</v>
      </c>
      <c r="BV73" s="79">
        <v>400</v>
      </c>
      <c r="BX73" s="79" t="s">
        <v>1287</v>
      </c>
      <c r="BZ73" s="81">
        <v>235</v>
      </c>
      <c r="CA73">
        <f t="shared" si="9"/>
        <v>5.4595855141441589</v>
      </c>
    </row>
    <row r="74" spans="1:79" x14ac:dyDescent="0.3">
      <c r="A74" s="2" t="s">
        <v>13</v>
      </c>
      <c r="B74" s="13" t="s">
        <v>698</v>
      </c>
      <c r="C74" s="13"/>
      <c r="D74" s="2">
        <v>3.8</v>
      </c>
      <c r="E74" s="2" t="s">
        <v>134</v>
      </c>
      <c r="F74" s="9">
        <v>-1</v>
      </c>
      <c r="G74">
        <v>-1</v>
      </c>
      <c r="H74" t="s">
        <v>1147</v>
      </c>
      <c r="I74" s="2"/>
      <c r="J74" s="25">
        <v>0</v>
      </c>
      <c r="K74">
        <v>0</v>
      </c>
      <c r="L74">
        <v>1</v>
      </c>
      <c r="M74" s="2">
        <v>3.8420000000000001</v>
      </c>
      <c r="N74" s="2">
        <v>3.8420000000000001</v>
      </c>
      <c r="O74" s="2">
        <v>11.11</v>
      </c>
      <c r="P74" s="2" t="s">
        <v>439</v>
      </c>
      <c r="Q74" s="2"/>
      <c r="R74" s="25">
        <v>0</v>
      </c>
      <c r="S74" s="25"/>
      <c r="T74" s="25"/>
      <c r="U74">
        <v>0</v>
      </c>
      <c r="X74">
        <v>3.8252000000000002</v>
      </c>
      <c r="Y74">
        <v>3.8252000000000002</v>
      </c>
      <c r="Z74">
        <v>11.013500000000001</v>
      </c>
      <c r="AA74" s="2">
        <v>2</v>
      </c>
      <c r="AB74">
        <v>14</v>
      </c>
      <c r="AC74" s="55">
        <f t="shared" si="1"/>
        <v>163.99431004000002</v>
      </c>
      <c r="AD74" s="57">
        <v>0</v>
      </c>
      <c r="AE74" s="55">
        <v>0</v>
      </c>
      <c r="AF74" s="55">
        <v>161.15123953304001</v>
      </c>
      <c r="AG74" s="52"/>
      <c r="AH74" s="51"/>
      <c r="AI74" s="52"/>
      <c r="AJ74" s="52">
        <v>8.6874913531953646E-2</v>
      </c>
      <c r="AK74" s="28">
        <v>1.9090909090909089</v>
      </c>
      <c r="AL74" s="28">
        <v>2.545454545454545</v>
      </c>
      <c r="AM74" s="28">
        <v>0.54545454545454541</v>
      </c>
      <c r="AN74" s="28">
        <v>3.0909090909090908</v>
      </c>
      <c r="AO74" s="28">
        <v>0.2359550561797753</v>
      </c>
      <c r="AP74" s="28">
        <v>0.3146067415730337</v>
      </c>
      <c r="AQ74" s="28">
        <v>6.7415730337078636E-2</v>
      </c>
      <c r="AR74" s="28">
        <v>0.38202247191011229</v>
      </c>
      <c r="AS74" s="25">
        <v>0.82</v>
      </c>
      <c r="AT74" s="25">
        <v>3.44</v>
      </c>
      <c r="AU74" s="25">
        <v>2.62</v>
      </c>
      <c r="AV74" s="25">
        <v>2.642727272727273</v>
      </c>
      <c r="AW74">
        <v>2.642727272727273</v>
      </c>
      <c r="AX74">
        <v>5.9894662913636356</v>
      </c>
      <c r="AY74" s="75"/>
      <c r="AZ74" s="75"/>
      <c r="BA74" s="75">
        <v>0.54194665977883461</v>
      </c>
      <c r="BE74">
        <v>4.3437456765976823E-2</v>
      </c>
      <c r="BF74">
        <v>8.6874913531953646E-2</v>
      </c>
      <c r="BG74">
        <v>4.3437456765976823E-2</v>
      </c>
      <c r="BH74">
        <v>0.54194665977883461</v>
      </c>
      <c r="BI74" s="79" t="s">
        <v>1264</v>
      </c>
      <c r="BJ74" s="79">
        <v>1373</v>
      </c>
      <c r="BK74" s="79">
        <v>10</v>
      </c>
      <c r="BM74" s="79" t="s">
        <v>464</v>
      </c>
      <c r="BN74" s="79" t="s">
        <v>464</v>
      </c>
      <c r="BO74" s="79">
        <v>0</v>
      </c>
      <c r="BP74" s="79" t="s">
        <v>464</v>
      </c>
      <c r="BQ74" s="79">
        <v>1</v>
      </c>
      <c r="BS74" s="79" t="s">
        <v>464</v>
      </c>
      <c r="BT74" s="79" t="s">
        <v>464</v>
      </c>
      <c r="BU74" s="79" t="s">
        <v>1266</v>
      </c>
      <c r="BV74" s="79">
        <v>400</v>
      </c>
      <c r="BX74" s="79" t="s">
        <v>1287</v>
      </c>
      <c r="BZ74" s="81">
        <f>10.6*5</f>
        <v>53</v>
      </c>
      <c r="CA74">
        <f t="shared" si="9"/>
        <v>3.970291913552122</v>
      </c>
    </row>
    <row r="75" spans="1:79" x14ac:dyDescent="0.3">
      <c r="A75" s="2" t="s">
        <v>1288</v>
      </c>
      <c r="B75" s="13"/>
      <c r="C75" s="13"/>
      <c r="D75" s="2"/>
      <c r="E75" s="2" t="s">
        <v>134</v>
      </c>
      <c r="F75" s="9">
        <v>-1</v>
      </c>
      <c r="G75">
        <v>-1</v>
      </c>
      <c r="H75" t="s">
        <v>1291</v>
      </c>
      <c r="I75" s="2"/>
      <c r="J75" s="25"/>
      <c r="M75" s="2"/>
      <c r="N75" s="2"/>
      <c r="O75" s="2"/>
      <c r="P75" s="2"/>
      <c r="Q75" s="2"/>
      <c r="R75" s="25"/>
      <c r="S75" s="25"/>
      <c r="T75" s="25"/>
      <c r="AA75" s="2"/>
      <c r="AC75" s="55"/>
      <c r="AD75" s="57"/>
      <c r="AE75" s="55"/>
      <c r="AF75" s="55"/>
      <c r="AG75" s="52"/>
      <c r="AH75" s="51"/>
      <c r="AI75" s="52"/>
      <c r="AJ75" s="52"/>
      <c r="AK75" s="28"/>
      <c r="AL75" s="28"/>
      <c r="AM75" s="28"/>
      <c r="AN75" s="28"/>
      <c r="AO75" s="28"/>
      <c r="AP75" s="28"/>
      <c r="AQ75" s="28"/>
      <c r="AR75" s="28"/>
      <c r="AS75" s="25"/>
      <c r="AT75" s="25"/>
      <c r="AU75" s="25"/>
      <c r="AV75" s="25"/>
      <c r="AY75" s="75"/>
      <c r="AZ75" s="75"/>
      <c r="BA75" s="75"/>
      <c r="BI75" s="79" t="s">
        <v>1290</v>
      </c>
      <c r="BM75" s="79" t="s">
        <v>464</v>
      </c>
      <c r="BN75" s="79" t="s">
        <v>464</v>
      </c>
      <c r="BO75" s="79">
        <v>0</v>
      </c>
      <c r="BP75" s="79" t="s">
        <v>464</v>
      </c>
      <c r="BQ75" s="79">
        <v>1</v>
      </c>
      <c r="BS75" s="79" t="s">
        <v>464</v>
      </c>
      <c r="BT75" s="79" t="s">
        <v>464</v>
      </c>
      <c r="BU75" s="79" t="s">
        <v>1266</v>
      </c>
      <c r="BV75" s="79">
        <v>400</v>
      </c>
      <c r="BX75" s="79" t="s">
        <v>1287</v>
      </c>
      <c r="BZ75" s="81">
        <f>0.7*5</f>
        <v>3.5</v>
      </c>
      <c r="CA75">
        <f t="shared" si="9"/>
        <v>1.2527629684953681</v>
      </c>
    </row>
    <row r="76" spans="1:79" x14ac:dyDescent="0.3">
      <c r="A76" s="2" t="s">
        <v>1289</v>
      </c>
      <c r="B76" s="13"/>
      <c r="C76" s="13"/>
      <c r="D76" s="2"/>
      <c r="E76" s="2" t="s">
        <v>134</v>
      </c>
      <c r="F76" s="9">
        <v>-1</v>
      </c>
      <c r="G76">
        <v>-1</v>
      </c>
      <c r="H76" t="s">
        <v>1292</v>
      </c>
      <c r="I76" s="2"/>
      <c r="J76" s="25"/>
      <c r="M76" s="2"/>
      <c r="N76" s="2"/>
      <c r="O76" s="2"/>
      <c r="P76" s="2"/>
      <c r="Q76" s="2"/>
      <c r="R76" s="25"/>
      <c r="S76" s="25"/>
      <c r="T76" s="25"/>
      <c r="AA76" s="2"/>
      <c r="AC76" s="55"/>
      <c r="AD76" s="57"/>
      <c r="AE76" s="55"/>
      <c r="AF76" s="55"/>
      <c r="AG76" s="52"/>
      <c r="AH76" s="51"/>
      <c r="AI76" s="52"/>
      <c r="AJ76" s="52"/>
      <c r="AK76" s="28"/>
      <c r="AL76" s="28"/>
      <c r="AM76" s="28"/>
      <c r="AN76" s="28"/>
      <c r="AO76" s="28"/>
      <c r="AP76" s="28"/>
      <c r="AQ76" s="28"/>
      <c r="AR76" s="28"/>
      <c r="AS76" s="25"/>
      <c r="AT76" s="25"/>
      <c r="AU76" s="25"/>
      <c r="AV76" s="25"/>
      <c r="AY76" s="75"/>
      <c r="AZ76" s="75"/>
      <c r="BA76" s="75"/>
      <c r="BI76" s="79" t="s">
        <v>1290</v>
      </c>
      <c r="BM76" s="79" t="s">
        <v>464</v>
      </c>
      <c r="BN76" s="79" t="s">
        <v>464</v>
      </c>
      <c r="BO76" s="79">
        <v>0</v>
      </c>
      <c r="BP76" s="79" t="s">
        <v>464</v>
      </c>
      <c r="BQ76" s="79">
        <v>1</v>
      </c>
      <c r="BS76" s="79" t="s">
        <v>464</v>
      </c>
      <c r="BT76" s="79" t="s">
        <v>464</v>
      </c>
      <c r="BU76" s="79" t="s">
        <v>1266</v>
      </c>
      <c r="BV76" s="79">
        <v>400</v>
      </c>
      <c r="BX76" s="79" t="s">
        <v>1287</v>
      </c>
      <c r="BZ76" s="81">
        <f>0.4*5</f>
        <v>2</v>
      </c>
      <c r="CA76">
        <f t="shared" si="9"/>
        <v>0.69314718055994529</v>
      </c>
    </row>
    <row r="77" spans="1:79" x14ac:dyDescent="0.3">
      <c r="A77" s="2" t="s">
        <v>30</v>
      </c>
      <c r="B77" s="13" t="s">
        <v>709</v>
      </c>
      <c r="C77" s="13"/>
      <c r="D77" s="2">
        <v>3.36</v>
      </c>
      <c r="E77" s="2" t="s">
        <v>29</v>
      </c>
      <c r="F77" s="9">
        <v>-1</v>
      </c>
      <c r="G77" t="s">
        <v>622</v>
      </c>
      <c r="I77" s="2"/>
      <c r="J77" s="25">
        <v>0</v>
      </c>
      <c r="K77">
        <v>4</v>
      </c>
      <c r="L77">
        <v>0</v>
      </c>
      <c r="M77" s="2">
        <v>5.4324000000000003</v>
      </c>
      <c r="N77" s="2">
        <v>5.4151999999999996</v>
      </c>
      <c r="O77" s="2">
        <v>40.78</v>
      </c>
      <c r="P77" s="2"/>
      <c r="Q77" s="2"/>
      <c r="R77" s="25">
        <v>0</v>
      </c>
      <c r="S77" s="25"/>
      <c r="T77" s="25"/>
      <c r="U77">
        <v>5.4234</v>
      </c>
      <c r="V77">
        <v>5.4020999999999999</v>
      </c>
      <c r="W77">
        <v>40.593499999999999</v>
      </c>
      <c r="X77">
        <v>0</v>
      </c>
      <c r="AA77" s="2" t="s">
        <v>464</v>
      </c>
      <c r="AB77">
        <v>30</v>
      </c>
      <c r="AC77" s="55">
        <f t="shared" si="1"/>
        <v>1199.6469745344</v>
      </c>
      <c r="AD77" s="57">
        <v>0</v>
      </c>
      <c r="AE77" s="55">
        <v>1189.2981797145901</v>
      </c>
      <c r="AF77" s="55">
        <v>0</v>
      </c>
      <c r="AG77" s="52"/>
      <c r="AH77" s="51"/>
      <c r="AI77" s="52">
        <v>0.1008998433250758</v>
      </c>
      <c r="AJ77" s="52"/>
      <c r="AK77" s="28">
        <v>2</v>
      </c>
      <c r="AL77" s="28">
        <v>3</v>
      </c>
      <c r="AM77" s="28">
        <v>2</v>
      </c>
      <c r="AN77" s="28">
        <v>2.333333333333333</v>
      </c>
      <c r="AO77" s="28">
        <v>0.2142857142857143</v>
      </c>
      <c r="AP77" s="28">
        <v>0.3214285714285714</v>
      </c>
      <c r="AQ77" s="28">
        <v>0.2142857142857143</v>
      </c>
      <c r="AR77" s="28">
        <v>0.25</v>
      </c>
      <c r="AS77" s="25">
        <v>1</v>
      </c>
      <c r="AT77" s="25">
        <v>3.44</v>
      </c>
      <c r="AU77" s="25">
        <v>2.44</v>
      </c>
      <c r="AV77" s="25">
        <v>2.7850000000000001</v>
      </c>
      <c r="AW77">
        <v>2.7850000000000001</v>
      </c>
      <c r="AX77">
        <v>6.1010684060416667</v>
      </c>
      <c r="AY77" s="75"/>
      <c r="AZ77" s="75"/>
      <c r="BA77" s="75"/>
      <c r="BD77">
        <v>5.0449921662537908E-2</v>
      </c>
      <c r="BF77">
        <v>0.1008998433250758</v>
      </c>
      <c r="BG77">
        <v>5.0449921662537908E-2</v>
      </c>
      <c r="BH77">
        <v>0</v>
      </c>
      <c r="BI77" s="79" t="s">
        <v>1264</v>
      </c>
      <c r="BJ77" s="79">
        <v>1373</v>
      </c>
      <c r="BK77" s="79">
        <v>48</v>
      </c>
      <c r="BM77" s="79" t="s">
        <v>1275</v>
      </c>
      <c r="BN77" s="79" t="s">
        <v>863</v>
      </c>
      <c r="BO77" s="79">
        <v>0.1</v>
      </c>
      <c r="BQ77" s="79">
        <v>1.5</v>
      </c>
      <c r="BR77" s="79">
        <v>15</v>
      </c>
      <c r="BS77" s="79" t="s">
        <v>464</v>
      </c>
      <c r="BT77" s="79" t="s">
        <v>464</v>
      </c>
      <c r="BU77" s="79" t="s">
        <v>1271</v>
      </c>
      <c r="BV77" s="79">
        <v>450</v>
      </c>
      <c r="BW77" s="79">
        <v>400</v>
      </c>
      <c r="BZ77" s="81">
        <v>0</v>
      </c>
      <c r="CA77" t="e">
        <f t="shared" si="9"/>
        <v>#NUM!</v>
      </c>
    </row>
    <row r="78" spans="1:79" ht="15.6" customHeight="1" x14ac:dyDescent="0.3">
      <c r="A78" s="2" t="s">
        <v>31</v>
      </c>
      <c r="B78" s="13" t="s">
        <v>710</v>
      </c>
      <c r="C78" s="13"/>
      <c r="D78" s="2">
        <v>3.02</v>
      </c>
      <c r="E78" s="2" t="s">
        <v>29</v>
      </c>
      <c r="F78" s="9">
        <v>-1</v>
      </c>
      <c r="G78">
        <v>-1</v>
      </c>
      <c r="H78" t="s">
        <v>1148</v>
      </c>
      <c r="I78" s="2"/>
      <c r="J78" s="25">
        <v>0</v>
      </c>
      <c r="K78">
        <v>0</v>
      </c>
      <c r="L78">
        <v>4</v>
      </c>
      <c r="M78" s="2" t="s">
        <v>464</v>
      </c>
      <c r="N78" s="2" t="s">
        <v>464</v>
      </c>
      <c r="O78" s="2" t="s">
        <v>464</v>
      </c>
      <c r="P78" s="2"/>
      <c r="Q78" s="2"/>
      <c r="R78" s="25">
        <v>0</v>
      </c>
      <c r="S78" s="25"/>
      <c r="T78" s="25"/>
      <c r="U78">
        <v>0</v>
      </c>
      <c r="X78">
        <v>41.36</v>
      </c>
      <c r="Y78">
        <v>5.4370000000000003</v>
      </c>
      <c r="Z78">
        <v>5.55</v>
      </c>
      <c r="AA78" s="2" t="s">
        <v>464</v>
      </c>
      <c r="AB78">
        <v>30</v>
      </c>
      <c r="AC78" s="55" t="e">
        <f t="shared" si="1"/>
        <v>#VALUE!</v>
      </c>
      <c r="AD78" s="57">
        <v>0</v>
      </c>
      <c r="AE78" s="55">
        <v>0</v>
      </c>
      <c r="AF78" s="55">
        <v>1248.0524760000001</v>
      </c>
      <c r="AG78" s="52"/>
      <c r="AH78" s="51"/>
      <c r="AI78" s="52"/>
      <c r="AJ78" s="52">
        <v>9.6149803239523393E-2</v>
      </c>
      <c r="AK78" s="28">
        <v>2</v>
      </c>
      <c r="AL78" s="28">
        <v>3.083333333333333</v>
      </c>
      <c r="AM78" s="28">
        <v>2.416666666666667</v>
      </c>
      <c r="AN78" s="28">
        <v>2.916666666666667</v>
      </c>
      <c r="AO78" s="28">
        <v>0.192</v>
      </c>
      <c r="AP78" s="28">
        <v>0.29599999999999999</v>
      </c>
      <c r="AQ78" s="28">
        <v>0.23200000000000001</v>
      </c>
      <c r="AR78" s="28">
        <v>0.28000000000000003</v>
      </c>
      <c r="AS78" s="25">
        <v>1.54</v>
      </c>
      <c r="AT78" s="25">
        <v>3.44</v>
      </c>
      <c r="AU78" s="25">
        <v>1.9</v>
      </c>
      <c r="AV78" s="25">
        <v>2.840416666666667</v>
      </c>
      <c r="AW78">
        <v>2.840416666666667</v>
      </c>
      <c r="AX78">
        <v>6.1351453775000007</v>
      </c>
      <c r="AY78" s="75"/>
      <c r="AZ78" s="75"/>
      <c r="BA78" s="75"/>
      <c r="BE78">
        <v>4.8074901619761697E-2</v>
      </c>
      <c r="BF78">
        <v>9.6149803239523393E-2</v>
      </c>
      <c r="BG78">
        <v>4.8074901619761697E-2</v>
      </c>
      <c r="BH78">
        <v>0</v>
      </c>
      <c r="BI78" s="79" t="s">
        <v>1264</v>
      </c>
      <c r="BJ78" s="79">
        <v>1373</v>
      </c>
      <c r="BK78" s="79">
        <v>48</v>
      </c>
      <c r="BM78" s="79" t="s">
        <v>1275</v>
      </c>
      <c r="BN78" s="79" t="s">
        <v>863</v>
      </c>
      <c r="BO78" s="79">
        <v>0.1</v>
      </c>
      <c r="BQ78" s="79">
        <v>1.5</v>
      </c>
      <c r="BR78" s="79">
        <v>15</v>
      </c>
      <c r="BS78" s="79" t="s">
        <v>464</v>
      </c>
      <c r="BT78" s="79" t="s">
        <v>464</v>
      </c>
      <c r="BU78" s="79" t="s">
        <v>1271</v>
      </c>
      <c r="BV78" s="79">
        <v>450</v>
      </c>
      <c r="BW78" s="79">
        <v>400</v>
      </c>
      <c r="BZ78" s="81">
        <v>37.33</v>
      </c>
      <c r="CA78">
        <f t="shared" si="9"/>
        <v>3.6197972929264925</v>
      </c>
    </row>
    <row r="79" spans="1:79" x14ac:dyDescent="0.3">
      <c r="A79" s="2" t="s">
        <v>25</v>
      </c>
      <c r="B79" s="13" t="s">
        <v>708</v>
      </c>
      <c r="C79" s="13"/>
      <c r="D79" s="2">
        <v>2.88</v>
      </c>
      <c r="E79" s="2" t="s">
        <v>29</v>
      </c>
      <c r="F79" s="9" t="s">
        <v>541</v>
      </c>
      <c r="G79" t="s">
        <v>621</v>
      </c>
      <c r="I79" s="2"/>
      <c r="J79" s="25">
        <v>1</v>
      </c>
      <c r="K79">
        <v>4</v>
      </c>
      <c r="L79">
        <v>0</v>
      </c>
      <c r="M79" s="2" t="s">
        <v>464</v>
      </c>
      <c r="N79" s="2" t="s">
        <v>464</v>
      </c>
      <c r="O79" s="2" t="s">
        <v>464</v>
      </c>
      <c r="P79" s="2"/>
      <c r="Q79" s="2"/>
      <c r="R79" s="25">
        <v>12.868820120000001</v>
      </c>
      <c r="S79" s="25">
        <v>12.868820120000001</v>
      </c>
      <c r="T79" s="25">
        <v>12.868820120000001</v>
      </c>
      <c r="U79">
        <v>5.5453000000000001</v>
      </c>
      <c r="V79">
        <v>5.5453000000000001</v>
      </c>
      <c r="W79">
        <v>25.686699999999998</v>
      </c>
      <c r="X79">
        <v>0</v>
      </c>
      <c r="AA79" s="2">
        <v>2</v>
      </c>
      <c r="AB79">
        <v>18</v>
      </c>
      <c r="AC79" s="55" t="e">
        <f t="shared" si="1"/>
        <v>#VALUE!</v>
      </c>
      <c r="AD79" s="57">
        <v>197.4403766939285</v>
      </c>
      <c r="AE79" s="55">
        <v>789.87506903020289</v>
      </c>
      <c r="AF79" s="55">
        <v>0</v>
      </c>
      <c r="AG79" s="52"/>
      <c r="AH79" s="51">
        <v>9.1166762854710051E-2</v>
      </c>
      <c r="AI79" s="52">
        <v>9.1153655588092616E-2</v>
      </c>
      <c r="AJ79" s="52"/>
      <c r="AK79" s="28">
        <v>1.857142857142857</v>
      </c>
      <c r="AL79" s="28">
        <v>3.1428571428571428</v>
      </c>
      <c r="AM79" s="28">
        <v>2.714285714285714</v>
      </c>
      <c r="AN79" s="28">
        <v>3</v>
      </c>
      <c r="AO79" s="28">
        <v>0.17333333333333331</v>
      </c>
      <c r="AP79" s="28">
        <v>0.29333333333333328</v>
      </c>
      <c r="AQ79" s="28">
        <v>0.25333333333333341</v>
      </c>
      <c r="AR79" s="28">
        <v>0.28000000000000003</v>
      </c>
      <c r="AS79" s="25">
        <v>1.6</v>
      </c>
      <c r="AT79" s="25">
        <v>3.44</v>
      </c>
      <c r="AU79" s="25">
        <v>1.84</v>
      </c>
      <c r="AV79" s="25">
        <v>2.895</v>
      </c>
      <c r="AW79">
        <v>2.895</v>
      </c>
      <c r="AX79">
        <v>6.260504073571429</v>
      </c>
      <c r="AY79" s="75">
        <v>0.51995616258071919</v>
      </c>
      <c r="AZ79" s="75">
        <v>0.51988140722208986</v>
      </c>
      <c r="BA79" s="75"/>
      <c r="BC79">
        <v>4.5583381427355033E-2</v>
      </c>
      <c r="BD79">
        <v>4.5576827794046308E-2</v>
      </c>
      <c r="BF79">
        <v>9.1160209221401334E-2</v>
      </c>
      <c r="BG79">
        <v>4.5580104610700667E-2</v>
      </c>
      <c r="BH79">
        <v>0.51991878490140453</v>
      </c>
      <c r="BI79" s="79" t="s">
        <v>1264</v>
      </c>
      <c r="BJ79" s="79">
        <v>1373</v>
      </c>
      <c r="BK79" s="79">
        <v>48</v>
      </c>
      <c r="BM79" s="79" t="s">
        <v>1275</v>
      </c>
      <c r="BN79" s="79" t="s">
        <v>863</v>
      </c>
      <c r="BO79" s="79">
        <v>0.1</v>
      </c>
      <c r="BQ79" s="79">
        <v>1.5</v>
      </c>
      <c r="BR79" s="79">
        <v>15</v>
      </c>
      <c r="BS79" s="79" t="s">
        <v>464</v>
      </c>
      <c r="BT79" s="79" t="s">
        <v>464</v>
      </c>
      <c r="BU79" s="79" t="s">
        <v>1271</v>
      </c>
      <c r="BV79" s="79">
        <v>450</v>
      </c>
      <c r="BW79" s="79">
        <v>420</v>
      </c>
      <c r="BZ79" s="81">
        <v>10.67</v>
      </c>
      <c r="CA79">
        <f t="shared" si="9"/>
        <v>2.3674360653136621</v>
      </c>
    </row>
    <row r="80" spans="1:79" x14ac:dyDescent="0.3">
      <c r="A80" s="2" t="s">
        <v>32</v>
      </c>
      <c r="B80" s="13" t="s">
        <v>881</v>
      </c>
      <c r="C80" s="13"/>
      <c r="D80" s="2">
        <v>3.44</v>
      </c>
      <c r="E80" s="2" t="s">
        <v>29</v>
      </c>
      <c r="F80" s="9">
        <v>-1</v>
      </c>
      <c r="G80">
        <v>-1</v>
      </c>
      <c r="H80" t="s">
        <v>1149</v>
      </c>
      <c r="I80" s="2"/>
      <c r="J80" s="25">
        <v>0</v>
      </c>
      <c r="K80">
        <v>0</v>
      </c>
      <c r="L80">
        <v>2</v>
      </c>
      <c r="M80" s="2">
        <v>3.9</v>
      </c>
      <c r="N80" s="2">
        <v>3.9</v>
      </c>
      <c r="O80" s="2">
        <v>29.65</v>
      </c>
      <c r="P80" s="2" t="s">
        <v>472</v>
      </c>
      <c r="Q80" s="2"/>
      <c r="R80" s="25">
        <v>0</v>
      </c>
      <c r="S80" s="25"/>
      <c r="T80" s="25"/>
      <c r="U80">
        <v>0</v>
      </c>
      <c r="AA80" s="2" t="s">
        <v>464</v>
      </c>
      <c r="AB80">
        <v>20</v>
      </c>
      <c r="AC80" s="55">
        <f t="shared" si="1"/>
        <v>450.97649999999993</v>
      </c>
      <c r="AD80" s="57">
        <v>0</v>
      </c>
      <c r="AE80" s="55">
        <v>0</v>
      </c>
      <c r="AF80" s="55">
        <v>451.2</v>
      </c>
      <c r="AG80" s="52"/>
      <c r="AH80" s="51"/>
      <c r="AI80" s="52"/>
      <c r="AJ80" s="67">
        <f>L80*AB80/AF80</f>
        <v>8.8652482269503549E-2</v>
      </c>
      <c r="AK80" s="28">
        <v>1.774193548387097</v>
      </c>
      <c r="AL80" s="28">
        <v>2.580645161290323</v>
      </c>
      <c r="AM80" s="28">
        <v>0.80645161290322576</v>
      </c>
      <c r="AN80" s="28">
        <v>0</v>
      </c>
      <c r="AO80" s="28">
        <v>0.34375</v>
      </c>
      <c r="AP80" s="28">
        <v>0.5</v>
      </c>
      <c r="AQ80" s="28">
        <v>0.15625</v>
      </c>
      <c r="AR80" s="28">
        <v>0</v>
      </c>
      <c r="AS80" s="25">
        <v>0.82</v>
      </c>
      <c r="AT80" s="25">
        <v>3.44</v>
      </c>
      <c r="AU80" s="25">
        <v>2.62</v>
      </c>
      <c r="AV80" s="25">
        <v>2.6877419354838712</v>
      </c>
      <c r="AW80">
        <v>2.6877419354838712</v>
      </c>
      <c r="AX80">
        <v>6.0811360720967738</v>
      </c>
      <c r="AY80" s="75"/>
      <c r="AZ80" s="75"/>
      <c r="BA80" s="75">
        <v>0</v>
      </c>
      <c r="BE80">
        <v>4.4326241134751768E-2</v>
      </c>
      <c r="BF80">
        <v>8.8652482269503549E-2</v>
      </c>
      <c r="BG80">
        <v>4.4326241134751768E-2</v>
      </c>
      <c r="BH80">
        <v>0</v>
      </c>
      <c r="BI80" s="79" t="s">
        <v>1264</v>
      </c>
      <c r="BJ80" s="79">
        <v>1373</v>
      </c>
      <c r="BK80" s="79">
        <v>48</v>
      </c>
      <c r="BM80" s="79" t="s">
        <v>1275</v>
      </c>
      <c r="BN80" s="79" t="s">
        <v>863</v>
      </c>
      <c r="BO80" s="79">
        <v>0.1</v>
      </c>
      <c r="BQ80" s="79">
        <v>1.5</v>
      </c>
      <c r="BR80" s="79">
        <v>15</v>
      </c>
      <c r="BS80" s="79" t="s">
        <v>464</v>
      </c>
      <c r="BT80" s="79" t="s">
        <v>464</v>
      </c>
      <c r="BU80" s="79" t="s">
        <v>1271</v>
      </c>
      <c r="BV80" s="79">
        <v>450</v>
      </c>
      <c r="BW80" s="79">
        <v>400</v>
      </c>
      <c r="BZ80" s="81">
        <v>0</v>
      </c>
      <c r="CA80" t="e">
        <f t="shared" si="9"/>
        <v>#NUM!</v>
      </c>
    </row>
    <row r="81" spans="1:80" x14ac:dyDescent="0.3">
      <c r="A81" s="5" t="s">
        <v>974</v>
      </c>
      <c r="B81" s="43" t="s">
        <v>975</v>
      </c>
      <c r="C81" s="39"/>
      <c r="D81" s="5">
        <v>3.09</v>
      </c>
      <c r="E81" s="5" t="s">
        <v>29</v>
      </c>
      <c r="F81" s="40">
        <v>-2</v>
      </c>
      <c r="G81" s="5">
        <v>-1</v>
      </c>
      <c r="H81" s="5"/>
      <c r="I81" s="5"/>
      <c r="J81" s="41">
        <v>0</v>
      </c>
      <c r="K81">
        <v>0</v>
      </c>
      <c r="L81">
        <v>0</v>
      </c>
      <c r="M81" s="5" t="s">
        <v>464</v>
      </c>
      <c r="N81" s="5" t="s">
        <v>464</v>
      </c>
      <c r="O81" s="5" t="s">
        <v>464</v>
      </c>
      <c r="P81" s="5"/>
      <c r="Q81" s="5"/>
      <c r="R81" s="41">
        <v>0</v>
      </c>
      <c r="S81" s="41"/>
      <c r="T81" s="41"/>
      <c r="U81">
        <v>0</v>
      </c>
      <c r="X81">
        <v>0</v>
      </c>
      <c r="AA81" s="5" t="s">
        <v>464</v>
      </c>
      <c r="AB81" s="5">
        <v>20</v>
      </c>
      <c r="AC81" s="55" t="e">
        <f t="shared" si="1"/>
        <v>#VALUE!</v>
      </c>
      <c r="AD81" s="57">
        <v>0</v>
      </c>
      <c r="AE81" s="55">
        <v>0</v>
      </c>
      <c r="AF81" s="55">
        <v>0</v>
      </c>
      <c r="AG81" s="52"/>
      <c r="AH81" s="51"/>
      <c r="AI81" s="52"/>
      <c r="AJ81" s="52"/>
      <c r="AK81" s="5">
        <v>1.774193548387097</v>
      </c>
      <c r="AL81" s="5">
        <v>2.67741935483871</v>
      </c>
      <c r="AM81" s="5">
        <v>1.290322580645161</v>
      </c>
      <c r="AN81" s="5">
        <v>0.67741935483870963</v>
      </c>
      <c r="AO81" s="5">
        <v>0.27638190954773872</v>
      </c>
      <c r="AP81" s="5">
        <v>0.41708542713567842</v>
      </c>
      <c r="AQ81" s="5">
        <v>0.20100502512562821</v>
      </c>
      <c r="AR81" s="5">
        <v>0.1055276381909548</v>
      </c>
      <c r="AS81" s="41">
        <v>0.82</v>
      </c>
      <c r="AT81" s="41">
        <v>3.44</v>
      </c>
      <c r="AU81" s="41">
        <v>2.62</v>
      </c>
      <c r="AV81" s="41">
        <v>2.7520967741935478</v>
      </c>
      <c r="AW81" s="5">
        <v>2.7520967741935478</v>
      </c>
      <c r="AX81" s="5">
        <v>6.1207093292741934</v>
      </c>
      <c r="AY81" s="75"/>
      <c r="AZ81" s="75"/>
      <c r="BA81" s="75"/>
      <c r="BF81">
        <v>0</v>
      </c>
      <c r="BG81">
        <v>0</v>
      </c>
      <c r="BH81">
        <v>0</v>
      </c>
      <c r="BI81" s="79" t="s">
        <v>1264</v>
      </c>
      <c r="BJ81" s="79">
        <v>1373</v>
      </c>
      <c r="BK81" s="79">
        <v>48</v>
      </c>
      <c r="BM81" s="79" t="s">
        <v>1275</v>
      </c>
      <c r="BN81" s="79" t="s">
        <v>863</v>
      </c>
      <c r="BO81" s="79">
        <v>0.1</v>
      </c>
      <c r="BQ81" s="79">
        <v>1.5</v>
      </c>
      <c r="BR81" s="79">
        <v>15</v>
      </c>
      <c r="BS81" s="79" t="s">
        <v>464</v>
      </c>
      <c r="BT81" s="79" t="s">
        <v>464</v>
      </c>
      <c r="BU81" s="79" t="s">
        <v>1271</v>
      </c>
      <c r="BV81" s="79">
        <v>450</v>
      </c>
      <c r="BW81" s="79">
        <v>400</v>
      </c>
      <c r="BZ81" s="81">
        <v>0</v>
      </c>
      <c r="CA81" t="e">
        <f t="shared" si="9"/>
        <v>#NUM!</v>
      </c>
    </row>
    <row r="82" spans="1:80" x14ac:dyDescent="0.3">
      <c r="A82" s="5" t="s">
        <v>33</v>
      </c>
      <c r="B82" s="39" t="s">
        <v>882</v>
      </c>
      <c r="C82" s="39"/>
      <c r="D82" s="5">
        <v>3.06</v>
      </c>
      <c r="E82" s="5" t="s">
        <v>29</v>
      </c>
      <c r="F82" s="40">
        <v>-2</v>
      </c>
      <c r="G82" s="5">
        <v>-1</v>
      </c>
      <c r="H82" s="5"/>
      <c r="I82" s="5"/>
      <c r="J82" s="41">
        <v>0</v>
      </c>
      <c r="K82">
        <v>0</v>
      </c>
      <c r="L82">
        <v>0</v>
      </c>
      <c r="M82" s="5" t="s">
        <v>464</v>
      </c>
      <c r="N82" s="5" t="s">
        <v>464</v>
      </c>
      <c r="O82" s="5" t="s">
        <v>464</v>
      </c>
      <c r="P82" s="5"/>
      <c r="Q82" s="5"/>
      <c r="R82" s="41">
        <v>0</v>
      </c>
      <c r="S82" s="41"/>
      <c r="T82" s="41"/>
      <c r="U82">
        <v>0</v>
      </c>
      <c r="X82">
        <v>0</v>
      </c>
      <c r="AA82" s="5" t="s">
        <v>464</v>
      </c>
      <c r="AB82" s="5">
        <v>20</v>
      </c>
      <c r="AC82" s="55" t="e">
        <f t="shared" si="1"/>
        <v>#VALUE!</v>
      </c>
      <c r="AD82" s="57">
        <v>0</v>
      </c>
      <c r="AE82" s="55">
        <v>0</v>
      </c>
      <c r="AF82" s="55">
        <v>0</v>
      </c>
      <c r="AG82" s="52"/>
      <c r="AH82" s="51"/>
      <c r="AI82" s="52"/>
      <c r="AJ82" s="52"/>
      <c r="AK82" s="5">
        <v>1.774193548387097</v>
      </c>
      <c r="AL82" s="5">
        <v>2.725806451612903</v>
      </c>
      <c r="AM82" s="5">
        <v>1.435483870967742</v>
      </c>
      <c r="AN82" s="5">
        <v>0.90322580645161288</v>
      </c>
      <c r="AO82" s="5">
        <v>0.25943396226415089</v>
      </c>
      <c r="AP82" s="5">
        <v>0.3985849056603773</v>
      </c>
      <c r="AQ82" s="5">
        <v>0.2099056603773585</v>
      </c>
      <c r="AR82" s="5">
        <v>0.13207547169811321</v>
      </c>
      <c r="AS82" s="41">
        <v>0.82</v>
      </c>
      <c r="AT82" s="41">
        <v>3.44</v>
      </c>
      <c r="AU82" s="41">
        <v>2.62</v>
      </c>
      <c r="AV82" s="41">
        <v>2.7669354838709679</v>
      </c>
      <c r="AW82" s="5">
        <v>2.7669354838709679</v>
      </c>
      <c r="AX82" s="5">
        <v>6.1375918448387097</v>
      </c>
      <c r="AY82" s="75"/>
      <c r="AZ82" s="75"/>
      <c r="BA82" s="75"/>
      <c r="BF82">
        <v>0</v>
      </c>
      <c r="BG82">
        <v>0</v>
      </c>
      <c r="BH82">
        <v>0</v>
      </c>
      <c r="BI82" s="79" t="s">
        <v>1264</v>
      </c>
      <c r="BJ82" s="79">
        <v>1373</v>
      </c>
      <c r="BK82" s="79">
        <v>48</v>
      </c>
      <c r="BM82" s="79" t="s">
        <v>1275</v>
      </c>
      <c r="BN82" s="79" t="s">
        <v>863</v>
      </c>
      <c r="BO82" s="79">
        <v>0.1</v>
      </c>
      <c r="BQ82" s="79">
        <v>1.5</v>
      </c>
      <c r="BR82" s="79">
        <v>15</v>
      </c>
      <c r="BS82" s="79" t="s">
        <v>464</v>
      </c>
      <c r="BT82" s="79" t="s">
        <v>464</v>
      </c>
      <c r="BU82" s="79" t="s">
        <v>1271</v>
      </c>
      <c r="BV82" s="79">
        <v>450</v>
      </c>
      <c r="BW82" s="79">
        <v>400</v>
      </c>
      <c r="BZ82" s="81">
        <v>0</v>
      </c>
      <c r="CA82" t="e">
        <f t="shared" si="9"/>
        <v>#NUM!</v>
      </c>
    </row>
    <row r="83" spans="1:80" x14ac:dyDescent="0.3">
      <c r="A83" s="2" t="s">
        <v>34</v>
      </c>
      <c r="B83" s="13" t="s">
        <v>711</v>
      </c>
      <c r="C83" s="13"/>
      <c r="D83" s="2">
        <v>3.31</v>
      </c>
      <c r="E83" s="2" t="s">
        <v>29</v>
      </c>
      <c r="F83" s="9" t="s">
        <v>542</v>
      </c>
      <c r="G83" t="s">
        <v>623</v>
      </c>
      <c r="I83" s="2"/>
      <c r="J83" s="25">
        <v>1</v>
      </c>
      <c r="K83">
        <v>2</v>
      </c>
      <c r="L83">
        <v>0</v>
      </c>
      <c r="M83" s="2">
        <v>3.9</v>
      </c>
      <c r="N83" s="2">
        <v>3.9</v>
      </c>
      <c r="O83" s="2">
        <v>29.65</v>
      </c>
      <c r="P83" s="2" t="s">
        <v>440</v>
      </c>
      <c r="Q83" s="2"/>
      <c r="R83" s="25">
        <v>3.9086759899999999</v>
      </c>
      <c r="S83" s="25">
        <v>3.908676100000001</v>
      </c>
      <c r="T83" s="25">
        <v>10.552604730000001</v>
      </c>
      <c r="U83">
        <v>3.899</v>
      </c>
      <c r="V83">
        <v>3.899</v>
      </c>
      <c r="W83">
        <v>20.399989999999999</v>
      </c>
      <c r="X83">
        <v>0</v>
      </c>
      <c r="AA83" s="2" t="s">
        <v>464</v>
      </c>
      <c r="AB83">
        <v>14</v>
      </c>
      <c r="AC83" s="55">
        <f t="shared" si="1"/>
        <v>450.97649999999993</v>
      </c>
      <c r="AD83" s="57">
        <v>155.59136328639269</v>
      </c>
      <c r="AE83" s="55">
        <v>310.12474837798999</v>
      </c>
      <c r="AF83" s="55">
        <v>0</v>
      </c>
      <c r="AG83" s="52"/>
      <c r="AH83" s="51">
        <v>8.9979287437893268E-2</v>
      </c>
      <c r="AI83" s="52">
        <v>9.0286248183820222E-2</v>
      </c>
      <c r="AJ83" s="52"/>
      <c r="AK83" s="28">
        <v>2</v>
      </c>
      <c r="AL83" s="28">
        <v>2.333333333333333</v>
      </c>
      <c r="AM83" s="28">
        <v>0.33333333333333331</v>
      </c>
      <c r="AN83" s="28">
        <v>0</v>
      </c>
      <c r="AO83" s="28">
        <v>0.42857142857142849</v>
      </c>
      <c r="AP83" s="28">
        <v>0.5</v>
      </c>
      <c r="AQ83" s="28">
        <v>7.1428571428571425E-2</v>
      </c>
      <c r="AR83" s="28">
        <v>0</v>
      </c>
      <c r="AS83" s="25">
        <v>0.95</v>
      </c>
      <c r="AT83" s="25">
        <v>3.44</v>
      </c>
      <c r="AU83" s="25">
        <v>2.4900000000000002</v>
      </c>
      <c r="AV83" s="25">
        <v>2.500833333333333</v>
      </c>
      <c r="AW83">
        <v>2.500833333333333</v>
      </c>
      <c r="AX83">
        <v>5.6917605187500007</v>
      </c>
      <c r="AY83" s="75">
        <v>0.58499657192886345</v>
      </c>
      <c r="AZ83" s="75">
        <v>0.58699226437317098</v>
      </c>
      <c r="BA83" s="75"/>
      <c r="BC83">
        <v>4.4989643718946627E-2</v>
      </c>
      <c r="BD83">
        <v>4.5143124091910111E-2</v>
      </c>
      <c r="BF83">
        <v>9.0132767810856745E-2</v>
      </c>
      <c r="BG83">
        <v>4.5066383905428373E-2</v>
      </c>
      <c r="BH83">
        <v>0.58599441815101727</v>
      </c>
      <c r="BI83" s="79" t="s">
        <v>1264</v>
      </c>
      <c r="BJ83" s="79">
        <v>1373</v>
      </c>
      <c r="BK83" s="79">
        <v>48</v>
      </c>
      <c r="BM83" s="79" t="s">
        <v>1275</v>
      </c>
      <c r="BN83" s="79" t="s">
        <v>863</v>
      </c>
      <c r="BO83" s="79">
        <v>0.1</v>
      </c>
      <c r="BQ83" s="79">
        <v>1.5</v>
      </c>
      <c r="BR83" s="79">
        <v>15</v>
      </c>
      <c r="BS83" s="79" t="s">
        <v>464</v>
      </c>
      <c r="BT83" s="79" t="s">
        <v>464</v>
      </c>
      <c r="BU83" s="79" t="s">
        <v>1271</v>
      </c>
      <c r="BV83" s="79">
        <v>450</v>
      </c>
      <c r="BW83" s="79">
        <v>400</v>
      </c>
      <c r="BZ83" s="81">
        <v>0</v>
      </c>
      <c r="CA83" t="e">
        <f t="shared" si="9"/>
        <v>#NUM!</v>
      </c>
    </row>
    <row r="84" spans="1:80" x14ac:dyDescent="0.3">
      <c r="A84" s="2" t="s">
        <v>35</v>
      </c>
      <c r="B84" s="13" t="s">
        <v>712</v>
      </c>
      <c r="C84" s="13"/>
      <c r="D84" s="2">
        <v>2.98</v>
      </c>
      <c r="E84" s="2" t="s">
        <v>29</v>
      </c>
      <c r="F84" s="9" t="s">
        <v>543</v>
      </c>
      <c r="G84" t="s">
        <v>624</v>
      </c>
      <c r="I84" s="2"/>
      <c r="J84" s="25">
        <v>1</v>
      </c>
      <c r="K84">
        <v>1</v>
      </c>
      <c r="L84">
        <v>0</v>
      </c>
      <c r="M84" s="2" t="s">
        <v>464</v>
      </c>
      <c r="N84" s="2" t="s">
        <v>464</v>
      </c>
      <c r="O84" s="2" t="s">
        <v>464</v>
      </c>
      <c r="P84" s="2" t="s">
        <v>440</v>
      </c>
      <c r="Q84" s="2"/>
      <c r="R84" s="25">
        <v>3.969049</v>
      </c>
      <c r="S84" s="25">
        <v>3.969049</v>
      </c>
      <c r="T84" s="25">
        <v>3.969049</v>
      </c>
      <c r="U84">
        <v>4</v>
      </c>
      <c r="V84">
        <v>4.2110000000000003</v>
      </c>
      <c r="W84">
        <v>3.875</v>
      </c>
      <c r="X84">
        <v>0</v>
      </c>
      <c r="AA84" s="2" t="s">
        <v>464</v>
      </c>
      <c r="AB84">
        <v>6</v>
      </c>
      <c r="AC84" s="55" t="e">
        <f t="shared" si="1"/>
        <v>#VALUE!</v>
      </c>
      <c r="AD84" s="57">
        <v>62.525817922855822</v>
      </c>
      <c r="AE84" s="55">
        <v>65.270499999999998</v>
      </c>
      <c r="AF84" s="55">
        <v>0</v>
      </c>
      <c r="AG84" s="52"/>
      <c r="AH84" s="51">
        <v>9.5960360045234158E-2</v>
      </c>
      <c r="AI84" s="52">
        <v>9.1925142292459849E-2</v>
      </c>
      <c r="AJ84" s="52"/>
      <c r="AK84" s="28">
        <v>2</v>
      </c>
      <c r="AL84" s="28">
        <v>2.8</v>
      </c>
      <c r="AM84" s="28">
        <v>2.4</v>
      </c>
      <c r="AN84" s="28">
        <v>2.8</v>
      </c>
      <c r="AO84" s="28">
        <v>0.2</v>
      </c>
      <c r="AP84" s="28">
        <v>0.28000000000000003</v>
      </c>
      <c r="AQ84" s="28">
        <v>0.24</v>
      </c>
      <c r="AR84" s="28">
        <v>0.28000000000000003</v>
      </c>
      <c r="AS84" s="25">
        <v>1.54</v>
      </c>
      <c r="AT84" s="25">
        <v>3.44</v>
      </c>
      <c r="AU84" s="25">
        <v>1.9</v>
      </c>
      <c r="AV84" s="25">
        <v>2.8380000000000001</v>
      </c>
      <c r="AW84">
        <v>2.8380000000000001</v>
      </c>
      <c r="AX84">
        <v>5.9914547000000002</v>
      </c>
      <c r="AY84" s="75">
        <v>0.58734468850194366</v>
      </c>
      <c r="AZ84" s="75">
        <v>0.56264632646033053</v>
      </c>
      <c r="BA84" s="75"/>
      <c r="BC84">
        <v>4.7980180022617079E-2</v>
      </c>
      <c r="BD84">
        <v>4.5962571146229918E-2</v>
      </c>
      <c r="BF84">
        <v>9.3942751168847011E-2</v>
      </c>
      <c r="BG84">
        <v>4.6971375584423498E-2</v>
      </c>
      <c r="BH84">
        <v>0.57499550748113704</v>
      </c>
      <c r="BI84" s="79" t="s">
        <v>1264</v>
      </c>
      <c r="BJ84" s="79">
        <v>1373</v>
      </c>
      <c r="BK84" s="79">
        <v>48</v>
      </c>
      <c r="BM84" s="79" t="s">
        <v>1275</v>
      </c>
      <c r="BN84" s="79" t="s">
        <v>863</v>
      </c>
      <c r="BO84" s="79">
        <v>0.1</v>
      </c>
      <c r="BQ84" s="79">
        <v>1.5</v>
      </c>
      <c r="BR84" s="79">
        <v>15</v>
      </c>
      <c r="BS84" s="79" t="s">
        <v>464</v>
      </c>
      <c r="BT84" s="79" t="s">
        <v>464</v>
      </c>
      <c r="BU84" s="79" t="s">
        <v>1271</v>
      </c>
      <c r="BV84" s="79">
        <v>450</v>
      </c>
      <c r="BW84" s="79">
        <v>400</v>
      </c>
      <c r="BZ84" s="81">
        <v>45.3</v>
      </c>
      <c r="CA84">
        <f t="shared" si="9"/>
        <v>3.8133070324889884</v>
      </c>
    </row>
    <row r="85" spans="1:80" x14ac:dyDescent="0.3">
      <c r="A85" s="2" t="s">
        <v>41</v>
      </c>
      <c r="B85" s="13" t="s">
        <v>717</v>
      </c>
      <c r="C85" s="13"/>
      <c r="D85" s="2">
        <v>3.95</v>
      </c>
      <c r="E85" s="2" t="s">
        <v>36</v>
      </c>
      <c r="F85" s="9" t="s">
        <v>547</v>
      </c>
      <c r="G85" t="s">
        <v>628</v>
      </c>
      <c r="I85" s="2"/>
      <c r="J85" s="25">
        <v>1</v>
      </c>
      <c r="K85">
        <v>3</v>
      </c>
      <c r="L85">
        <v>0</v>
      </c>
      <c r="M85" s="2"/>
      <c r="N85" s="2"/>
      <c r="O85" s="2"/>
      <c r="P85" s="2"/>
      <c r="Q85" s="2"/>
      <c r="R85" s="25">
        <v>9.3662349099999993</v>
      </c>
      <c r="S85" s="25">
        <v>9.3662349099999993</v>
      </c>
      <c r="T85" s="25">
        <v>9.3662351000000008</v>
      </c>
      <c r="U85">
        <v>5.5609999999999999</v>
      </c>
      <c r="V85">
        <v>5.5609999999999999</v>
      </c>
      <c r="W85">
        <v>26.24</v>
      </c>
      <c r="X85">
        <v>0</v>
      </c>
      <c r="AA85" s="2" t="s">
        <v>464</v>
      </c>
      <c r="AB85">
        <v>24</v>
      </c>
      <c r="AC85" s="55">
        <f t="shared" si="1"/>
        <v>0</v>
      </c>
      <c r="AD85" s="57">
        <v>238.908881754341</v>
      </c>
      <c r="AE85" s="55">
        <v>702.74902632242595</v>
      </c>
      <c r="AF85" s="55">
        <v>0</v>
      </c>
      <c r="AG85" s="52"/>
      <c r="AH85" s="51">
        <v>0.10045670895014321</v>
      </c>
      <c r="AI85" s="52">
        <v>0.1024547844296349</v>
      </c>
      <c r="AJ85" s="52"/>
      <c r="AK85" s="28">
        <v>2</v>
      </c>
      <c r="AL85" s="28">
        <v>2.5263157894736841</v>
      </c>
      <c r="AM85" s="28">
        <v>0.52631578947368418</v>
      </c>
      <c r="AN85" s="28">
        <v>0</v>
      </c>
      <c r="AO85" s="28">
        <v>0.39583333333333343</v>
      </c>
      <c r="AP85" s="28">
        <v>0.5</v>
      </c>
      <c r="AQ85" s="28">
        <v>0.1041666666666667</v>
      </c>
      <c r="AR85" s="28">
        <v>0</v>
      </c>
      <c r="AS85" s="25">
        <v>1.1000000000000001</v>
      </c>
      <c r="AT85" s="25">
        <v>3.44</v>
      </c>
      <c r="AU85" s="25">
        <v>2.34</v>
      </c>
      <c r="AV85" s="25">
        <v>2.647368421052632</v>
      </c>
      <c r="AW85">
        <v>2.6473684210526311</v>
      </c>
      <c r="AX85">
        <v>5.9525974578947363</v>
      </c>
      <c r="AY85" s="75">
        <v>0.55552189395192297</v>
      </c>
      <c r="AZ85" s="75">
        <v>0.56657117763069742</v>
      </c>
      <c r="BA85" s="75"/>
      <c r="BC85">
        <v>5.0228354475071582E-2</v>
      </c>
      <c r="BD85">
        <v>5.1227392214817473E-2</v>
      </c>
      <c r="BF85">
        <v>0.10145574668988901</v>
      </c>
      <c r="BG85">
        <v>5.0727873344944517E-2</v>
      </c>
      <c r="BH85">
        <v>0.56104653579131014</v>
      </c>
      <c r="BI85" s="79" t="s">
        <v>1293</v>
      </c>
      <c r="BJ85" s="79">
        <v>1473</v>
      </c>
      <c r="BK85" s="79">
        <v>10</v>
      </c>
      <c r="BM85" s="79" t="s">
        <v>464</v>
      </c>
      <c r="BN85" s="79" t="s">
        <v>464</v>
      </c>
      <c r="BO85" s="79">
        <v>0</v>
      </c>
      <c r="BP85" s="79">
        <v>3.4</v>
      </c>
      <c r="BQ85" s="79">
        <v>1.32</v>
      </c>
      <c r="BR85" s="79">
        <v>0</v>
      </c>
      <c r="BS85" s="79" t="s">
        <v>464</v>
      </c>
      <c r="BT85" s="79" t="s">
        <v>464</v>
      </c>
      <c r="BU85" s="79" t="s">
        <v>1266</v>
      </c>
      <c r="BV85" s="79">
        <v>300</v>
      </c>
      <c r="BX85" s="79" t="s">
        <v>1287</v>
      </c>
      <c r="BZ85" s="81">
        <v>18</v>
      </c>
      <c r="CA85">
        <f t="shared" si="9"/>
        <v>2.8903717578961645</v>
      </c>
      <c r="CB85" s="13"/>
    </row>
    <row r="86" spans="1:80" x14ac:dyDescent="0.3">
      <c r="A86" s="2" t="s">
        <v>39</v>
      </c>
      <c r="B86" s="13" t="s">
        <v>715</v>
      </c>
      <c r="C86" s="13"/>
      <c r="D86" s="2">
        <v>3.79</v>
      </c>
      <c r="E86" s="2" t="s">
        <v>36</v>
      </c>
      <c r="F86" s="9">
        <v>-1</v>
      </c>
      <c r="G86">
        <v>-1</v>
      </c>
      <c r="H86" t="s">
        <v>1150</v>
      </c>
      <c r="I86" s="2"/>
      <c r="J86" s="25">
        <v>0</v>
      </c>
      <c r="K86">
        <v>0</v>
      </c>
      <c r="L86">
        <v>1</v>
      </c>
      <c r="M86" s="2"/>
      <c r="N86" s="2"/>
      <c r="O86" s="2"/>
      <c r="P86" s="2"/>
      <c r="Q86" s="2"/>
      <c r="R86" s="25">
        <v>0</v>
      </c>
      <c r="S86" s="25"/>
      <c r="T86" s="25"/>
      <c r="U86">
        <v>0</v>
      </c>
      <c r="X86">
        <v>5.532</v>
      </c>
      <c r="Y86">
        <v>5.532</v>
      </c>
      <c r="Z86">
        <v>11.016</v>
      </c>
      <c r="AA86" s="2" t="s">
        <v>464</v>
      </c>
      <c r="AB86">
        <v>30</v>
      </c>
      <c r="AC86" s="55">
        <f t="shared" si="1"/>
        <v>0</v>
      </c>
      <c r="AD86" s="57">
        <v>0</v>
      </c>
      <c r="AE86" s="55">
        <v>0</v>
      </c>
      <c r="AF86" s="55">
        <v>291.95700632233962</v>
      </c>
      <c r="AG86" s="52"/>
      <c r="AH86" s="51"/>
      <c r="AI86" s="52"/>
      <c r="AJ86" s="52">
        <v>0.1027548555107393</v>
      </c>
      <c r="AK86" s="28">
        <v>2</v>
      </c>
      <c r="AL86" s="28">
        <v>2.5</v>
      </c>
      <c r="AM86" s="28">
        <v>0.5</v>
      </c>
      <c r="AN86" s="28">
        <v>0</v>
      </c>
      <c r="AO86" s="28">
        <v>0.4</v>
      </c>
      <c r="AP86" s="28">
        <v>0.5</v>
      </c>
      <c r="AQ86" s="28">
        <v>0.1</v>
      </c>
      <c r="AR86" s="28">
        <v>0</v>
      </c>
      <c r="AS86" s="25">
        <v>1</v>
      </c>
      <c r="AT86" s="25">
        <v>3.44</v>
      </c>
      <c r="AU86" s="25">
        <v>2.44</v>
      </c>
      <c r="AV86" s="25">
        <v>2.6316666666666659</v>
      </c>
      <c r="AW86">
        <v>2.6316666666666668</v>
      </c>
      <c r="AX86">
        <v>5.9266157452083332</v>
      </c>
      <c r="AY86" s="75"/>
      <c r="AZ86" s="75"/>
      <c r="BA86" s="75">
        <v>0</v>
      </c>
      <c r="BE86">
        <v>5.1377427755369638E-2</v>
      </c>
      <c r="BF86">
        <v>0.1027548555107393</v>
      </c>
      <c r="BG86">
        <v>5.1377427755369638E-2</v>
      </c>
      <c r="BH86">
        <v>0</v>
      </c>
      <c r="BI86" s="79" t="s">
        <v>1293</v>
      </c>
      <c r="BJ86" s="79">
        <v>1373</v>
      </c>
      <c r="BK86" s="79">
        <v>10</v>
      </c>
      <c r="BM86" s="79" t="s">
        <v>464</v>
      </c>
      <c r="BN86" s="79" t="s">
        <v>464</v>
      </c>
      <c r="BO86" s="79">
        <v>0</v>
      </c>
      <c r="BP86" s="79">
        <v>6.2</v>
      </c>
      <c r="BQ86" s="79">
        <v>1.32</v>
      </c>
      <c r="BR86" s="79">
        <v>0</v>
      </c>
      <c r="BS86" s="79" t="s">
        <v>464</v>
      </c>
      <c r="BT86" s="79" t="s">
        <v>464</v>
      </c>
      <c r="BU86" s="79" t="s">
        <v>1266</v>
      </c>
      <c r="BV86" s="79">
        <v>300</v>
      </c>
      <c r="BX86" s="79" t="s">
        <v>1287</v>
      </c>
      <c r="BZ86" s="81">
        <v>6</v>
      </c>
      <c r="CA86">
        <f t="shared" si="9"/>
        <v>1.791759469228055</v>
      </c>
      <c r="CB86" s="13"/>
    </row>
    <row r="87" spans="1:80" x14ac:dyDescent="0.3">
      <c r="A87" s="2" t="s">
        <v>42</v>
      </c>
      <c r="B87" s="13" t="s">
        <v>718</v>
      </c>
      <c r="C87" s="13"/>
      <c r="D87" s="2">
        <v>3.82</v>
      </c>
      <c r="E87" s="2" t="s">
        <v>36</v>
      </c>
      <c r="F87" s="9">
        <v>-1</v>
      </c>
      <c r="G87">
        <v>-1</v>
      </c>
      <c r="H87" t="s">
        <v>1151</v>
      </c>
      <c r="I87" s="2"/>
      <c r="J87" s="25">
        <v>0</v>
      </c>
      <c r="K87">
        <v>0</v>
      </c>
      <c r="L87">
        <v>1</v>
      </c>
      <c r="M87" s="2"/>
      <c r="N87" s="2"/>
      <c r="O87" s="2"/>
      <c r="P87" s="2"/>
      <c r="Q87" s="2"/>
      <c r="R87" s="25">
        <v>0</v>
      </c>
      <c r="S87" s="25"/>
      <c r="T87" s="25"/>
      <c r="U87">
        <v>0</v>
      </c>
      <c r="X87">
        <v>5.55</v>
      </c>
      <c r="Y87">
        <v>5.55</v>
      </c>
      <c r="Z87">
        <v>11.066000000000001</v>
      </c>
      <c r="AA87" s="2" t="s">
        <v>464</v>
      </c>
      <c r="AB87">
        <v>30</v>
      </c>
      <c r="AC87" s="55">
        <f t="shared" si="1"/>
        <v>0</v>
      </c>
      <c r="AD87" s="57">
        <v>0</v>
      </c>
      <c r="AE87" s="55">
        <v>0</v>
      </c>
      <c r="AF87" s="55">
        <v>295.19382183577648</v>
      </c>
      <c r="AG87" s="52"/>
      <c r="AH87" s="51"/>
      <c r="AI87" s="52"/>
      <c r="AJ87" s="52">
        <v>0.1016281432092089</v>
      </c>
      <c r="AK87" s="28">
        <v>2</v>
      </c>
      <c r="AL87" s="28">
        <v>2.5</v>
      </c>
      <c r="AM87" s="28">
        <v>0.5</v>
      </c>
      <c r="AN87" s="28">
        <v>0</v>
      </c>
      <c r="AO87" s="28">
        <v>0.4</v>
      </c>
      <c r="AP87" s="28">
        <v>0.5</v>
      </c>
      <c r="AQ87" s="28">
        <v>0.1</v>
      </c>
      <c r="AR87" s="28">
        <v>0</v>
      </c>
      <c r="AS87" s="25">
        <v>0.95</v>
      </c>
      <c r="AT87" s="25">
        <v>3.44</v>
      </c>
      <c r="AU87" s="25">
        <v>2.4900000000000002</v>
      </c>
      <c r="AV87" s="25">
        <v>2.6295833333333332</v>
      </c>
      <c r="AW87">
        <v>2.6295833333333332</v>
      </c>
      <c r="AX87">
        <v>5.9184746406250008</v>
      </c>
      <c r="AY87" s="75"/>
      <c r="AZ87" s="75"/>
      <c r="BA87" s="75">
        <v>0</v>
      </c>
      <c r="BE87">
        <v>5.0814071604604473E-2</v>
      </c>
      <c r="BF87">
        <v>0.1016281432092089</v>
      </c>
      <c r="BG87">
        <v>5.0814071604604473E-2</v>
      </c>
      <c r="BH87">
        <v>0</v>
      </c>
      <c r="BI87" s="79" t="s">
        <v>1293</v>
      </c>
      <c r="BJ87" s="79">
        <v>1373</v>
      </c>
      <c r="BK87" s="79">
        <v>10</v>
      </c>
      <c r="BM87" s="79" t="s">
        <v>464</v>
      </c>
      <c r="BN87" s="79" t="s">
        <v>464</v>
      </c>
      <c r="BO87" s="79">
        <v>0</v>
      </c>
      <c r="BP87" s="79">
        <v>6.2</v>
      </c>
      <c r="BQ87" s="79">
        <v>1.32</v>
      </c>
      <c r="BR87" s="79">
        <v>0</v>
      </c>
      <c r="BS87" s="79" t="s">
        <v>464</v>
      </c>
      <c r="BT87" s="79" t="s">
        <v>464</v>
      </c>
      <c r="BU87" s="79" t="s">
        <v>1266</v>
      </c>
      <c r="BV87" s="79">
        <v>300</v>
      </c>
      <c r="BX87" s="79" t="s">
        <v>1287</v>
      </c>
      <c r="BZ87" s="81">
        <v>4</v>
      </c>
      <c r="CA87">
        <f t="shared" si="9"/>
        <v>1.3862943611198906</v>
      </c>
      <c r="CB87" s="13"/>
    </row>
    <row r="88" spans="1:80" x14ac:dyDescent="0.3">
      <c r="A88" s="2" t="s">
        <v>40</v>
      </c>
      <c r="B88" s="13" t="s">
        <v>716</v>
      </c>
      <c r="C88" s="13"/>
      <c r="D88" s="2">
        <v>3.85</v>
      </c>
      <c r="E88" s="2" t="s">
        <v>36</v>
      </c>
      <c r="F88" s="9" t="s">
        <v>546</v>
      </c>
      <c r="G88" t="s">
        <v>627</v>
      </c>
      <c r="I88" s="2"/>
      <c r="J88" s="25">
        <v>2</v>
      </c>
      <c r="K88">
        <v>2</v>
      </c>
      <c r="L88">
        <v>0</v>
      </c>
      <c r="M88" s="2"/>
      <c r="N88" s="2"/>
      <c r="O88" s="2"/>
      <c r="P88" s="2"/>
      <c r="Q88" s="2"/>
      <c r="R88" s="25">
        <v>5.6269875200000001</v>
      </c>
      <c r="S88" s="25">
        <v>5.6269875200000001</v>
      </c>
      <c r="T88" s="25">
        <v>22.749475</v>
      </c>
      <c r="U88">
        <v>5.5670999999999999</v>
      </c>
      <c r="V88">
        <v>5.5670999999999999</v>
      </c>
      <c r="W88">
        <v>22.4603</v>
      </c>
      <c r="X88">
        <v>0</v>
      </c>
      <c r="AA88" s="2" t="s">
        <v>464</v>
      </c>
      <c r="AB88">
        <v>30</v>
      </c>
      <c r="AC88" s="55">
        <f t="shared" si="1"/>
        <v>0</v>
      </c>
      <c r="AD88" s="57">
        <v>623.81230762201892</v>
      </c>
      <c r="AE88" s="55">
        <v>602.84300974379039</v>
      </c>
      <c r="AF88" s="55">
        <v>0</v>
      </c>
      <c r="AG88" s="52"/>
      <c r="AH88" s="51">
        <v>9.6182776881592519E-2</v>
      </c>
      <c r="AI88" s="52">
        <v>9.9528399650018556E-2</v>
      </c>
      <c r="AJ88" s="52"/>
      <c r="AK88" s="28">
        <v>2</v>
      </c>
      <c r="AL88" s="28">
        <v>2.5</v>
      </c>
      <c r="AM88" s="28">
        <v>0.5</v>
      </c>
      <c r="AN88" s="28">
        <v>0</v>
      </c>
      <c r="AO88" s="28">
        <v>0.4</v>
      </c>
      <c r="AP88" s="28">
        <v>0.5</v>
      </c>
      <c r="AQ88" s="28">
        <v>0.1</v>
      </c>
      <c r="AR88" s="28">
        <v>0</v>
      </c>
      <c r="AS88" s="25">
        <v>0.89</v>
      </c>
      <c r="AT88" s="25">
        <v>3.44</v>
      </c>
      <c r="AU88" s="25">
        <v>2.5499999999999998</v>
      </c>
      <c r="AV88" s="25">
        <v>2.6270833333333332</v>
      </c>
      <c r="AW88">
        <v>2.6270833333333332</v>
      </c>
      <c r="AX88">
        <v>5.9103362479166668</v>
      </c>
      <c r="AY88" s="75">
        <v>0.55608047790729209</v>
      </c>
      <c r="AZ88" s="75">
        <v>0</v>
      </c>
      <c r="BA88" s="75"/>
      <c r="BC88">
        <v>4.8091388440796259E-2</v>
      </c>
      <c r="BD88">
        <v>4.9764199825009278E-2</v>
      </c>
      <c r="BF88">
        <v>9.7855588265805538E-2</v>
      </c>
      <c r="BG88">
        <v>4.8927794132902769E-2</v>
      </c>
      <c r="BH88">
        <v>0.27804023895364599</v>
      </c>
      <c r="BI88" s="79" t="s">
        <v>1293</v>
      </c>
      <c r="BJ88" s="79">
        <v>1373</v>
      </c>
      <c r="BK88" s="79">
        <v>10</v>
      </c>
      <c r="BM88" s="79" t="s">
        <v>464</v>
      </c>
      <c r="BN88" s="79" t="s">
        <v>464</v>
      </c>
      <c r="BO88" s="79">
        <v>0</v>
      </c>
      <c r="BP88" s="79">
        <v>6.1</v>
      </c>
      <c r="BQ88" s="79">
        <v>1.32</v>
      </c>
      <c r="BR88" s="79">
        <v>0</v>
      </c>
      <c r="BS88" s="79" t="s">
        <v>464</v>
      </c>
      <c r="BT88" s="79" t="s">
        <v>464</v>
      </c>
      <c r="BU88" s="79" t="s">
        <v>1266</v>
      </c>
      <c r="BV88" s="79">
        <v>300</v>
      </c>
      <c r="BX88" s="79" t="s">
        <v>1287</v>
      </c>
      <c r="BZ88" s="81">
        <v>10</v>
      </c>
      <c r="CA88">
        <f t="shared" si="9"/>
        <v>2.3025850929940459</v>
      </c>
      <c r="CB88" s="13"/>
    </row>
    <row r="89" spans="1:80" x14ac:dyDescent="0.3">
      <c r="A89" s="2" t="s">
        <v>43</v>
      </c>
      <c r="B89" s="13" t="s">
        <v>719</v>
      </c>
      <c r="C89" s="13"/>
      <c r="D89" s="2">
        <v>4.07</v>
      </c>
      <c r="E89" s="2" t="s">
        <v>36</v>
      </c>
      <c r="F89" s="9" t="s">
        <v>548</v>
      </c>
      <c r="G89">
        <v>-1</v>
      </c>
      <c r="I89" s="2"/>
      <c r="J89" s="25">
        <v>1</v>
      </c>
      <c r="K89">
        <v>0</v>
      </c>
      <c r="L89">
        <v>0</v>
      </c>
      <c r="M89" s="2"/>
      <c r="N89" s="2"/>
      <c r="O89" s="2"/>
      <c r="P89" s="2"/>
      <c r="Q89" s="2"/>
      <c r="R89" s="25">
        <v>9.9321903099999993</v>
      </c>
      <c r="S89" s="25">
        <v>9.9321903099999993</v>
      </c>
      <c r="T89" s="25">
        <v>9.9321899499999997</v>
      </c>
      <c r="U89">
        <v>0</v>
      </c>
      <c r="X89">
        <v>0</v>
      </c>
      <c r="AA89" s="2" t="s">
        <v>464</v>
      </c>
      <c r="AB89">
        <v>24</v>
      </c>
      <c r="AC89" s="55">
        <f t="shared" si="1"/>
        <v>0</v>
      </c>
      <c r="AD89" s="57">
        <v>275.17611786249188</v>
      </c>
      <c r="AE89" s="55">
        <v>0</v>
      </c>
      <c r="AF89" s="55">
        <v>0</v>
      </c>
      <c r="AG89" s="52"/>
      <c r="AH89" s="51">
        <v>8.7216871094871057E-2</v>
      </c>
      <c r="AI89" s="52"/>
      <c r="AJ89" s="52"/>
      <c r="AK89" s="28">
        <v>1.8421052631578949</v>
      </c>
      <c r="AL89" s="28">
        <v>2.5263157894736841</v>
      </c>
      <c r="AM89" s="28">
        <v>0.68421052631578949</v>
      </c>
      <c r="AN89" s="28">
        <v>0</v>
      </c>
      <c r="AO89" s="28">
        <v>0.36458333333333343</v>
      </c>
      <c r="AP89" s="28">
        <v>0.5</v>
      </c>
      <c r="AQ89" s="28">
        <v>0.13541666666666671</v>
      </c>
      <c r="AR89" s="28">
        <v>0</v>
      </c>
      <c r="AS89" s="25">
        <v>0.89</v>
      </c>
      <c r="AT89" s="25">
        <v>3.44</v>
      </c>
      <c r="AU89" s="25">
        <v>2.5499999999999998</v>
      </c>
      <c r="AV89" s="25">
        <v>2.6236842105263158</v>
      </c>
      <c r="AW89">
        <v>2.623684210526315</v>
      </c>
      <c r="AX89">
        <v>5.9521582263157891</v>
      </c>
      <c r="AY89" s="75">
        <v>0.56264133404440497</v>
      </c>
      <c r="AZ89" s="75"/>
      <c r="BA89" s="75"/>
      <c r="BC89">
        <v>4.3608435547435528E-2</v>
      </c>
      <c r="BF89">
        <v>8.7216871094871057E-2</v>
      </c>
      <c r="BG89">
        <v>4.3608435547435528E-2</v>
      </c>
      <c r="BH89">
        <v>0.56264133404440497</v>
      </c>
      <c r="BI89" s="79" t="s">
        <v>1293</v>
      </c>
      <c r="BJ89" s="79">
        <v>1073</v>
      </c>
      <c r="BK89" s="79">
        <v>10</v>
      </c>
      <c r="BM89" s="79" t="s">
        <v>464</v>
      </c>
      <c r="BN89" s="79" t="s">
        <v>464</v>
      </c>
      <c r="BO89" s="79">
        <v>0</v>
      </c>
      <c r="BP89" s="79">
        <v>5.8</v>
      </c>
      <c r="BQ89" s="79">
        <v>1.32</v>
      </c>
      <c r="BR89" s="79">
        <v>0</v>
      </c>
      <c r="BS89" s="79" t="s">
        <v>464</v>
      </c>
      <c r="BT89" s="79" t="s">
        <v>464</v>
      </c>
      <c r="BU89" s="79" t="s">
        <v>1266</v>
      </c>
      <c r="BV89" s="79">
        <v>300</v>
      </c>
      <c r="BX89" s="79" t="s">
        <v>1287</v>
      </c>
      <c r="BZ89" s="81">
        <v>4</v>
      </c>
      <c r="CA89">
        <f t="shared" si="9"/>
        <v>1.3862943611198906</v>
      </c>
      <c r="CB89" s="13"/>
    </row>
    <row r="90" spans="1:80" x14ac:dyDescent="0.3">
      <c r="A90" s="2" t="s">
        <v>37</v>
      </c>
      <c r="B90" s="13" t="s">
        <v>713</v>
      </c>
      <c r="C90" s="13"/>
      <c r="D90" s="2">
        <v>4.04</v>
      </c>
      <c r="E90" s="2" t="s">
        <v>36</v>
      </c>
      <c r="F90" s="9" t="s">
        <v>544</v>
      </c>
      <c r="G90" t="s">
        <v>625</v>
      </c>
      <c r="I90" s="2"/>
      <c r="J90" s="25">
        <v>1</v>
      </c>
      <c r="K90">
        <v>2</v>
      </c>
      <c r="L90">
        <v>0</v>
      </c>
      <c r="M90" s="2"/>
      <c r="N90" s="2"/>
      <c r="O90" s="2"/>
      <c r="P90" s="2"/>
      <c r="Q90" s="2"/>
      <c r="R90" s="25">
        <v>5.7458564399999998</v>
      </c>
      <c r="S90" s="25">
        <v>5.7458564399999998</v>
      </c>
      <c r="T90" s="25">
        <v>11.67169612</v>
      </c>
      <c r="U90">
        <v>5.6660000000000004</v>
      </c>
      <c r="V90">
        <v>5.6659999999999986</v>
      </c>
      <c r="W90">
        <v>22.968</v>
      </c>
      <c r="X90">
        <v>0</v>
      </c>
      <c r="AA90" s="2" t="s">
        <v>464</v>
      </c>
      <c r="AB90">
        <v>30</v>
      </c>
      <c r="AC90" s="55">
        <f t="shared" si="1"/>
        <v>0</v>
      </c>
      <c r="AD90" s="57">
        <v>333.30247418302179</v>
      </c>
      <c r="AE90" s="55">
        <v>638.56770625824583</v>
      </c>
      <c r="AF90" s="55">
        <v>0</v>
      </c>
      <c r="AG90" s="52"/>
      <c r="AH90" s="51">
        <v>9.0008332742008132E-2</v>
      </c>
      <c r="AI90" s="52">
        <v>9.3960279249911127E-2</v>
      </c>
      <c r="AJ90" s="52"/>
      <c r="AK90" s="28">
        <v>1.833333333333333</v>
      </c>
      <c r="AL90" s="28">
        <v>2.5</v>
      </c>
      <c r="AM90" s="28">
        <v>0.66666666666666663</v>
      </c>
      <c r="AN90" s="28">
        <v>0</v>
      </c>
      <c r="AO90" s="28">
        <v>0.36666666666666659</v>
      </c>
      <c r="AP90" s="28">
        <v>0.5</v>
      </c>
      <c r="AQ90" s="28">
        <v>0.1333333333333333</v>
      </c>
      <c r="AR90" s="28">
        <v>0</v>
      </c>
      <c r="AS90" s="25">
        <v>0.95</v>
      </c>
      <c r="AT90" s="25">
        <v>3.44</v>
      </c>
      <c r="AU90" s="25">
        <v>2.4900000000000002</v>
      </c>
      <c r="AV90" s="25">
        <v>2.614583333333333</v>
      </c>
      <c r="AW90">
        <v>2.614583333333333</v>
      </c>
      <c r="AX90">
        <v>5.9505645781250003</v>
      </c>
      <c r="AY90" s="75">
        <v>0.54547732833861384</v>
      </c>
      <c r="AZ90" s="75">
        <v>0.56942730227099381</v>
      </c>
      <c r="BA90" s="75"/>
      <c r="BC90">
        <v>4.5004166371004073E-2</v>
      </c>
      <c r="BD90">
        <v>4.6980139624955557E-2</v>
      </c>
      <c r="BF90">
        <v>9.1984305995959637E-2</v>
      </c>
      <c r="BG90">
        <v>4.5992152997979818E-2</v>
      </c>
      <c r="BH90">
        <v>0.55745231530480388</v>
      </c>
      <c r="BI90" s="79" t="s">
        <v>1293</v>
      </c>
      <c r="BJ90" s="79">
        <v>1073</v>
      </c>
      <c r="BK90" s="79">
        <v>10</v>
      </c>
      <c r="BM90" s="79" t="s">
        <v>464</v>
      </c>
      <c r="BN90" s="79" t="s">
        <v>464</v>
      </c>
      <c r="BO90" s="79">
        <v>0</v>
      </c>
      <c r="BP90" s="79">
        <v>7.9</v>
      </c>
      <c r="BQ90" s="79">
        <v>1.32</v>
      </c>
      <c r="BR90" s="79">
        <v>0</v>
      </c>
      <c r="BS90" s="79" t="s">
        <v>464</v>
      </c>
      <c r="BT90" s="79" t="s">
        <v>464</v>
      </c>
      <c r="BU90" s="79" t="s">
        <v>1266</v>
      </c>
      <c r="BV90" s="79">
        <v>300</v>
      </c>
      <c r="BX90" s="79" t="s">
        <v>1287</v>
      </c>
      <c r="BZ90" s="81">
        <v>6</v>
      </c>
      <c r="CA90">
        <f t="shared" si="9"/>
        <v>1.791759469228055</v>
      </c>
      <c r="CB90" s="13"/>
    </row>
    <row r="91" spans="1:80" x14ac:dyDescent="0.3">
      <c r="A91" s="2" t="s">
        <v>38</v>
      </c>
      <c r="B91" s="13" t="s">
        <v>714</v>
      </c>
      <c r="C91" s="13"/>
      <c r="D91" s="2">
        <v>3.87</v>
      </c>
      <c r="E91" s="2" t="s">
        <v>36</v>
      </c>
      <c r="F91" s="9" t="s">
        <v>545</v>
      </c>
      <c r="G91" t="s">
        <v>626</v>
      </c>
      <c r="I91" s="2"/>
      <c r="J91" s="25">
        <v>1</v>
      </c>
      <c r="K91">
        <v>1</v>
      </c>
      <c r="L91">
        <v>0</v>
      </c>
      <c r="M91" s="2"/>
      <c r="N91" s="2"/>
      <c r="O91" s="2"/>
      <c r="P91" s="2"/>
      <c r="Q91" s="2"/>
      <c r="R91" s="25">
        <v>5.8532381300000003</v>
      </c>
      <c r="S91" s="25">
        <v>5.8532371599999999</v>
      </c>
      <c r="T91" s="25">
        <v>11.912811489999999</v>
      </c>
      <c r="U91">
        <v>5.7946</v>
      </c>
      <c r="V91">
        <v>5.7946</v>
      </c>
      <c r="W91">
        <v>11.787599999999999</v>
      </c>
      <c r="X91">
        <v>0</v>
      </c>
      <c r="AA91" s="2" t="s">
        <v>464</v>
      </c>
      <c r="AB91">
        <v>30</v>
      </c>
      <c r="AC91" s="55">
        <f t="shared" si="1"/>
        <v>0</v>
      </c>
      <c r="AD91" s="57">
        <v>353.45760058531442</v>
      </c>
      <c r="AE91" s="55">
        <v>342.77011164986573</v>
      </c>
      <c r="AF91" s="55">
        <v>0</v>
      </c>
      <c r="AG91" s="52"/>
      <c r="AH91" s="51">
        <v>8.487580957467307E-2</v>
      </c>
      <c r="AI91" s="52">
        <v>8.752221672887435E-2</v>
      </c>
      <c r="AJ91" s="52"/>
      <c r="AK91" s="28">
        <v>1.833333333333333</v>
      </c>
      <c r="AL91" s="28">
        <v>2.5</v>
      </c>
      <c r="AM91" s="28">
        <v>0.66666666666666663</v>
      </c>
      <c r="AN91" s="28">
        <v>0</v>
      </c>
      <c r="AO91" s="28">
        <v>0.36666666666666659</v>
      </c>
      <c r="AP91" s="28">
        <v>0.5</v>
      </c>
      <c r="AQ91" s="28">
        <v>0.1333333333333333</v>
      </c>
      <c r="AR91" s="28">
        <v>0</v>
      </c>
      <c r="AS91" s="25">
        <v>0.89</v>
      </c>
      <c r="AT91" s="25">
        <v>3.44</v>
      </c>
      <c r="AU91" s="25">
        <v>2.5499999999999998</v>
      </c>
      <c r="AV91" s="25">
        <v>2.6020833333333329</v>
      </c>
      <c r="AW91">
        <v>2.6020833333333329</v>
      </c>
      <c r="AX91">
        <v>5.9098726145833336</v>
      </c>
      <c r="AY91" s="75">
        <v>0.57410011132036598</v>
      </c>
      <c r="AZ91" s="75">
        <v>0.59200041353179045</v>
      </c>
      <c r="BA91" s="75"/>
      <c r="BC91">
        <v>4.2437904787336528E-2</v>
      </c>
      <c r="BD91">
        <v>4.3761108364437168E-2</v>
      </c>
      <c r="BF91">
        <v>8.619901315177371E-2</v>
      </c>
      <c r="BG91">
        <v>4.3099506575886848E-2</v>
      </c>
      <c r="BH91">
        <v>0.58305026242607827</v>
      </c>
      <c r="BI91" s="79" t="s">
        <v>1293</v>
      </c>
      <c r="BJ91" s="79">
        <v>1073</v>
      </c>
      <c r="BK91" s="79">
        <v>10</v>
      </c>
      <c r="BM91" s="79" t="s">
        <v>464</v>
      </c>
      <c r="BN91" s="79" t="s">
        <v>464</v>
      </c>
      <c r="BO91" s="79">
        <v>0</v>
      </c>
      <c r="BP91" s="79">
        <v>1.9</v>
      </c>
      <c r="BQ91" s="79">
        <v>1.32</v>
      </c>
      <c r="BR91" s="79">
        <v>0</v>
      </c>
      <c r="BS91" s="79" t="s">
        <v>464</v>
      </c>
      <c r="BT91" s="79" t="s">
        <v>464</v>
      </c>
      <c r="BU91" s="79" t="s">
        <v>1266</v>
      </c>
      <c r="BV91" s="79">
        <v>300</v>
      </c>
      <c r="BX91" s="79" t="s">
        <v>1287</v>
      </c>
      <c r="BZ91" s="81">
        <v>6</v>
      </c>
      <c r="CA91">
        <f t="shared" si="9"/>
        <v>1.791759469228055</v>
      </c>
      <c r="CB91" s="13"/>
    </row>
    <row r="92" spans="1:80" x14ac:dyDescent="0.3">
      <c r="A92" s="2" t="s">
        <v>41</v>
      </c>
      <c r="B92" s="13" t="s">
        <v>717</v>
      </c>
      <c r="C92" s="13"/>
      <c r="D92" s="2">
        <v>3.95</v>
      </c>
      <c r="E92" s="2" t="s">
        <v>36</v>
      </c>
      <c r="F92" s="9" t="s">
        <v>547</v>
      </c>
      <c r="G92" t="s">
        <v>628</v>
      </c>
      <c r="I92" s="2"/>
      <c r="J92" s="25">
        <v>1</v>
      </c>
      <c r="K92">
        <v>3</v>
      </c>
      <c r="L92">
        <v>0</v>
      </c>
      <c r="M92" s="2"/>
      <c r="N92" s="2"/>
      <c r="O92" s="2"/>
      <c r="P92" s="2"/>
      <c r="Q92" s="2"/>
      <c r="R92" s="25">
        <v>9.3662349099999993</v>
      </c>
      <c r="S92" s="25">
        <v>9.3662349099999993</v>
      </c>
      <c r="T92" s="25">
        <v>9.3662351000000008</v>
      </c>
      <c r="U92">
        <v>5.5609999999999999</v>
      </c>
      <c r="V92">
        <v>5.5609999999999999</v>
      </c>
      <c r="W92">
        <v>26.24</v>
      </c>
      <c r="X92">
        <v>0</v>
      </c>
      <c r="AA92" s="2" t="s">
        <v>464</v>
      </c>
      <c r="AB92">
        <v>24</v>
      </c>
      <c r="AC92" s="55">
        <f t="shared" ref="AC92:AC95" si="10">M92*N92*O92</f>
        <v>0</v>
      </c>
      <c r="AD92" s="57">
        <v>238.908881754341</v>
      </c>
      <c r="AE92" s="55">
        <v>702.74902632242595</v>
      </c>
      <c r="AF92" s="55">
        <v>0</v>
      </c>
      <c r="AG92" s="52"/>
      <c r="AH92" s="51">
        <v>0.10045670895014321</v>
      </c>
      <c r="AI92" s="52">
        <v>0.1024547844296349</v>
      </c>
      <c r="AJ92" s="52"/>
      <c r="AK92" s="28">
        <v>2</v>
      </c>
      <c r="AL92" s="28">
        <v>2.5263157894736841</v>
      </c>
      <c r="AM92" s="28">
        <v>0.52631578947368418</v>
      </c>
      <c r="AN92" s="28">
        <v>0</v>
      </c>
      <c r="AO92" s="28">
        <v>0.39583333333333343</v>
      </c>
      <c r="AP92" s="28">
        <v>0.5</v>
      </c>
      <c r="AQ92" s="28">
        <v>0.1041666666666667</v>
      </c>
      <c r="AR92" s="28">
        <v>0</v>
      </c>
      <c r="AS92" s="25">
        <v>1.1000000000000001</v>
      </c>
      <c r="AT92" s="25">
        <v>3.44</v>
      </c>
      <c r="AU92" s="25">
        <v>2.34</v>
      </c>
      <c r="AV92" s="25">
        <v>2.647368421052632</v>
      </c>
      <c r="AW92">
        <v>2.6473684210526311</v>
      </c>
      <c r="AX92">
        <v>5.9525974578947363</v>
      </c>
      <c r="AY92" s="75">
        <v>0.55552189395192297</v>
      </c>
      <c r="AZ92" s="75">
        <v>0.56657117763069742</v>
      </c>
      <c r="BA92" s="75"/>
      <c r="BC92">
        <v>5.0228354475071582E-2</v>
      </c>
      <c r="BD92">
        <v>5.1227392214817473E-2</v>
      </c>
      <c r="BF92">
        <v>0.10145574668988901</v>
      </c>
      <c r="BG92">
        <v>5.0727873344944517E-2</v>
      </c>
      <c r="BH92">
        <v>0.56104653579131014</v>
      </c>
      <c r="BI92" s="79" t="s">
        <v>1293</v>
      </c>
      <c r="BJ92" s="79">
        <v>1473</v>
      </c>
      <c r="BK92" s="79">
        <v>10</v>
      </c>
      <c r="BM92" s="79" t="s">
        <v>1275</v>
      </c>
      <c r="BN92" s="79" t="s">
        <v>56</v>
      </c>
      <c r="BO92" s="79">
        <v>0.6</v>
      </c>
      <c r="BP92" s="79">
        <v>3.4</v>
      </c>
      <c r="BQ92" s="79">
        <v>1.32</v>
      </c>
      <c r="BR92" s="79">
        <v>0</v>
      </c>
      <c r="BS92" s="79" t="s">
        <v>464</v>
      </c>
      <c r="BT92" s="79" t="s">
        <v>464</v>
      </c>
      <c r="BU92" s="79" t="s">
        <v>1266</v>
      </c>
      <c r="BV92" s="79">
        <v>300</v>
      </c>
      <c r="BX92" s="79" t="s">
        <v>1287</v>
      </c>
      <c r="BZ92" s="81">
        <f>357*2</f>
        <v>714</v>
      </c>
      <c r="CA92">
        <f t="shared" si="9"/>
        <v>6.5708829623395841</v>
      </c>
      <c r="CB92" s="13"/>
    </row>
    <row r="93" spans="1:80" x14ac:dyDescent="0.3">
      <c r="A93" s="2" t="s">
        <v>39</v>
      </c>
      <c r="B93" s="13" t="s">
        <v>715</v>
      </c>
      <c r="C93" s="13"/>
      <c r="D93" s="2">
        <v>3.79</v>
      </c>
      <c r="E93" s="2" t="s">
        <v>36</v>
      </c>
      <c r="F93" s="9">
        <v>-1</v>
      </c>
      <c r="G93">
        <v>-1</v>
      </c>
      <c r="H93" t="s">
        <v>1150</v>
      </c>
      <c r="I93" s="2"/>
      <c r="J93" s="25">
        <v>0</v>
      </c>
      <c r="K93">
        <v>0</v>
      </c>
      <c r="L93">
        <v>1</v>
      </c>
      <c r="M93" s="2"/>
      <c r="N93" s="2"/>
      <c r="O93" s="2"/>
      <c r="P93" s="2"/>
      <c r="Q93" s="2"/>
      <c r="R93" s="25">
        <v>0</v>
      </c>
      <c r="S93" s="25"/>
      <c r="T93" s="25"/>
      <c r="U93">
        <v>0</v>
      </c>
      <c r="X93">
        <v>5.532</v>
      </c>
      <c r="Y93">
        <v>5.532</v>
      </c>
      <c r="Z93">
        <v>11.016</v>
      </c>
      <c r="AA93" s="2" t="s">
        <v>464</v>
      </c>
      <c r="AB93">
        <v>30</v>
      </c>
      <c r="AC93" s="55">
        <f t="shared" si="10"/>
        <v>0</v>
      </c>
      <c r="AD93" s="57">
        <v>0</v>
      </c>
      <c r="AE93" s="55">
        <v>0</v>
      </c>
      <c r="AF93" s="55">
        <v>291.95700632233962</v>
      </c>
      <c r="AG93" s="52"/>
      <c r="AH93" s="51"/>
      <c r="AI93" s="52"/>
      <c r="AJ93" s="52">
        <v>0.1027548555107393</v>
      </c>
      <c r="AK93" s="28">
        <v>2</v>
      </c>
      <c r="AL93" s="28">
        <v>2.5</v>
      </c>
      <c r="AM93" s="28">
        <v>0.5</v>
      </c>
      <c r="AN93" s="28">
        <v>0</v>
      </c>
      <c r="AO93" s="28">
        <v>0.4</v>
      </c>
      <c r="AP93" s="28">
        <v>0.5</v>
      </c>
      <c r="AQ93" s="28">
        <v>0.1</v>
      </c>
      <c r="AR93" s="28">
        <v>0</v>
      </c>
      <c r="AS93" s="25">
        <v>1</v>
      </c>
      <c r="AT93" s="25">
        <v>3.44</v>
      </c>
      <c r="AU93" s="25">
        <v>2.44</v>
      </c>
      <c r="AV93" s="25">
        <v>2.6316666666666659</v>
      </c>
      <c r="AW93">
        <v>2.6316666666666668</v>
      </c>
      <c r="AX93">
        <v>5.9266157452083332</v>
      </c>
      <c r="AY93" s="75"/>
      <c r="AZ93" s="75"/>
      <c r="BA93" s="75">
        <v>0</v>
      </c>
      <c r="BE93">
        <v>5.1377427755369638E-2</v>
      </c>
      <c r="BF93">
        <v>0.1027548555107393</v>
      </c>
      <c r="BG93">
        <v>5.1377427755369638E-2</v>
      </c>
      <c r="BH93">
        <v>0</v>
      </c>
      <c r="BI93" s="79" t="s">
        <v>1293</v>
      </c>
      <c r="BJ93" s="79">
        <v>1373</v>
      </c>
      <c r="BK93" s="79">
        <v>10</v>
      </c>
      <c r="BM93" s="79" t="s">
        <v>1275</v>
      </c>
      <c r="BN93" s="79" t="s">
        <v>56</v>
      </c>
      <c r="BO93" s="79">
        <v>0.2</v>
      </c>
      <c r="BP93" s="79">
        <v>6.2</v>
      </c>
      <c r="BQ93" s="79">
        <v>1.32</v>
      </c>
      <c r="BR93" s="79">
        <v>0</v>
      </c>
      <c r="BS93" s="79" t="s">
        <v>464</v>
      </c>
      <c r="BT93" s="79" t="s">
        <v>464</v>
      </c>
      <c r="BU93" s="79" t="s">
        <v>1266</v>
      </c>
      <c r="BV93" s="79">
        <v>300</v>
      </c>
      <c r="BX93" s="79" t="s">
        <v>1287</v>
      </c>
      <c r="BZ93" s="81">
        <f>11*2</f>
        <v>22</v>
      </c>
      <c r="CA93">
        <f t="shared" si="9"/>
        <v>3.0910424533583161</v>
      </c>
      <c r="CB93" s="13"/>
    </row>
    <row r="94" spans="1:80" x14ac:dyDescent="0.3">
      <c r="A94" s="2" t="s">
        <v>42</v>
      </c>
      <c r="B94" s="13" t="s">
        <v>718</v>
      </c>
      <c r="C94" s="13"/>
      <c r="D94" s="2">
        <v>3.82</v>
      </c>
      <c r="E94" s="2" t="s">
        <v>36</v>
      </c>
      <c r="F94" s="9">
        <v>-1</v>
      </c>
      <c r="G94">
        <v>-1</v>
      </c>
      <c r="H94" t="s">
        <v>1151</v>
      </c>
      <c r="I94" s="2"/>
      <c r="J94" s="25">
        <v>0</v>
      </c>
      <c r="K94">
        <v>0</v>
      </c>
      <c r="L94">
        <v>1</v>
      </c>
      <c r="M94" s="2"/>
      <c r="N94" s="2"/>
      <c r="O94" s="2"/>
      <c r="P94" s="2"/>
      <c r="Q94" s="2"/>
      <c r="R94" s="25">
        <v>0</v>
      </c>
      <c r="S94" s="25"/>
      <c r="T94" s="25"/>
      <c r="U94">
        <v>0</v>
      </c>
      <c r="X94">
        <v>5.55</v>
      </c>
      <c r="Y94">
        <v>5.55</v>
      </c>
      <c r="Z94">
        <v>11.066000000000001</v>
      </c>
      <c r="AA94" s="2" t="s">
        <v>464</v>
      </c>
      <c r="AB94">
        <v>30</v>
      </c>
      <c r="AC94" s="55">
        <f t="shared" si="10"/>
        <v>0</v>
      </c>
      <c r="AD94" s="57">
        <v>0</v>
      </c>
      <c r="AE94" s="55">
        <v>0</v>
      </c>
      <c r="AF94" s="55">
        <v>295.19382183577648</v>
      </c>
      <c r="AG94" s="52"/>
      <c r="AH94" s="51"/>
      <c r="AI94" s="52"/>
      <c r="AJ94" s="52">
        <v>0.1016281432092089</v>
      </c>
      <c r="AK94" s="28">
        <v>2</v>
      </c>
      <c r="AL94" s="28">
        <v>2.5</v>
      </c>
      <c r="AM94" s="28">
        <v>0.5</v>
      </c>
      <c r="AN94" s="28">
        <v>0</v>
      </c>
      <c r="AO94" s="28">
        <v>0.4</v>
      </c>
      <c r="AP94" s="28">
        <v>0.5</v>
      </c>
      <c r="AQ94" s="28">
        <v>0.1</v>
      </c>
      <c r="AR94" s="28">
        <v>0</v>
      </c>
      <c r="AS94" s="25">
        <v>0.95</v>
      </c>
      <c r="AT94" s="25">
        <v>3.44</v>
      </c>
      <c r="AU94" s="25">
        <v>2.4900000000000002</v>
      </c>
      <c r="AV94" s="25">
        <v>2.6295833333333332</v>
      </c>
      <c r="AW94">
        <v>2.6295833333333332</v>
      </c>
      <c r="AX94">
        <v>5.9184746406250008</v>
      </c>
      <c r="AY94" s="75"/>
      <c r="AZ94" s="75"/>
      <c r="BA94" s="75">
        <v>0</v>
      </c>
      <c r="BE94">
        <v>5.0814071604604473E-2</v>
      </c>
      <c r="BF94">
        <v>0.1016281432092089</v>
      </c>
      <c r="BG94">
        <v>5.0814071604604473E-2</v>
      </c>
      <c r="BH94">
        <v>0</v>
      </c>
      <c r="BI94" s="79" t="s">
        <v>1293</v>
      </c>
      <c r="BJ94" s="79">
        <v>1373</v>
      </c>
      <c r="BK94" s="79">
        <v>10</v>
      </c>
      <c r="BM94" s="79" t="s">
        <v>1275</v>
      </c>
      <c r="BN94" s="79" t="s">
        <v>56</v>
      </c>
      <c r="BO94" s="79">
        <v>0.7</v>
      </c>
      <c r="BP94" s="79">
        <v>6.2</v>
      </c>
      <c r="BQ94" s="79">
        <v>1.32</v>
      </c>
      <c r="BR94" s="79">
        <v>0</v>
      </c>
      <c r="BS94" s="79" t="s">
        <v>464</v>
      </c>
      <c r="BT94" s="79" t="s">
        <v>464</v>
      </c>
      <c r="BU94" s="79" t="s">
        <v>1266</v>
      </c>
      <c r="BV94" s="79">
        <v>300</v>
      </c>
      <c r="BX94" s="79" t="s">
        <v>1287</v>
      </c>
      <c r="BZ94" s="81">
        <f>23*2</f>
        <v>46</v>
      </c>
      <c r="CA94">
        <f t="shared" si="9"/>
        <v>3.8286413964890951</v>
      </c>
      <c r="CB94" s="13"/>
    </row>
    <row r="95" spans="1:80" ht="15" customHeight="1" x14ac:dyDescent="0.3">
      <c r="A95" s="2" t="s">
        <v>39</v>
      </c>
      <c r="B95" s="13" t="s">
        <v>716</v>
      </c>
      <c r="C95" s="13"/>
      <c r="D95" s="2">
        <v>3.85</v>
      </c>
      <c r="E95" s="2" t="s">
        <v>36</v>
      </c>
      <c r="F95" s="9" t="s">
        <v>546</v>
      </c>
      <c r="G95" t="s">
        <v>627</v>
      </c>
      <c r="I95" s="2"/>
      <c r="J95" s="25">
        <v>2</v>
      </c>
      <c r="K95">
        <v>2</v>
      </c>
      <c r="L95">
        <v>0</v>
      </c>
      <c r="M95" s="2"/>
      <c r="N95" s="2"/>
      <c r="O95" s="2"/>
      <c r="P95" s="2"/>
      <c r="Q95" s="2"/>
      <c r="R95" s="25">
        <v>5.6269875200000001</v>
      </c>
      <c r="S95" s="25">
        <v>5.6269875200000001</v>
      </c>
      <c r="T95" s="25">
        <v>22.749475</v>
      </c>
      <c r="U95">
        <v>5.5670999999999999</v>
      </c>
      <c r="V95">
        <v>5.5670999999999999</v>
      </c>
      <c r="W95">
        <v>22.4603</v>
      </c>
      <c r="X95">
        <v>0</v>
      </c>
      <c r="AA95" s="2" t="s">
        <v>464</v>
      </c>
      <c r="AB95">
        <v>30</v>
      </c>
      <c r="AC95" s="55">
        <f t="shared" si="10"/>
        <v>0</v>
      </c>
      <c r="AD95" s="57">
        <v>623.81230762201892</v>
      </c>
      <c r="AE95" s="55">
        <v>602.84300974379039</v>
      </c>
      <c r="AF95" s="55">
        <v>0</v>
      </c>
      <c r="AG95" s="52"/>
      <c r="AH95" s="51">
        <v>9.6182776881592519E-2</v>
      </c>
      <c r="AI95" s="52">
        <v>9.9528399650018556E-2</v>
      </c>
      <c r="AJ95" s="52"/>
      <c r="AK95" s="28">
        <v>2</v>
      </c>
      <c r="AL95" s="28">
        <v>2.5</v>
      </c>
      <c r="AM95" s="28">
        <v>0.5</v>
      </c>
      <c r="AN95" s="28">
        <v>0</v>
      </c>
      <c r="AO95" s="28">
        <v>0.4</v>
      </c>
      <c r="AP95" s="28">
        <v>0.5</v>
      </c>
      <c r="AQ95" s="28">
        <v>0.1</v>
      </c>
      <c r="AR95" s="28">
        <v>0</v>
      </c>
      <c r="AS95" s="25">
        <v>0.89</v>
      </c>
      <c r="AT95" s="25">
        <v>3.44</v>
      </c>
      <c r="AU95" s="25">
        <v>2.5499999999999998</v>
      </c>
      <c r="AV95" s="25">
        <v>2.6270833333333332</v>
      </c>
      <c r="AW95">
        <v>2.6270833333333332</v>
      </c>
      <c r="AX95">
        <v>5.9103362479166668</v>
      </c>
      <c r="AY95" s="75">
        <v>0.55608047790729209</v>
      </c>
      <c r="AZ95" s="75">
        <v>0</v>
      </c>
      <c r="BA95" s="75"/>
      <c r="BC95">
        <v>4.8091388440796259E-2</v>
      </c>
      <c r="BD95">
        <v>4.9764199825009278E-2</v>
      </c>
      <c r="BF95">
        <v>9.7855588265805538E-2</v>
      </c>
      <c r="BG95">
        <v>4.8927794132902769E-2</v>
      </c>
      <c r="BH95">
        <v>0.27804023895364599</v>
      </c>
      <c r="BI95" s="79" t="s">
        <v>1293</v>
      </c>
      <c r="BJ95" s="79">
        <v>1373</v>
      </c>
      <c r="BK95" s="79">
        <v>10</v>
      </c>
      <c r="BM95" s="79" t="s">
        <v>1275</v>
      </c>
      <c r="BN95" s="79" t="s">
        <v>56</v>
      </c>
      <c r="BO95" s="79">
        <v>0.5</v>
      </c>
      <c r="BP95" s="79">
        <v>6.1</v>
      </c>
      <c r="BQ95" s="79">
        <v>1.32</v>
      </c>
      <c r="BR95" s="79">
        <v>0</v>
      </c>
      <c r="BS95" s="79" t="s">
        <v>464</v>
      </c>
      <c r="BT95" s="79" t="s">
        <v>464</v>
      </c>
      <c r="BU95" s="79" t="s">
        <v>1266</v>
      </c>
      <c r="BV95" s="79">
        <v>300</v>
      </c>
      <c r="BX95" s="79" t="s">
        <v>1287</v>
      </c>
      <c r="BZ95" s="81">
        <f>118*2</f>
        <v>236</v>
      </c>
      <c r="CA95">
        <f t="shared" si="9"/>
        <v>5.4638318050256105</v>
      </c>
      <c r="CB95" s="13"/>
    </row>
    <row r="96" spans="1:80" x14ac:dyDescent="0.3">
      <c r="A96" s="2" t="s">
        <v>185</v>
      </c>
      <c r="B96" s="13" t="s">
        <v>729</v>
      </c>
      <c r="C96" s="13"/>
      <c r="D96" s="2">
        <v>4.5999999999999996</v>
      </c>
      <c r="E96" s="2" t="s">
        <v>57</v>
      </c>
      <c r="F96" s="9" t="s">
        <v>556</v>
      </c>
      <c r="G96" t="s">
        <v>633</v>
      </c>
      <c r="I96" s="2"/>
      <c r="J96" s="25">
        <v>2</v>
      </c>
      <c r="K96">
        <v>4</v>
      </c>
      <c r="L96">
        <v>0</v>
      </c>
      <c r="M96" s="2"/>
      <c r="N96" s="2"/>
      <c r="O96" s="2"/>
      <c r="P96" s="2"/>
      <c r="Q96" s="2"/>
      <c r="R96" s="25">
        <v>13.81974189</v>
      </c>
      <c r="S96" s="25">
        <v>13.81974189</v>
      </c>
      <c r="T96" s="25">
        <v>5.7110870199999999</v>
      </c>
      <c r="U96">
        <v>3.94</v>
      </c>
      <c r="V96">
        <v>27.15</v>
      </c>
      <c r="W96">
        <v>5.6920000000000002</v>
      </c>
      <c r="X96">
        <v>0</v>
      </c>
      <c r="AA96" s="2"/>
      <c r="AB96">
        <v>14</v>
      </c>
      <c r="AC96" s="55">
        <f t="shared" ref="AC96:AC211" si="11">M96*N96*O96</f>
        <v>0</v>
      </c>
      <c r="AD96" s="57">
        <v>309.44138863753989</v>
      </c>
      <c r="AE96" s="55">
        <v>608.87893199999996</v>
      </c>
      <c r="AF96" s="55">
        <v>0</v>
      </c>
      <c r="AG96" s="52"/>
      <c r="AH96" s="51">
        <v>9.0485633235046756E-2</v>
      </c>
      <c r="AI96" s="52">
        <v>9.1972306901891634E-2</v>
      </c>
      <c r="AJ96" s="52"/>
      <c r="AK96" s="28">
        <v>2</v>
      </c>
      <c r="AL96" s="28">
        <v>2.545454545454545</v>
      </c>
      <c r="AM96" s="28">
        <v>0.54545454545454541</v>
      </c>
      <c r="AN96" s="28">
        <v>2.545454545454545</v>
      </c>
      <c r="AO96" s="28">
        <v>0.26190476190476192</v>
      </c>
      <c r="AP96" s="28">
        <v>0.33333333333333331</v>
      </c>
      <c r="AQ96" s="28">
        <v>7.1428571428571425E-2</v>
      </c>
      <c r="AR96" s="28">
        <v>0.33333333333333331</v>
      </c>
      <c r="AS96" s="25">
        <v>0.95</v>
      </c>
      <c r="AT96" s="25">
        <v>3.44</v>
      </c>
      <c r="AU96" s="25">
        <v>2.4900000000000002</v>
      </c>
      <c r="AV96" s="25">
        <v>2.6345454545454539</v>
      </c>
      <c r="AW96">
        <v>2.6345454545454552</v>
      </c>
      <c r="AX96">
        <v>6.036062318181818</v>
      </c>
      <c r="AY96" s="75">
        <v>0.52932707238284982</v>
      </c>
      <c r="AZ96" s="75">
        <v>0.53802388525275069</v>
      </c>
      <c r="BA96" s="75"/>
      <c r="BC96">
        <v>4.5242816617523378E-2</v>
      </c>
      <c r="BD96">
        <v>4.5986153450945817E-2</v>
      </c>
      <c r="BF96">
        <v>9.1228970068469195E-2</v>
      </c>
      <c r="BG96">
        <v>4.5614485034234598E-2</v>
      </c>
      <c r="BH96">
        <v>0.5336754788178002</v>
      </c>
      <c r="BI96" s="79" t="s">
        <v>1264</v>
      </c>
      <c r="BJ96" s="79">
        <v>1450</v>
      </c>
      <c r="BK96" s="79">
        <v>200</v>
      </c>
      <c r="BM96" s="79" t="s">
        <v>464</v>
      </c>
      <c r="BN96" s="79" t="s">
        <v>464</v>
      </c>
      <c r="BO96" s="79">
        <v>0</v>
      </c>
      <c r="BP96" s="79">
        <v>0.9</v>
      </c>
      <c r="BQ96" s="79">
        <v>2.63</v>
      </c>
      <c r="BR96" s="79">
        <v>0</v>
      </c>
      <c r="BS96" s="79" t="s">
        <v>464</v>
      </c>
      <c r="BT96" s="79" t="s">
        <v>464</v>
      </c>
      <c r="BU96" s="79" t="s">
        <v>1271</v>
      </c>
      <c r="BV96" s="79">
        <v>300</v>
      </c>
      <c r="BX96" s="79" t="s">
        <v>1287</v>
      </c>
      <c r="BZ96" s="81">
        <v>52</v>
      </c>
      <c r="CA96">
        <f t="shared" si="9"/>
        <v>3.9512437185814275</v>
      </c>
    </row>
    <row r="97" spans="1:79" x14ac:dyDescent="0.3">
      <c r="A97" s="2" t="s">
        <v>49</v>
      </c>
      <c r="B97" s="13" t="s">
        <v>725</v>
      </c>
      <c r="C97" s="13"/>
      <c r="D97" s="2">
        <v>3.9</v>
      </c>
      <c r="E97" s="2" t="s">
        <v>57</v>
      </c>
      <c r="F97" s="9" t="s">
        <v>553</v>
      </c>
      <c r="G97" t="s">
        <v>631</v>
      </c>
      <c r="I97" s="2"/>
      <c r="J97" s="25">
        <v>8</v>
      </c>
      <c r="K97">
        <v>8</v>
      </c>
      <c r="L97">
        <v>0</v>
      </c>
      <c r="M97" s="2"/>
      <c r="N97" s="2"/>
      <c r="O97" s="2"/>
      <c r="P97" s="2"/>
      <c r="Q97" s="2"/>
      <c r="R97" s="25">
        <v>5.8017180100000001</v>
      </c>
      <c r="S97" s="25">
        <v>7.9756520899999996</v>
      </c>
      <c r="T97" s="25">
        <v>27.352093400000001</v>
      </c>
      <c r="U97">
        <v>26.646989999999999</v>
      </c>
      <c r="V97">
        <v>7.9359999999999999</v>
      </c>
      <c r="W97">
        <v>5.7050000000000001</v>
      </c>
      <c r="X97">
        <v>0</v>
      </c>
      <c r="AA97" s="2"/>
      <c r="AB97">
        <v>14</v>
      </c>
      <c r="AC97" s="55">
        <f t="shared" si="11"/>
        <v>0</v>
      </c>
      <c r="AD97" s="57">
        <v>1265.6493143942739</v>
      </c>
      <c r="AE97" s="55">
        <v>1206.4392746112001</v>
      </c>
      <c r="AF97" s="55">
        <v>0</v>
      </c>
      <c r="AG97" s="52"/>
      <c r="AH97" s="51">
        <v>8.8492127105210025E-2</v>
      </c>
      <c r="AI97" s="52">
        <v>9.2835174017436004E-2</v>
      </c>
      <c r="AJ97" s="52"/>
      <c r="AK97" s="28">
        <v>1.8181818181818179</v>
      </c>
      <c r="AL97" s="28">
        <v>2.545454545454545</v>
      </c>
      <c r="AM97" s="28">
        <v>0.72727272727272729</v>
      </c>
      <c r="AN97" s="28">
        <v>0</v>
      </c>
      <c r="AO97" s="28">
        <v>0.35714285714285721</v>
      </c>
      <c r="AP97" s="28">
        <v>0.5</v>
      </c>
      <c r="AQ97" s="28">
        <v>0.1428571428571429</v>
      </c>
      <c r="AR97" s="28">
        <v>0</v>
      </c>
      <c r="AS97" s="25">
        <v>0.95</v>
      </c>
      <c r="AT97" s="25">
        <v>3.44</v>
      </c>
      <c r="AU97" s="25">
        <v>2.4900000000000002</v>
      </c>
      <c r="AV97" s="25">
        <v>2.6527272727272719</v>
      </c>
      <c r="AW97">
        <v>2.6527272727272728</v>
      </c>
      <c r="AX97">
        <v>6.0182046818181814</v>
      </c>
      <c r="AY97" s="75">
        <v>0.5176653673612065</v>
      </c>
      <c r="AZ97" s="75">
        <v>0.54307152550012683</v>
      </c>
      <c r="BA97" s="75"/>
      <c r="BC97">
        <v>4.4246063552605013E-2</v>
      </c>
      <c r="BD97">
        <v>4.6417587008717988E-2</v>
      </c>
      <c r="BF97">
        <v>9.0663650561323014E-2</v>
      </c>
      <c r="BG97">
        <v>4.53318252806615E-2</v>
      </c>
      <c r="BH97">
        <v>0.53036844643066661</v>
      </c>
      <c r="BI97" s="79" t="s">
        <v>1264</v>
      </c>
      <c r="BJ97" s="79">
        <v>1370</v>
      </c>
      <c r="BK97" s="79">
        <v>150</v>
      </c>
      <c r="BM97" s="79" t="s">
        <v>464</v>
      </c>
      <c r="BN97" s="79" t="s">
        <v>464</v>
      </c>
      <c r="BO97" s="79">
        <v>0</v>
      </c>
      <c r="BP97" s="79">
        <v>0.7</v>
      </c>
      <c r="BQ97" s="79">
        <v>2.63</v>
      </c>
      <c r="BR97" s="79">
        <v>0</v>
      </c>
      <c r="BS97" s="79" t="s">
        <v>464</v>
      </c>
      <c r="BT97" s="79" t="s">
        <v>464</v>
      </c>
      <c r="BU97" s="79" t="s">
        <v>1271</v>
      </c>
      <c r="BV97" s="79">
        <v>300</v>
      </c>
      <c r="BX97" s="79" t="s">
        <v>1287</v>
      </c>
      <c r="BZ97" s="81">
        <v>5.9</v>
      </c>
      <c r="CA97">
        <f t="shared" si="9"/>
        <v>1.7749523509116738</v>
      </c>
    </row>
    <row r="98" spans="1:79" x14ac:dyDescent="0.3">
      <c r="A98" s="2" t="s">
        <v>185</v>
      </c>
      <c r="B98" s="13" t="s">
        <v>729</v>
      </c>
      <c r="C98" s="13"/>
      <c r="D98" s="2">
        <v>4.5999999999999996</v>
      </c>
      <c r="E98" s="2" t="s">
        <v>57</v>
      </c>
      <c r="F98" s="9" t="s">
        <v>556</v>
      </c>
      <c r="G98" t="s">
        <v>633</v>
      </c>
      <c r="I98" s="2"/>
      <c r="J98" s="25">
        <v>2</v>
      </c>
      <c r="K98">
        <v>4</v>
      </c>
      <c r="L98">
        <v>0</v>
      </c>
      <c r="M98" s="2"/>
      <c r="N98" s="2"/>
      <c r="O98" s="2"/>
      <c r="P98" s="2"/>
      <c r="Q98" s="2"/>
      <c r="R98" s="25">
        <v>13.81974189</v>
      </c>
      <c r="S98" s="25">
        <v>13.81974189</v>
      </c>
      <c r="T98" s="25">
        <v>5.7110870199999999</v>
      </c>
      <c r="U98">
        <v>3.94</v>
      </c>
      <c r="V98">
        <v>27.15</v>
      </c>
      <c r="W98">
        <v>5.6920000000000002</v>
      </c>
      <c r="X98">
        <v>0</v>
      </c>
      <c r="AA98" s="2"/>
      <c r="AB98">
        <v>14</v>
      </c>
      <c r="AC98" s="55">
        <f t="shared" ref="AC98:AC100" si="12">M98*N98*O98</f>
        <v>0</v>
      </c>
      <c r="AD98" s="57">
        <v>309.44138863753989</v>
      </c>
      <c r="AE98" s="55">
        <v>608.87893199999996</v>
      </c>
      <c r="AF98" s="55">
        <v>0</v>
      </c>
      <c r="AG98" s="52"/>
      <c r="AH98" s="51">
        <v>9.0485633235046756E-2</v>
      </c>
      <c r="AI98" s="52">
        <v>9.1972306901891634E-2</v>
      </c>
      <c r="AJ98" s="52"/>
      <c r="AK98" s="28">
        <v>2</v>
      </c>
      <c r="AL98" s="28">
        <v>2.545454545454545</v>
      </c>
      <c r="AM98" s="28">
        <v>0.54545454545454541</v>
      </c>
      <c r="AN98" s="28">
        <v>2.545454545454545</v>
      </c>
      <c r="AO98" s="28">
        <v>0.26190476190476192</v>
      </c>
      <c r="AP98" s="28">
        <v>0.33333333333333331</v>
      </c>
      <c r="AQ98" s="28">
        <v>7.1428571428571425E-2</v>
      </c>
      <c r="AR98" s="28">
        <v>0.33333333333333331</v>
      </c>
      <c r="AS98" s="25">
        <v>0.95</v>
      </c>
      <c r="AT98" s="25">
        <v>3.44</v>
      </c>
      <c r="AU98" s="25">
        <v>2.4900000000000002</v>
      </c>
      <c r="AV98" s="25">
        <v>2.6345454545454539</v>
      </c>
      <c r="AW98">
        <v>2.6345454545454552</v>
      </c>
      <c r="AX98">
        <v>6.036062318181818</v>
      </c>
      <c r="AY98" s="75">
        <v>0.52932707238284982</v>
      </c>
      <c r="AZ98" s="75">
        <v>0.53802388525275069</v>
      </c>
      <c r="BA98" s="75"/>
      <c r="BC98">
        <v>4.5242816617523378E-2</v>
      </c>
      <c r="BD98">
        <v>4.5986153450945817E-2</v>
      </c>
      <c r="BF98">
        <v>9.1228970068469195E-2</v>
      </c>
      <c r="BG98">
        <v>4.5614485034234598E-2</v>
      </c>
      <c r="BH98">
        <v>0.5336754788178002</v>
      </c>
      <c r="BI98" s="79" t="s">
        <v>1264</v>
      </c>
      <c r="BJ98" s="79">
        <v>1450</v>
      </c>
      <c r="BK98" s="79">
        <v>200</v>
      </c>
      <c r="BM98" s="79" t="s">
        <v>1275</v>
      </c>
      <c r="BN98" s="79" t="s">
        <v>56</v>
      </c>
      <c r="BO98" s="79">
        <v>0.15</v>
      </c>
      <c r="BP98" s="79">
        <v>0.9</v>
      </c>
      <c r="BQ98" s="79">
        <v>2.63</v>
      </c>
      <c r="BR98" s="79">
        <v>0</v>
      </c>
      <c r="BS98" s="79" t="s">
        <v>464</v>
      </c>
      <c r="BT98" s="79" t="s">
        <v>464</v>
      </c>
      <c r="BU98" s="79" t="s">
        <v>1271</v>
      </c>
      <c r="BV98" s="79">
        <v>300</v>
      </c>
      <c r="BX98" s="79" t="s">
        <v>1287</v>
      </c>
      <c r="BZ98" s="81">
        <v>1000</v>
      </c>
      <c r="CA98">
        <f t="shared" si="9"/>
        <v>6.9077552789821368</v>
      </c>
    </row>
    <row r="99" spans="1:79" x14ac:dyDescent="0.3">
      <c r="A99" s="2" t="s">
        <v>49</v>
      </c>
      <c r="B99" s="13" t="s">
        <v>725</v>
      </c>
      <c r="C99" s="13"/>
      <c r="D99" s="2">
        <v>3.9</v>
      </c>
      <c r="E99" s="2" t="s">
        <v>57</v>
      </c>
      <c r="F99" s="9" t="s">
        <v>553</v>
      </c>
      <c r="G99" t="s">
        <v>631</v>
      </c>
      <c r="I99" s="2"/>
      <c r="J99" s="25">
        <v>8</v>
      </c>
      <c r="K99">
        <v>8</v>
      </c>
      <c r="L99">
        <v>0</v>
      </c>
      <c r="M99" s="2"/>
      <c r="N99" s="2"/>
      <c r="O99" s="2"/>
      <c r="P99" s="2"/>
      <c r="Q99" s="2"/>
      <c r="R99" s="25">
        <v>5.8017180100000001</v>
      </c>
      <c r="S99" s="25">
        <v>7.9756520899999996</v>
      </c>
      <c r="T99" s="25">
        <v>27.352093400000001</v>
      </c>
      <c r="U99">
        <v>26.646989999999999</v>
      </c>
      <c r="V99">
        <v>7.9359999999999999</v>
      </c>
      <c r="W99">
        <v>5.7050000000000001</v>
      </c>
      <c r="X99">
        <v>0</v>
      </c>
      <c r="AA99" s="2"/>
      <c r="AB99">
        <v>14</v>
      </c>
      <c r="AC99" s="55">
        <f t="shared" si="12"/>
        <v>0</v>
      </c>
      <c r="AD99" s="57">
        <v>1265.6493143942739</v>
      </c>
      <c r="AE99" s="55">
        <v>1206.4392746112001</v>
      </c>
      <c r="AF99" s="55">
        <v>0</v>
      </c>
      <c r="AG99" s="52"/>
      <c r="AH99" s="51">
        <v>8.8492127105210025E-2</v>
      </c>
      <c r="AI99" s="52">
        <v>9.2835174017436004E-2</v>
      </c>
      <c r="AJ99" s="52"/>
      <c r="AK99" s="28">
        <v>1.8181818181818179</v>
      </c>
      <c r="AL99" s="28">
        <v>2.545454545454545</v>
      </c>
      <c r="AM99" s="28">
        <v>0.72727272727272729</v>
      </c>
      <c r="AN99" s="28">
        <v>0</v>
      </c>
      <c r="AO99" s="28">
        <v>0.35714285714285721</v>
      </c>
      <c r="AP99" s="28">
        <v>0.5</v>
      </c>
      <c r="AQ99" s="28">
        <v>0.1428571428571429</v>
      </c>
      <c r="AR99" s="28">
        <v>0</v>
      </c>
      <c r="AS99" s="25">
        <v>0.95</v>
      </c>
      <c r="AT99" s="25">
        <v>3.44</v>
      </c>
      <c r="AU99" s="25">
        <v>2.4900000000000002</v>
      </c>
      <c r="AV99" s="25">
        <v>2.6527272727272719</v>
      </c>
      <c r="AW99">
        <v>2.6527272727272728</v>
      </c>
      <c r="AX99">
        <v>6.0182046818181814</v>
      </c>
      <c r="AY99" s="75">
        <v>0.5176653673612065</v>
      </c>
      <c r="AZ99" s="75">
        <v>0.54307152550012683</v>
      </c>
      <c r="BA99" s="75"/>
      <c r="BC99">
        <v>4.4246063552605013E-2</v>
      </c>
      <c r="BD99">
        <v>4.6417587008717988E-2</v>
      </c>
      <c r="BF99">
        <v>9.0663650561323014E-2</v>
      </c>
      <c r="BG99">
        <v>4.53318252806615E-2</v>
      </c>
      <c r="BH99">
        <v>0.53036844643066661</v>
      </c>
      <c r="BI99" s="79" t="s">
        <v>1264</v>
      </c>
      <c r="BJ99" s="79">
        <v>1370</v>
      </c>
      <c r="BK99" s="79">
        <v>150</v>
      </c>
      <c r="BM99" s="79" t="s">
        <v>1275</v>
      </c>
      <c r="BN99" s="79" t="s">
        <v>56</v>
      </c>
      <c r="BO99" s="79">
        <v>0.5</v>
      </c>
      <c r="BP99" s="79">
        <v>0.7</v>
      </c>
      <c r="BQ99" s="79">
        <v>2.63</v>
      </c>
      <c r="BR99" s="79">
        <v>0</v>
      </c>
      <c r="BS99" s="79" t="s">
        <v>464</v>
      </c>
      <c r="BT99" s="79" t="s">
        <v>464</v>
      </c>
      <c r="BU99" s="79" t="s">
        <v>1271</v>
      </c>
      <c r="BV99" s="79">
        <v>300</v>
      </c>
      <c r="BX99" s="79" t="s">
        <v>1287</v>
      </c>
      <c r="BZ99" s="81">
        <v>10</v>
      </c>
      <c r="CA99">
        <f t="shared" si="9"/>
        <v>2.3025850929940459</v>
      </c>
    </row>
    <row r="100" spans="1:79" x14ac:dyDescent="0.3">
      <c r="A100" s="2" t="s">
        <v>0</v>
      </c>
      <c r="B100" s="13"/>
      <c r="C100" s="13"/>
      <c r="D100" s="2"/>
      <c r="E100" s="2" t="s">
        <v>1294</v>
      </c>
      <c r="F100" s="9">
        <v>-1</v>
      </c>
      <c r="G100">
        <v>-1</v>
      </c>
      <c r="H100" t="s">
        <v>1153</v>
      </c>
      <c r="I100" s="2"/>
      <c r="J100" s="25">
        <v>0</v>
      </c>
      <c r="K100">
        <v>0</v>
      </c>
      <c r="L100">
        <v>4</v>
      </c>
      <c r="M100" s="2"/>
      <c r="N100" s="2"/>
      <c r="O100" s="2"/>
      <c r="P100" s="2"/>
      <c r="Q100" s="2"/>
      <c r="R100" s="25">
        <v>0</v>
      </c>
      <c r="S100" s="25"/>
      <c r="T100" s="25"/>
      <c r="U100">
        <v>0</v>
      </c>
      <c r="X100">
        <v>34.1</v>
      </c>
      <c r="Y100">
        <v>7.85</v>
      </c>
      <c r="Z100">
        <v>6.52</v>
      </c>
      <c r="AA100" s="2"/>
      <c r="AB100">
        <v>34</v>
      </c>
      <c r="AC100" s="55">
        <f t="shared" si="12"/>
        <v>0</v>
      </c>
      <c r="AD100" s="57">
        <v>0</v>
      </c>
      <c r="AE100" s="55">
        <v>0</v>
      </c>
      <c r="AF100" s="55">
        <v>1745.3062</v>
      </c>
      <c r="AG100" s="52"/>
      <c r="AH100" s="51"/>
      <c r="AI100" s="52"/>
      <c r="AJ100" s="52">
        <v>7.7923289334559179E-2</v>
      </c>
      <c r="AK100" s="28">
        <v>1.62962962962963</v>
      </c>
      <c r="AL100" s="28">
        <v>2.518518518518519</v>
      </c>
      <c r="AM100" s="28">
        <v>0.88888888888888884</v>
      </c>
      <c r="AN100" s="28">
        <v>0</v>
      </c>
      <c r="AO100" s="28">
        <v>0.32352941176470579</v>
      </c>
      <c r="AP100" s="28">
        <v>0.5</v>
      </c>
      <c r="AQ100" s="28">
        <v>0.1764705882352941</v>
      </c>
      <c r="AR100" s="28">
        <v>0</v>
      </c>
      <c r="AS100" s="25">
        <v>0.82</v>
      </c>
      <c r="AT100" s="25">
        <v>3.44</v>
      </c>
      <c r="AU100" s="25">
        <v>2.62</v>
      </c>
      <c r="AV100" s="25">
        <v>2.642962962962963</v>
      </c>
      <c r="AW100">
        <v>2.642962962962963</v>
      </c>
      <c r="AX100">
        <v>5.9454711914814808</v>
      </c>
      <c r="AY100" s="75"/>
      <c r="AZ100" s="75"/>
      <c r="BA100" s="75">
        <v>0.52945551775309363</v>
      </c>
      <c r="BE100">
        <v>3.8961644667279589E-2</v>
      </c>
      <c r="BF100">
        <v>7.7923289334559179E-2</v>
      </c>
      <c r="BG100">
        <v>3.8961644667279589E-2</v>
      </c>
      <c r="BH100">
        <v>0.52945551775309363</v>
      </c>
      <c r="BI100" s="79" t="s">
        <v>1264</v>
      </c>
      <c r="BJ100" s="79">
        <v>1673</v>
      </c>
      <c r="BK100" s="79">
        <v>0.25</v>
      </c>
      <c r="BM100" s="79" t="s">
        <v>1275</v>
      </c>
      <c r="BN100" s="79" t="s">
        <v>56</v>
      </c>
      <c r="BO100" s="79">
        <v>0.1</v>
      </c>
      <c r="BQ100" s="79">
        <v>2.85</v>
      </c>
      <c r="BR100" s="79">
        <v>0</v>
      </c>
      <c r="BS100" s="79" t="s">
        <v>464</v>
      </c>
      <c r="BT100" s="79" t="s">
        <v>464</v>
      </c>
      <c r="BU100" s="79" t="s">
        <v>1266</v>
      </c>
      <c r="BV100" s="79">
        <v>400</v>
      </c>
      <c r="BX100" s="79" t="s">
        <v>1287</v>
      </c>
      <c r="BY100" s="79">
        <v>293</v>
      </c>
      <c r="BZ100" s="81">
        <v>403</v>
      </c>
      <c r="CA100">
        <f t="shared" si="9"/>
        <v>5.9989365619466826</v>
      </c>
    </row>
    <row r="101" spans="1:79" x14ac:dyDescent="0.3">
      <c r="A101" s="2" t="s">
        <v>1299</v>
      </c>
      <c r="B101" s="13"/>
      <c r="C101" s="13"/>
      <c r="D101" s="2"/>
      <c r="E101" s="2" t="s">
        <v>1294</v>
      </c>
      <c r="F101" s="9"/>
      <c r="H101" s="1" t="s">
        <v>1153</v>
      </c>
      <c r="I101" s="2"/>
      <c r="J101" s="25"/>
      <c r="M101" s="2"/>
      <c r="N101" s="2"/>
      <c r="O101" s="2"/>
      <c r="P101" s="2"/>
      <c r="Q101" s="2"/>
      <c r="R101" s="25"/>
      <c r="S101" s="25"/>
      <c r="T101" s="25"/>
      <c r="AA101" s="2"/>
      <c r="AC101" s="55"/>
      <c r="AD101" s="57"/>
      <c r="AE101" s="55"/>
      <c r="AF101" s="55"/>
      <c r="AG101" s="52"/>
      <c r="AH101" s="51"/>
      <c r="AI101" s="52"/>
      <c r="AJ101" s="52"/>
      <c r="AK101" s="28"/>
      <c r="AL101" s="28"/>
      <c r="AM101" s="28"/>
      <c r="AN101" s="28"/>
      <c r="AO101" s="28"/>
      <c r="AP101" s="28"/>
      <c r="AQ101" s="28"/>
      <c r="AR101" s="28"/>
      <c r="AS101" s="25"/>
      <c r="AT101" s="25"/>
      <c r="AU101" s="25"/>
      <c r="AV101" s="25"/>
      <c r="AY101" s="75"/>
      <c r="AZ101" s="75"/>
      <c r="BA101" s="75"/>
      <c r="BI101" s="79" t="s">
        <v>1264</v>
      </c>
      <c r="BJ101" s="79">
        <v>1673</v>
      </c>
      <c r="BK101" s="79">
        <v>0.25</v>
      </c>
      <c r="BM101" s="79" t="s">
        <v>1275</v>
      </c>
      <c r="BN101" s="79" t="s">
        <v>56</v>
      </c>
      <c r="BO101" s="79">
        <v>0.1</v>
      </c>
      <c r="BQ101" s="79">
        <v>2.85</v>
      </c>
      <c r="BR101" s="79">
        <v>0</v>
      </c>
      <c r="BS101" s="79" t="s">
        <v>464</v>
      </c>
      <c r="BT101" s="79" t="s">
        <v>464</v>
      </c>
      <c r="BU101" s="79" t="s">
        <v>1266</v>
      </c>
      <c r="BV101" s="79">
        <v>400</v>
      </c>
      <c r="BX101" s="79" t="s">
        <v>1287</v>
      </c>
      <c r="BY101" s="79">
        <v>293</v>
      </c>
      <c r="BZ101" s="81">
        <v>409</v>
      </c>
      <c r="CA101">
        <f t="shared" si="9"/>
        <v>6.0137151560428022</v>
      </c>
    </row>
    <row r="102" spans="1:79" x14ac:dyDescent="0.3">
      <c r="A102" s="2" t="s">
        <v>1300</v>
      </c>
      <c r="B102" s="13"/>
      <c r="C102" s="13"/>
      <c r="D102" s="2"/>
      <c r="E102" s="2" t="s">
        <v>1294</v>
      </c>
      <c r="F102" s="9"/>
      <c r="H102" s="1" t="s">
        <v>1153</v>
      </c>
      <c r="I102" s="2"/>
      <c r="J102" s="25"/>
      <c r="M102" s="2"/>
      <c r="N102" s="2"/>
      <c r="O102" s="2"/>
      <c r="P102" s="2"/>
      <c r="Q102" s="2"/>
      <c r="R102" s="25"/>
      <c r="S102" s="25"/>
      <c r="T102" s="25"/>
      <c r="AA102" s="2"/>
      <c r="AC102" s="55"/>
      <c r="AD102" s="57"/>
      <c r="AE102" s="55"/>
      <c r="AF102" s="55"/>
      <c r="AG102" s="52"/>
      <c r="AH102" s="51"/>
      <c r="AI102" s="52"/>
      <c r="AJ102" s="52"/>
      <c r="AK102" s="28"/>
      <c r="AL102" s="28"/>
      <c r="AM102" s="28"/>
      <c r="AN102" s="28"/>
      <c r="AO102" s="28"/>
      <c r="AP102" s="28"/>
      <c r="AQ102" s="28"/>
      <c r="AR102" s="28"/>
      <c r="AS102" s="25"/>
      <c r="AT102" s="25"/>
      <c r="AU102" s="25"/>
      <c r="AV102" s="25"/>
      <c r="AY102" s="75"/>
      <c r="AZ102" s="75"/>
      <c r="BA102" s="75"/>
      <c r="BI102" s="79" t="s">
        <v>1264</v>
      </c>
      <c r="BJ102" s="79">
        <v>1673</v>
      </c>
      <c r="BK102" s="79">
        <v>0.25</v>
      </c>
      <c r="BM102" s="79" t="s">
        <v>1275</v>
      </c>
      <c r="BN102" s="79" t="s">
        <v>56</v>
      </c>
      <c r="BO102" s="79">
        <v>0.1</v>
      </c>
      <c r="BQ102" s="79">
        <v>2.85</v>
      </c>
      <c r="BR102" s="79">
        <v>0</v>
      </c>
      <c r="BS102" s="79" t="s">
        <v>464</v>
      </c>
      <c r="BT102" s="79" t="s">
        <v>464</v>
      </c>
      <c r="BU102" s="79" t="s">
        <v>1266</v>
      </c>
      <c r="BV102" s="79">
        <v>400</v>
      </c>
      <c r="BX102" s="79" t="s">
        <v>1287</v>
      </c>
      <c r="BY102" s="79">
        <v>293</v>
      </c>
      <c r="BZ102" s="81">
        <v>233</v>
      </c>
      <c r="CA102">
        <f t="shared" si="9"/>
        <v>5.4510384535657002</v>
      </c>
    </row>
    <row r="103" spans="1:79" x14ac:dyDescent="0.3">
      <c r="A103" s="2" t="s">
        <v>1301</v>
      </c>
      <c r="B103" s="13"/>
      <c r="C103" s="13"/>
      <c r="D103" s="2"/>
      <c r="E103" s="2" t="s">
        <v>1294</v>
      </c>
      <c r="F103" s="9"/>
      <c r="H103" s="1" t="s">
        <v>1153</v>
      </c>
      <c r="I103" s="2"/>
      <c r="J103" s="25"/>
      <c r="M103" s="2"/>
      <c r="N103" s="2"/>
      <c r="O103" s="2"/>
      <c r="P103" s="2"/>
      <c r="Q103" s="2"/>
      <c r="R103" s="25"/>
      <c r="S103" s="25"/>
      <c r="T103" s="25"/>
      <c r="AA103" s="2"/>
      <c r="AC103" s="55"/>
      <c r="AD103" s="57"/>
      <c r="AE103" s="55"/>
      <c r="AF103" s="55"/>
      <c r="AG103" s="52"/>
      <c r="AH103" s="51"/>
      <c r="AI103" s="52"/>
      <c r="AJ103" s="52"/>
      <c r="AK103" s="28"/>
      <c r="AL103" s="28"/>
      <c r="AM103" s="28"/>
      <c r="AN103" s="28"/>
      <c r="AO103" s="28"/>
      <c r="AP103" s="28"/>
      <c r="AQ103" s="28"/>
      <c r="AR103" s="28"/>
      <c r="AS103" s="25"/>
      <c r="AT103" s="25"/>
      <c r="AU103" s="25"/>
      <c r="AV103" s="25"/>
      <c r="AY103" s="75"/>
      <c r="AZ103" s="75"/>
      <c r="BA103" s="75"/>
      <c r="BI103" s="79" t="s">
        <v>1264</v>
      </c>
      <c r="BJ103" s="79">
        <v>1673</v>
      </c>
      <c r="BK103" s="79">
        <v>0.25</v>
      </c>
      <c r="BM103" s="79" t="s">
        <v>1275</v>
      </c>
      <c r="BN103" s="79" t="s">
        <v>56</v>
      </c>
      <c r="BO103" s="79">
        <v>0.1</v>
      </c>
      <c r="BQ103" s="79">
        <v>2.85</v>
      </c>
      <c r="BR103" s="79">
        <v>0</v>
      </c>
      <c r="BS103" s="79" t="s">
        <v>464</v>
      </c>
      <c r="BT103" s="79" t="s">
        <v>464</v>
      </c>
      <c r="BU103" s="79" t="s">
        <v>1266</v>
      </c>
      <c r="BV103" s="79">
        <v>400</v>
      </c>
      <c r="BX103" s="79" t="s">
        <v>1287</v>
      </c>
      <c r="BY103" s="79">
        <v>293</v>
      </c>
      <c r="BZ103" s="81">
        <v>31</v>
      </c>
      <c r="CA103">
        <f t="shared" si="9"/>
        <v>3.4339872044851463</v>
      </c>
    </row>
    <row r="104" spans="1:79" x14ac:dyDescent="0.3">
      <c r="A104" s="2" t="s">
        <v>1302</v>
      </c>
      <c r="B104" s="13"/>
      <c r="C104" s="13"/>
      <c r="D104" s="2"/>
      <c r="E104" s="2" t="s">
        <v>1294</v>
      </c>
      <c r="F104" s="9"/>
      <c r="H104" s="1" t="s">
        <v>1153</v>
      </c>
      <c r="I104" s="2"/>
      <c r="J104" s="25"/>
      <c r="M104" s="2"/>
      <c r="N104" s="2"/>
      <c r="O104" s="2"/>
      <c r="P104" s="2"/>
      <c r="Q104" s="2"/>
      <c r="R104" s="25"/>
      <c r="S104" s="25"/>
      <c r="T104" s="25"/>
      <c r="AA104" s="2"/>
      <c r="AC104" s="55"/>
      <c r="AD104" s="57"/>
      <c r="AE104" s="55"/>
      <c r="AF104" s="55"/>
      <c r="AG104" s="52"/>
      <c r="AH104" s="51"/>
      <c r="AI104" s="52"/>
      <c r="AJ104" s="52"/>
      <c r="AK104" s="28"/>
      <c r="AL104" s="28"/>
      <c r="AM104" s="28"/>
      <c r="AN104" s="28"/>
      <c r="AO104" s="28"/>
      <c r="AP104" s="28"/>
      <c r="AQ104" s="28"/>
      <c r="AR104" s="28"/>
      <c r="AS104" s="25"/>
      <c r="AT104" s="25"/>
      <c r="AU104" s="25"/>
      <c r="AV104" s="25"/>
      <c r="AY104" s="75"/>
      <c r="AZ104" s="75"/>
      <c r="BA104" s="75"/>
      <c r="BI104" s="79" t="s">
        <v>1264</v>
      </c>
      <c r="BJ104" s="79">
        <v>1673</v>
      </c>
      <c r="BK104" s="79">
        <v>0.25</v>
      </c>
      <c r="BM104" s="79" t="s">
        <v>1275</v>
      </c>
      <c r="BN104" s="79" t="s">
        <v>56</v>
      </c>
      <c r="BO104" s="79">
        <v>0.1</v>
      </c>
      <c r="BQ104" s="79">
        <v>2.85</v>
      </c>
      <c r="BR104" s="79">
        <v>0</v>
      </c>
      <c r="BS104" s="79" t="s">
        <v>464</v>
      </c>
      <c r="BT104" s="79" t="s">
        <v>464</v>
      </c>
      <c r="BU104" s="79" t="s">
        <v>1266</v>
      </c>
      <c r="BV104" s="79">
        <v>400</v>
      </c>
      <c r="BX104" s="79" t="s">
        <v>1287</v>
      </c>
      <c r="BY104" s="79">
        <v>293</v>
      </c>
      <c r="BZ104" s="81">
        <v>11</v>
      </c>
      <c r="CA104">
        <f t="shared" si="9"/>
        <v>2.3978952727983707</v>
      </c>
    </row>
    <row r="105" spans="1:79" x14ac:dyDescent="0.3">
      <c r="A105" s="2" t="s">
        <v>59</v>
      </c>
      <c r="B105" s="13" t="s">
        <v>732</v>
      </c>
      <c r="C105" s="13"/>
      <c r="D105" s="2">
        <v>3.55</v>
      </c>
      <c r="E105" s="2" t="s">
        <v>1294</v>
      </c>
      <c r="F105" s="9">
        <v>-1</v>
      </c>
      <c r="G105">
        <v>-1</v>
      </c>
      <c r="H105" s="1" t="s">
        <v>1153</v>
      </c>
      <c r="I105" s="2"/>
      <c r="J105" s="25">
        <v>0</v>
      </c>
      <c r="K105">
        <v>0</v>
      </c>
      <c r="L105">
        <v>4</v>
      </c>
      <c r="M105" s="2"/>
      <c r="N105" s="2"/>
      <c r="O105" s="2"/>
      <c r="P105" s="2"/>
      <c r="Q105" s="2"/>
      <c r="R105" s="25">
        <v>0</v>
      </c>
      <c r="S105" s="25"/>
      <c r="T105" s="25"/>
      <c r="U105">
        <v>0</v>
      </c>
      <c r="X105">
        <v>34.1</v>
      </c>
      <c r="Y105">
        <v>7.85</v>
      </c>
      <c r="Z105">
        <v>6.52</v>
      </c>
      <c r="AA105" s="2"/>
      <c r="AB105">
        <v>34</v>
      </c>
      <c r="AC105" s="55">
        <f t="shared" ref="AC105" si="13">M105*N105*O105</f>
        <v>0</v>
      </c>
      <c r="AD105" s="57">
        <v>0</v>
      </c>
      <c r="AE105" s="55">
        <v>0</v>
      </c>
      <c r="AF105" s="55">
        <v>1745.3062</v>
      </c>
      <c r="AG105" s="52"/>
      <c r="AH105" s="51"/>
      <c r="AI105" s="52"/>
      <c r="AJ105" s="52">
        <v>7.7923289334559179E-2</v>
      </c>
      <c r="AK105" s="28">
        <v>1.62962962962963</v>
      </c>
      <c r="AL105" s="28">
        <v>2.518518518518519</v>
      </c>
      <c r="AM105" s="28">
        <v>0.88888888888888884</v>
      </c>
      <c r="AN105" s="28">
        <v>0</v>
      </c>
      <c r="AO105" s="28">
        <v>0.32352941176470579</v>
      </c>
      <c r="AP105" s="28">
        <v>0.5</v>
      </c>
      <c r="AQ105" s="28">
        <v>0.1764705882352941</v>
      </c>
      <c r="AR105" s="28">
        <v>0</v>
      </c>
      <c r="AS105" s="25">
        <v>0.82</v>
      </c>
      <c r="AT105" s="25">
        <v>3.44</v>
      </c>
      <c r="AU105" s="25">
        <v>2.62</v>
      </c>
      <c r="AV105" s="25">
        <v>2.642962962962963</v>
      </c>
      <c r="AW105">
        <v>2.642962962962963</v>
      </c>
      <c r="AX105">
        <v>5.9454711914814808</v>
      </c>
      <c r="AY105" s="75"/>
      <c r="AZ105" s="75"/>
      <c r="BA105" s="75">
        <v>0.52945551775309363</v>
      </c>
      <c r="BE105">
        <v>3.8961644667279589E-2</v>
      </c>
      <c r="BF105">
        <v>7.7923289334559179E-2</v>
      </c>
      <c r="BG105">
        <v>3.8961644667279589E-2</v>
      </c>
      <c r="BH105">
        <v>0.52945551775309363</v>
      </c>
      <c r="BI105" s="79" t="s">
        <v>1264</v>
      </c>
      <c r="BJ105" s="79">
        <v>1300</v>
      </c>
      <c r="BK105" s="79">
        <v>40</v>
      </c>
      <c r="BM105" s="79" t="s">
        <v>1275</v>
      </c>
      <c r="BN105" s="79" t="s">
        <v>56</v>
      </c>
      <c r="BO105" s="79">
        <v>0.1</v>
      </c>
      <c r="BQ105" s="79">
        <v>2.85</v>
      </c>
      <c r="BR105" s="79">
        <v>0</v>
      </c>
      <c r="BS105" s="79" t="s">
        <v>464</v>
      </c>
      <c r="BT105" s="79" t="s">
        <v>464</v>
      </c>
      <c r="BU105" s="79" t="s">
        <v>1266</v>
      </c>
      <c r="BV105" s="79">
        <v>400</v>
      </c>
      <c r="BX105" s="79" t="s">
        <v>1287</v>
      </c>
      <c r="BY105" s="79">
        <v>293</v>
      </c>
      <c r="BZ105" s="81">
        <v>936</v>
      </c>
      <c r="CA105">
        <f t="shared" si="9"/>
        <v>6.8416154764775916</v>
      </c>
    </row>
    <row r="106" spans="1:79" x14ac:dyDescent="0.3">
      <c r="A106" s="2" t="s">
        <v>1296</v>
      </c>
      <c r="B106" s="13"/>
      <c r="C106" s="13"/>
      <c r="D106" s="2"/>
      <c r="E106" s="2" t="s">
        <v>1294</v>
      </c>
      <c r="F106" s="9"/>
      <c r="H106" s="1" t="s">
        <v>1153</v>
      </c>
      <c r="I106" s="2"/>
      <c r="J106" s="25"/>
      <c r="M106" s="2"/>
      <c r="N106" s="2"/>
      <c r="O106" s="2"/>
      <c r="P106" s="2"/>
      <c r="Q106" s="2"/>
      <c r="R106" s="25"/>
      <c r="S106" s="25"/>
      <c r="T106" s="25"/>
      <c r="AA106" s="2"/>
      <c r="AC106" s="55"/>
      <c r="AD106" s="57"/>
      <c r="AE106" s="55"/>
      <c r="AF106" s="55"/>
      <c r="AG106" s="52"/>
      <c r="AH106" s="51"/>
      <c r="AI106" s="52"/>
      <c r="AJ106" s="52"/>
      <c r="AK106" s="28"/>
      <c r="AL106" s="28"/>
      <c r="AM106" s="28"/>
      <c r="AN106" s="28"/>
      <c r="AO106" s="28"/>
      <c r="AP106" s="28"/>
      <c r="AQ106" s="28"/>
      <c r="AR106" s="28"/>
      <c r="AS106" s="25"/>
      <c r="AT106" s="25"/>
      <c r="AU106" s="25"/>
      <c r="AV106" s="25"/>
      <c r="AY106" s="75"/>
      <c r="AZ106" s="75"/>
      <c r="BA106" s="75"/>
      <c r="BI106" s="79" t="s">
        <v>1264</v>
      </c>
      <c r="BJ106" s="79">
        <v>1300</v>
      </c>
      <c r="BK106" s="79">
        <v>40</v>
      </c>
      <c r="BM106" s="79" t="s">
        <v>1275</v>
      </c>
      <c r="BN106" s="79" t="s">
        <v>56</v>
      </c>
      <c r="BO106" s="79">
        <v>0.1</v>
      </c>
      <c r="BQ106" s="79">
        <v>2.85</v>
      </c>
      <c r="BR106" s="79">
        <v>0</v>
      </c>
      <c r="BS106" s="79" t="s">
        <v>464</v>
      </c>
      <c r="BT106" s="79" t="s">
        <v>464</v>
      </c>
      <c r="BU106" s="79" t="s">
        <v>1266</v>
      </c>
      <c r="BV106" s="79">
        <v>400</v>
      </c>
      <c r="BX106" s="79" t="s">
        <v>1287</v>
      </c>
      <c r="BY106" s="79">
        <v>293</v>
      </c>
      <c r="BZ106" s="81">
        <v>362</v>
      </c>
      <c r="CA106">
        <f t="shared" si="9"/>
        <v>5.8916442118257715</v>
      </c>
    </row>
    <row r="107" spans="1:79" x14ac:dyDescent="0.3">
      <c r="A107" s="2" t="s">
        <v>1297</v>
      </c>
      <c r="B107" s="13"/>
      <c r="C107" s="13"/>
      <c r="D107" s="2"/>
      <c r="E107" s="2" t="s">
        <v>1294</v>
      </c>
      <c r="F107" s="9"/>
      <c r="H107" s="1" t="s">
        <v>1153</v>
      </c>
      <c r="I107" s="2"/>
      <c r="J107" s="25"/>
      <c r="M107" s="2"/>
      <c r="N107" s="2"/>
      <c r="O107" s="2"/>
      <c r="P107" s="2"/>
      <c r="Q107" s="2"/>
      <c r="R107" s="25"/>
      <c r="S107" s="25"/>
      <c r="T107" s="25"/>
      <c r="AA107" s="2"/>
      <c r="AC107" s="55"/>
      <c r="AD107" s="57"/>
      <c r="AE107" s="55"/>
      <c r="AF107" s="55"/>
      <c r="AG107" s="52"/>
      <c r="AH107" s="51"/>
      <c r="AI107" s="52"/>
      <c r="AJ107" s="52"/>
      <c r="AK107" s="28"/>
      <c r="AL107" s="28"/>
      <c r="AM107" s="28"/>
      <c r="AN107" s="28"/>
      <c r="AO107" s="28"/>
      <c r="AP107" s="28"/>
      <c r="AQ107" s="28"/>
      <c r="AR107" s="28"/>
      <c r="AS107" s="25"/>
      <c r="AT107" s="25"/>
      <c r="AU107" s="25"/>
      <c r="AV107" s="25"/>
      <c r="AY107" s="75"/>
      <c r="AZ107" s="75"/>
      <c r="BA107" s="75"/>
      <c r="BI107" s="79" t="s">
        <v>1264</v>
      </c>
      <c r="BJ107" s="79">
        <v>1300</v>
      </c>
      <c r="BK107" s="79">
        <v>40</v>
      </c>
      <c r="BM107" s="79" t="s">
        <v>1275</v>
      </c>
      <c r="BN107" s="79" t="s">
        <v>56</v>
      </c>
      <c r="BO107" s="79">
        <v>0.1</v>
      </c>
      <c r="BQ107" s="79">
        <v>2.85</v>
      </c>
      <c r="BR107" s="79">
        <v>0</v>
      </c>
      <c r="BS107" s="79" t="s">
        <v>464</v>
      </c>
      <c r="BT107" s="79" t="s">
        <v>464</v>
      </c>
      <c r="BU107" s="79" t="s">
        <v>1266</v>
      </c>
      <c r="BV107" s="79">
        <v>400</v>
      </c>
      <c r="BX107" s="79" t="s">
        <v>1287</v>
      </c>
      <c r="BY107" s="79">
        <v>293</v>
      </c>
      <c r="BZ107" s="81">
        <v>126</v>
      </c>
      <c r="CA107">
        <f t="shared" si="9"/>
        <v>4.836281906951478</v>
      </c>
    </row>
    <row r="108" spans="1:79" x14ac:dyDescent="0.3">
      <c r="A108" s="2" t="s">
        <v>1298</v>
      </c>
      <c r="B108" s="13"/>
      <c r="C108" s="13"/>
      <c r="D108" s="2"/>
      <c r="E108" s="2" t="s">
        <v>1294</v>
      </c>
      <c r="F108" s="9"/>
      <c r="H108" s="1" t="s">
        <v>1153</v>
      </c>
      <c r="I108" s="2"/>
      <c r="J108" s="25"/>
      <c r="M108" s="2"/>
      <c r="N108" s="2"/>
      <c r="O108" s="2"/>
      <c r="P108" s="2"/>
      <c r="Q108" s="2"/>
      <c r="R108" s="25"/>
      <c r="S108" s="25"/>
      <c r="T108" s="25"/>
      <c r="AA108" s="2"/>
      <c r="AC108" s="55"/>
      <c r="AD108" s="57"/>
      <c r="AE108" s="55"/>
      <c r="AF108" s="55"/>
      <c r="AG108" s="52"/>
      <c r="AH108" s="51"/>
      <c r="AI108" s="52"/>
      <c r="AJ108" s="52"/>
      <c r="AK108" s="28"/>
      <c r="AL108" s="28"/>
      <c r="AM108" s="28"/>
      <c r="AN108" s="28"/>
      <c r="AO108" s="28"/>
      <c r="AP108" s="28"/>
      <c r="AQ108" s="28"/>
      <c r="AR108" s="28"/>
      <c r="AS108" s="25"/>
      <c r="AT108" s="25"/>
      <c r="AU108" s="25"/>
      <c r="AV108" s="25"/>
      <c r="AY108" s="75"/>
      <c r="AZ108" s="75"/>
      <c r="BA108" s="75"/>
      <c r="BI108" s="79" t="s">
        <v>1264</v>
      </c>
      <c r="BJ108" s="79">
        <v>1300</v>
      </c>
      <c r="BK108" s="79">
        <v>40</v>
      </c>
      <c r="BM108" s="79" t="s">
        <v>1275</v>
      </c>
      <c r="BN108" s="79" t="s">
        <v>56</v>
      </c>
      <c r="BO108" s="79">
        <v>0.1</v>
      </c>
      <c r="BQ108" s="79">
        <v>2.85</v>
      </c>
      <c r="BR108" s="79">
        <v>0</v>
      </c>
      <c r="BS108" s="79" t="s">
        <v>464</v>
      </c>
      <c r="BT108" s="79" t="s">
        <v>464</v>
      </c>
      <c r="BU108" s="79" t="s">
        <v>1266</v>
      </c>
      <c r="BV108" s="79">
        <v>400</v>
      </c>
      <c r="BX108" s="79" t="s">
        <v>1287</v>
      </c>
      <c r="BY108" s="79">
        <v>293</v>
      </c>
      <c r="BZ108" s="81">
        <v>101</v>
      </c>
      <c r="CA108">
        <f t="shared" si="9"/>
        <v>4.6151205168412597</v>
      </c>
    </row>
    <row r="109" spans="1:79" x14ac:dyDescent="0.3">
      <c r="A109" s="2" t="s">
        <v>58</v>
      </c>
      <c r="B109" s="13"/>
      <c r="C109" s="13"/>
      <c r="D109" s="2"/>
      <c r="E109" s="2" t="s">
        <v>1294</v>
      </c>
      <c r="F109" s="9"/>
      <c r="H109" s="1" t="s">
        <v>1153</v>
      </c>
      <c r="I109" s="2"/>
      <c r="J109" s="25"/>
      <c r="M109" s="2"/>
      <c r="N109" s="2"/>
      <c r="O109" s="2"/>
      <c r="P109" s="2"/>
      <c r="Q109" s="2"/>
      <c r="R109" s="25"/>
      <c r="S109" s="25"/>
      <c r="T109" s="25"/>
      <c r="AA109" s="2"/>
      <c r="AC109" s="55"/>
      <c r="AD109" s="57"/>
      <c r="AE109" s="55"/>
      <c r="AF109" s="55"/>
      <c r="AG109" s="52"/>
      <c r="AH109" s="51"/>
      <c r="AI109" s="52"/>
      <c r="AJ109" s="52"/>
      <c r="AK109" s="28"/>
      <c r="AL109" s="28"/>
      <c r="AM109" s="28"/>
      <c r="AN109" s="28"/>
      <c r="AO109" s="28"/>
      <c r="AP109" s="28"/>
      <c r="AQ109" s="28"/>
      <c r="AR109" s="28"/>
      <c r="AS109" s="25"/>
      <c r="AT109" s="25"/>
      <c r="AU109" s="25"/>
      <c r="AV109" s="25"/>
      <c r="AY109" s="75"/>
      <c r="AZ109" s="75"/>
      <c r="BA109" s="75"/>
      <c r="BI109" s="79" t="s">
        <v>1264</v>
      </c>
      <c r="BJ109" s="79">
        <v>1300</v>
      </c>
      <c r="BK109" s="79">
        <v>40</v>
      </c>
      <c r="BM109" s="79" t="s">
        <v>1275</v>
      </c>
      <c r="BN109" s="79" t="s">
        <v>56</v>
      </c>
      <c r="BO109" s="79">
        <v>0.1</v>
      </c>
      <c r="BQ109" s="79">
        <v>2.85</v>
      </c>
      <c r="BR109" s="79">
        <v>0</v>
      </c>
      <c r="BS109" s="79" t="s">
        <v>464</v>
      </c>
      <c r="BT109" s="79" t="s">
        <v>464</v>
      </c>
      <c r="BU109" s="79" t="s">
        <v>1266</v>
      </c>
      <c r="BV109" s="79">
        <v>400</v>
      </c>
      <c r="BX109" s="79" t="s">
        <v>1287</v>
      </c>
      <c r="BY109" s="79">
        <v>293</v>
      </c>
      <c r="BZ109" s="81">
        <v>92</v>
      </c>
      <c r="CA109">
        <f t="shared" si="9"/>
        <v>4.5217885770490405</v>
      </c>
    </row>
    <row r="110" spans="1:79" x14ac:dyDescent="0.3">
      <c r="A110" s="2" t="s">
        <v>1289</v>
      </c>
      <c r="B110" s="13"/>
      <c r="C110" s="13"/>
      <c r="D110" s="2"/>
      <c r="E110" s="2" t="s">
        <v>1294</v>
      </c>
      <c r="F110" s="9"/>
      <c r="H110" t="s">
        <v>1292</v>
      </c>
      <c r="I110" s="2"/>
      <c r="J110" s="25"/>
      <c r="M110" s="2"/>
      <c r="N110" s="2"/>
      <c r="O110" s="2"/>
      <c r="P110" s="2"/>
      <c r="Q110" s="2"/>
      <c r="R110" s="25"/>
      <c r="S110" s="25"/>
      <c r="T110" s="25"/>
      <c r="AA110" s="2"/>
      <c r="AC110" s="55"/>
      <c r="AD110" s="57"/>
      <c r="AE110" s="55"/>
      <c r="AF110" s="55"/>
      <c r="AG110" s="52"/>
      <c r="AH110" s="51"/>
      <c r="AI110" s="52"/>
      <c r="AJ110" s="52"/>
      <c r="AK110" s="28"/>
      <c r="AL110" s="28"/>
      <c r="AM110" s="28"/>
      <c r="AN110" s="28"/>
      <c r="AO110" s="28"/>
      <c r="AP110" s="28"/>
      <c r="AQ110" s="28"/>
      <c r="AR110" s="28"/>
      <c r="AS110" s="25"/>
      <c r="AT110" s="25"/>
      <c r="AU110" s="25"/>
      <c r="AV110" s="25"/>
      <c r="AY110" s="75"/>
      <c r="AZ110" s="75"/>
      <c r="BA110" s="75"/>
      <c r="BI110" s="79" t="s">
        <v>1290</v>
      </c>
      <c r="BM110" s="79" t="s">
        <v>1275</v>
      </c>
      <c r="BN110" s="79" t="s">
        <v>56</v>
      </c>
      <c r="BO110" s="79">
        <v>0.1</v>
      </c>
      <c r="BQ110" s="79">
        <v>2.85</v>
      </c>
      <c r="BR110" s="79">
        <v>0</v>
      </c>
      <c r="BS110" s="79" t="s">
        <v>464</v>
      </c>
      <c r="BT110" s="79" t="s">
        <v>464</v>
      </c>
      <c r="BU110" s="79" t="s">
        <v>1266</v>
      </c>
      <c r="BV110" s="79">
        <v>400</v>
      </c>
      <c r="BX110" s="79" t="s">
        <v>1287</v>
      </c>
      <c r="BY110" s="79">
        <v>293</v>
      </c>
      <c r="BZ110" s="81">
        <v>1</v>
      </c>
      <c r="CA110">
        <f t="shared" si="9"/>
        <v>0</v>
      </c>
    </row>
    <row r="111" spans="1:79" x14ac:dyDescent="0.3">
      <c r="A111" s="2" t="s">
        <v>1273</v>
      </c>
      <c r="B111" s="13"/>
      <c r="C111" s="13"/>
      <c r="D111" s="2"/>
      <c r="E111" s="2" t="s">
        <v>1294</v>
      </c>
      <c r="F111" s="9"/>
      <c r="H111" t="s">
        <v>1274</v>
      </c>
      <c r="I111" s="2"/>
      <c r="J111" s="25"/>
      <c r="M111" s="2"/>
      <c r="N111" s="2"/>
      <c r="O111" s="2"/>
      <c r="P111" s="2"/>
      <c r="Q111" s="2"/>
      <c r="R111" s="25"/>
      <c r="S111" s="25"/>
      <c r="T111" s="25"/>
      <c r="AA111" s="2"/>
      <c r="AC111" s="55"/>
      <c r="AD111" s="57"/>
      <c r="AE111" s="55"/>
      <c r="AF111" s="55"/>
      <c r="AG111" s="52"/>
      <c r="AH111" s="51"/>
      <c r="AI111" s="52"/>
      <c r="AJ111" s="52"/>
      <c r="AK111" s="28"/>
      <c r="AL111" s="28"/>
      <c r="AM111" s="28"/>
      <c r="AN111" s="28"/>
      <c r="AO111" s="28"/>
      <c r="AP111" s="28"/>
      <c r="AQ111" s="28"/>
      <c r="AR111" s="28"/>
      <c r="AS111" s="25"/>
      <c r="AT111" s="25"/>
      <c r="AU111" s="25"/>
      <c r="AV111" s="25"/>
      <c r="AY111" s="75"/>
      <c r="AZ111" s="75"/>
      <c r="BA111" s="75"/>
      <c r="BI111" s="79" t="s">
        <v>1264</v>
      </c>
      <c r="BJ111" s="79">
        <v>1673</v>
      </c>
      <c r="BK111" s="79">
        <v>0.25</v>
      </c>
      <c r="BM111" s="79" t="s">
        <v>1275</v>
      </c>
      <c r="BN111" s="79" t="s">
        <v>56</v>
      </c>
      <c r="BO111" s="79">
        <v>0.1</v>
      </c>
      <c r="BQ111" s="79">
        <v>2.85</v>
      </c>
      <c r="BR111" s="79">
        <v>0</v>
      </c>
      <c r="BS111" s="79" t="s">
        <v>464</v>
      </c>
      <c r="BT111" s="79" t="s">
        <v>464</v>
      </c>
      <c r="BU111" s="79" t="s">
        <v>1266</v>
      </c>
      <c r="BV111" s="79">
        <v>400</v>
      </c>
      <c r="BX111" s="79" t="s">
        <v>1287</v>
      </c>
      <c r="BY111" s="79">
        <v>293</v>
      </c>
      <c r="BZ111" s="81">
        <v>1</v>
      </c>
      <c r="CA111">
        <f t="shared" si="9"/>
        <v>0</v>
      </c>
    </row>
    <row r="112" spans="1:79" x14ac:dyDescent="0.3">
      <c r="A112" s="2" t="s">
        <v>1303</v>
      </c>
      <c r="B112" s="13"/>
      <c r="C112" s="13"/>
      <c r="D112" s="2"/>
      <c r="E112" s="2" t="s">
        <v>1294</v>
      </c>
      <c r="F112" s="9"/>
      <c r="H112" s="2" t="s">
        <v>1304</v>
      </c>
      <c r="I112" s="2"/>
      <c r="J112" s="25"/>
      <c r="M112" s="2"/>
      <c r="N112" s="2"/>
      <c r="O112" s="2"/>
      <c r="P112" s="2"/>
      <c r="Q112" s="2"/>
      <c r="R112" s="25"/>
      <c r="S112" s="25"/>
      <c r="T112" s="25"/>
      <c r="AA112" s="2"/>
      <c r="AC112" s="55"/>
      <c r="AD112" s="57"/>
      <c r="AE112" s="55"/>
      <c r="AF112" s="55"/>
      <c r="AG112" s="52"/>
      <c r="AH112" s="51"/>
      <c r="AI112" s="52"/>
      <c r="AJ112" s="52"/>
      <c r="AK112" s="28"/>
      <c r="AL112" s="28"/>
      <c r="AM112" s="28"/>
      <c r="AN112" s="28"/>
      <c r="AO112" s="28"/>
      <c r="AP112" s="28"/>
      <c r="AQ112" s="28"/>
      <c r="AR112" s="28"/>
      <c r="AS112" s="25"/>
      <c r="AT112" s="25"/>
      <c r="AU112" s="25"/>
      <c r="AV112" s="25"/>
      <c r="AY112" s="75"/>
      <c r="AZ112" s="75"/>
      <c r="BA112" s="75"/>
      <c r="BI112" s="79" t="s">
        <v>1264</v>
      </c>
      <c r="BJ112" s="79">
        <v>1673</v>
      </c>
      <c r="BK112" s="79">
        <v>0.25</v>
      </c>
      <c r="BM112" s="79" t="s">
        <v>1275</v>
      </c>
      <c r="BN112" s="79" t="s">
        <v>56</v>
      </c>
      <c r="BO112" s="79">
        <v>0.1</v>
      </c>
      <c r="BQ112" s="79">
        <v>2.85</v>
      </c>
      <c r="BR112" s="79">
        <v>0</v>
      </c>
      <c r="BS112" s="79" t="s">
        <v>464</v>
      </c>
      <c r="BT112" s="79" t="s">
        <v>464</v>
      </c>
      <c r="BU112" s="79" t="s">
        <v>1266</v>
      </c>
      <c r="BV112" s="79">
        <v>400</v>
      </c>
      <c r="BX112" s="79" t="s">
        <v>1287</v>
      </c>
      <c r="BY112" s="79">
        <v>293</v>
      </c>
      <c r="BZ112" s="81">
        <v>1</v>
      </c>
      <c r="CA112">
        <f t="shared" si="9"/>
        <v>0</v>
      </c>
    </row>
    <row r="113" spans="1:79" x14ac:dyDescent="0.3">
      <c r="A113" s="2" t="s">
        <v>1288</v>
      </c>
      <c r="B113" s="13"/>
      <c r="C113" s="13"/>
      <c r="D113" s="2"/>
      <c r="E113" s="2" t="s">
        <v>1294</v>
      </c>
      <c r="F113" s="9"/>
      <c r="H113" t="s">
        <v>1291</v>
      </c>
      <c r="I113" s="2"/>
      <c r="J113" s="25"/>
      <c r="M113" s="2"/>
      <c r="N113" s="2"/>
      <c r="O113" s="2"/>
      <c r="P113" s="2"/>
      <c r="Q113" s="2"/>
      <c r="R113" s="25"/>
      <c r="S113" s="25"/>
      <c r="T113" s="25"/>
      <c r="AA113" s="2"/>
      <c r="AC113" s="55"/>
      <c r="AD113" s="57"/>
      <c r="AE113" s="55"/>
      <c r="AF113" s="55"/>
      <c r="AG113" s="52"/>
      <c r="AH113" s="51"/>
      <c r="AI113" s="52"/>
      <c r="AJ113" s="52"/>
      <c r="AK113" s="28"/>
      <c r="AL113" s="28"/>
      <c r="AM113" s="28"/>
      <c r="AN113" s="28"/>
      <c r="AO113" s="28"/>
      <c r="AP113" s="28"/>
      <c r="AQ113" s="28"/>
      <c r="AR113" s="28"/>
      <c r="AS113" s="25"/>
      <c r="AT113" s="25"/>
      <c r="AU113" s="25"/>
      <c r="AV113" s="25"/>
      <c r="AY113" s="75"/>
      <c r="AZ113" s="75"/>
      <c r="BA113" s="75"/>
      <c r="BI113" s="79" t="s">
        <v>1290</v>
      </c>
      <c r="BK113" s="79">
        <v>0.25</v>
      </c>
      <c r="BM113" s="79" t="s">
        <v>1275</v>
      </c>
      <c r="BN113" s="79" t="s">
        <v>56</v>
      </c>
      <c r="BO113" s="79">
        <v>0.1</v>
      </c>
      <c r="BQ113" s="79">
        <v>2.85</v>
      </c>
      <c r="BR113" s="79">
        <v>0</v>
      </c>
      <c r="BS113" s="79" t="s">
        <v>464</v>
      </c>
      <c r="BT113" s="79" t="s">
        <v>464</v>
      </c>
      <c r="BU113" s="79" t="s">
        <v>1266</v>
      </c>
      <c r="BV113" s="79">
        <v>400</v>
      </c>
      <c r="BX113" s="79" t="s">
        <v>1287</v>
      </c>
      <c r="BY113" s="79">
        <v>293</v>
      </c>
      <c r="BZ113" s="81">
        <v>4</v>
      </c>
      <c r="CA113">
        <f t="shared" si="9"/>
        <v>1.3862943611198906</v>
      </c>
    </row>
    <row r="114" spans="1:79" x14ac:dyDescent="0.3">
      <c r="A114" s="2" t="s">
        <v>27</v>
      </c>
      <c r="B114" s="13"/>
      <c r="C114" s="13"/>
      <c r="D114" s="2"/>
      <c r="E114" s="2" t="s">
        <v>1294</v>
      </c>
      <c r="F114" s="9" t="s">
        <v>563</v>
      </c>
      <c r="G114" t="s">
        <v>641</v>
      </c>
      <c r="H114" s="2"/>
      <c r="I114" s="2"/>
      <c r="J114" s="25"/>
      <c r="M114" s="2"/>
      <c r="N114" s="2"/>
      <c r="O114" s="2"/>
      <c r="P114" s="2"/>
      <c r="Q114" s="2"/>
      <c r="R114" s="25"/>
      <c r="S114" s="25"/>
      <c r="T114" s="25"/>
      <c r="AA114" s="2"/>
      <c r="AC114" s="55"/>
      <c r="AD114" s="57"/>
      <c r="AE114" s="55"/>
      <c r="AF114" s="55"/>
      <c r="AG114" s="52"/>
      <c r="AH114" s="51"/>
      <c r="AI114" s="52"/>
      <c r="AJ114" s="52"/>
      <c r="AK114" s="28"/>
      <c r="AL114" s="28"/>
      <c r="AM114" s="28"/>
      <c r="AN114" s="28"/>
      <c r="AO114" s="28"/>
      <c r="AP114" s="28"/>
      <c r="AQ114" s="28"/>
      <c r="AR114" s="28"/>
      <c r="AS114" s="25"/>
      <c r="AT114" s="25"/>
      <c r="AU114" s="25"/>
      <c r="AV114" s="25"/>
      <c r="AY114" s="75"/>
      <c r="AZ114" s="75"/>
      <c r="BA114" s="75"/>
      <c r="BI114" s="79" t="s">
        <v>1264</v>
      </c>
      <c r="BJ114" s="79">
        <v>1673</v>
      </c>
      <c r="BK114" s="79">
        <v>0.25</v>
      </c>
      <c r="BM114" s="79" t="s">
        <v>1275</v>
      </c>
      <c r="BN114" s="79" t="s">
        <v>56</v>
      </c>
      <c r="BO114" s="79">
        <v>0.1</v>
      </c>
      <c r="BQ114" s="79">
        <v>2.85</v>
      </c>
      <c r="BR114" s="79">
        <v>0</v>
      </c>
      <c r="BS114" s="79" t="s">
        <v>464</v>
      </c>
      <c r="BT114" s="79" t="s">
        <v>464</v>
      </c>
      <c r="BU114" s="79" t="s">
        <v>1266</v>
      </c>
      <c r="BV114" s="79">
        <v>400</v>
      </c>
      <c r="BX114" s="79" t="s">
        <v>1287</v>
      </c>
      <c r="BY114" s="79">
        <v>293</v>
      </c>
      <c r="BZ114" s="81">
        <v>6</v>
      </c>
      <c r="CA114">
        <f t="shared" si="9"/>
        <v>1.791759469228055</v>
      </c>
    </row>
    <row r="115" spans="1:79" x14ac:dyDescent="0.3">
      <c r="A115" s="2" t="s">
        <v>60</v>
      </c>
      <c r="B115" s="13" t="s">
        <v>733</v>
      </c>
      <c r="C115" s="13"/>
      <c r="D115" s="2">
        <v>2.54</v>
      </c>
      <c r="E115" s="2" t="s">
        <v>62</v>
      </c>
      <c r="F115" s="9" t="s">
        <v>558</v>
      </c>
      <c r="G115" t="s">
        <v>635</v>
      </c>
      <c r="I115" s="2"/>
      <c r="J115" s="25">
        <v>1</v>
      </c>
      <c r="K115">
        <v>2</v>
      </c>
      <c r="L115">
        <v>0</v>
      </c>
      <c r="M115" s="2">
        <v>3.8860999999999999</v>
      </c>
      <c r="N115" s="2">
        <v>3.8860999999999999</v>
      </c>
      <c r="O115" s="2">
        <v>12.5922</v>
      </c>
      <c r="P115" s="2" t="s">
        <v>440</v>
      </c>
      <c r="Q115" s="2"/>
      <c r="R115" s="25">
        <v>3.8962357000000001</v>
      </c>
      <c r="S115" s="25">
        <v>3.8962353200000002</v>
      </c>
      <c r="T115" s="25">
        <v>6.87349342</v>
      </c>
      <c r="U115">
        <v>3.8839999999999999</v>
      </c>
      <c r="V115">
        <v>3.8839999999999999</v>
      </c>
      <c r="W115">
        <v>12.6</v>
      </c>
      <c r="X115">
        <v>0</v>
      </c>
      <c r="AA115" s="2"/>
      <c r="AB115">
        <v>8</v>
      </c>
      <c r="AC115" s="55">
        <f t="shared" si="11"/>
        <v>190.164548614962</v>
      </c>
      <c r="AD115" s="57">
        <v>95.595427689592043</v>
      </c>
      <c r="AE115" s="55">
        <v>190.07674560000001</v>
      </c>
      <c r="AF115" s="55">
        <v>0</v>
      </c>
      <c r="AG115" s="52"/>
      <c r="AH115" s="51">
        <v>8.3686010862117841E-2</v>
      </c>
      <c r="AI115" s="52">
        <v>8.4176525379230829E-2</v>
      </c>
      <c r="AJ115" s="52"/>
      <c r="AK115" s="28">
        <v>2</v>
      </c>
      <c r="AL115" s="28">
        <v>2.285714285714286</v>
      </c>
      <c r="AM115" s="28">
        <v>0.2857142857142857</v>
      </c>
      <c r="AN115" s="28">
        <v>0</v>
      </c>
      <c r="AO115" s="28">
        <v>0.4375</v>
      </c>
      <c r="AP115" s="28">
        <v>0.5</v>
      </c>
      <c r="AQ115" s="28">
        <v>6.25E-2</v>
      </c>
      <c r="AR115" s="28">
        <v>0</v>
      </c>
      <c r="AS115" s="25">
        <v>0.95</v>
      </c>
      <c r="AT115" s="25">
        <v>3.44</v>
      </c>
      <c r="AU115" s="25">
        <v>2.4900000000000002</v>
      </c>
      <c r="AV115" s="25">
        <v>2.4571428571428569</v>
      </c>
      <c r="AW115">
        <v>2.4571428571428569</v>
      </c>
      <c r="AX115">
        <v>5.6224409357142857</v>
      </c>
      <c r="AY115" s="75">
        <v>0.57028696666713652</v>
      </c>
      <c r="AZ115" s="75">
        <v>0.57362962851932398</v>
      </c>
      <c r="BA115" s="75"/>
      <c r="BC115">
        <v>4.184300543105892E-2</v>
      </c>
      <c r="BD115">
        <v>4.2088262689615408E-2</v>
      </c>
      <c r="BF115">
        <v>8.3931268120674335E-2</v>
      </c>
      <c r="BG115">
        <v>4.1965634060337167E-2</v>
      </c>
      <c r="BH115">
        <v>0.57195829759323025</v>
      </c>
      <c r="BI115" s="79" t="s">
        <v>1305</v>
      </c>
      <c r="BJ115" s="79">
        <v>823</v>
      </c>
      <c r="BK115" s="79">
        <v>5</v>
      </c>
      <c r="BL115" s="79" t="s">
        <v>1308</v>
      </c>
      <c r="BM115" s="79" t="s">
        <v>1275</v>
      </c>
      <c r="BN115" s="79" t="s">
        <v>863</v>
      </c>
      <c r="BO115" s="79" t="s">
        <v>464</v>
      </c>
      <c r="BP115" s="79">
        <v>0.4</v>
      </c>
      <c r="BQ115" s="79">
        <v>1</v>
      </c>
      <c r="BR115" s="79">
        <v>0</v>
      </c>
      <c r="BS115" s="79" t="s">
        <v>1309</v>
      </c>
      <c r="BT115" s="79" t="s">
        <v>464</v>
      </c>
      <c r="BU115" s="79" t="s">
        <v>1306</v>
      </c>
      <c r="BV115" s="79">
        <v>300</v>
      </c>
      <c r="BW115" s="79">
        <v>400</v>
      </c>
      <c r="BY115" s="79">
        <v>293</v>
      </c>
      <c r="BZ115" s="81">
        <v>0</v>
      </c>
      <c r="CA115" t="e">
        <f t="shared" si="9"/>
        <v>#NUM!</v>
      </c>
    </row>
    <row r="116" spans="1:79" x14ac:dyDescent="0.3">
      <c r="A116" s="2" t="s">
        <v>61</v>
      </c>
      <c r="B116" s="17" t="s">
        <v>894</v>
      </c>
      <c r="C116" s="13"/>
      <c r="D116" s="2">
        <v>2.3199999999999998</v>
      </c>
      <c r="E116" s="2" t="s">
        <v>62</v>
      </c>
      <c r="F116" s="32" t="s">
        <v>558</v>
      </c>
      <c r="G116" s="1" t="s">
        <v>635</v>
      </c>
      <c r="I116" s="2"/>
      <c r="J116" s="25">
        <v>0</v>
      </c>
      <c r="K116">
        <v>2</v>
      </c>
      <c r="L116">
        <v>0</v>
      </c>
      <c r="M116" s="2">
        <v>3.8915000000000002</v>
      </c>
      <c r="N116" s="2">
        <v>3.8915000000000002</v>
      </c>
      <c r="O116" s="2">
        <v>12.589499999999999</v>
      </c>
      <c r="P116" s="2" t="s">
        <v>440</v>
      </c>
      <c r="Q116" s="2"/>
      <c r="R116" s="25">
        <v>0</v>
      </c>
      <c r="S116" s="25"/>
      <c r="T116" s="25"/>
      <c r="U116">
        <v>3.8839999999999999</v>
      </c>
      <c r="V116">
        <v>3.8839999999999999</v>
      </c>
      <c r="W116">
        <v>12.6</v>
      </c>
      <c r="X116">
        <v>0</v>
      </c>
      <c r="AA116" s="2"/>
      <c r="AB116">
        <v>8</v>
      </c>
      <c r="AC116" s="55">
        <f t="shared" si="11"/>
        <v>190.65252074137501</v>
      </c>
      <c r="AD116" s="57">
        <v>0</v>
      </c>
      <c r="AE116" s="55">
        <v>190.07674560000001</v>
      </c>
      <c r="AF116" s="55">
        <v>0</v>
      </c>
      <c r="AG116" s="52"/>
      <c r="AH116" s="51"/>
      <c r="AI116" s="52">
        <v>8.4176525379230829E-2</v>
      </c>
      <c r="AJ116" s="52"/>
      <c r="AK116" s="28">
        <v>2</v>
      </c>
      <c r="AL116" s="28">
        <v>2.285714285714286</v>
      </c>
      <c r="AM116" s="28">
        <v>0.3</v>
      </c>
      <c r="AN116" s="28">
        <v>0</v>
      </c>
      <c r="AO116" s="28">
        <v>0.43613707165109028</v>
      </c>
      <c r="AP116" s="28">
        <v>0.49844236760124599</v>
      </c>
      <c r="AQ116" s="28">
        <v>6.5420560747663545E-2</v>
      </c>
      <c r="AR116" s="28">
        <v>0</v>
      </c>
      <c r="AS116" s="25">
        <v>0.95</v>
      </c>
      <c r="AT116" s="25">
        <v>3.44</v>
      </c>
      <c r="AU116" s="25">
        <v>2.4900000000000002</v>
      </c>
      <c r="AV116" s="25">
        <v>2.4592857142857141</v>
      </c>
      <c r="AW116">
        <v>2.459285714285715</v>
      </c>
      <c r="AX116">
        <v>5.625208883928571</v>
      </c>
      <c r="AY116" s="75">
        <v>0.57028696666713652</v>
      </c>
      <c r="AZ116" s="75">
        <v>0.57362962851932398</v>
      </c>
      <c r="BA116" s="75"/>
      <c r="BD116">
        <v>4.2088262689615408E-2</v>
      </c>
      <c r="BF116">
        <v>8.4176525379230829E-2</v>
      </c>
      <c r="BG116">
        <v>4.2088262689615408E-2</v>
      </c>
      <c r="BH116">
        <v>0.57195829759323025</v>
      </c>
      <c r="BI116" s="79" t="s">
        <v>1305</v>
      </c>
      <c r="BJ116" s="79">
        <v>823</v>
      </c>
      <c r="BK116" s="79">
        <v>5</v>
      </c>
      <c r="BL116" s="79" t="s">
        <v>1308</v>
      </c>
      <c r="BM116" s="79" t="s">
        <v>1275</v>
      </c>
      <c r="BN116" s="79" t="s">
        <v>863</v>
      </c>
      <c r="BO116" s="79" t="s">
        <v>464</v>
      </c>
      <c r="BP116" s="79">
        <v>1.3</v>
      </c>
      <c r="BQ116" s="79">
        <v>1</v>
      </c>
      <c r="BR116" s="79">
        <v>0</v>
      </c>
      <c r="BS116" s="79" t="s">
        <v>1309</v>
      </c>
      <c r="BT116" s="79" t="s">
        <v>464</v>
      </c>
      <c r="BU116" s="79" t="s">
        <v>1306</v>
      </c>
      <c r="BV116" s="79">
        <v>300</v>
      </c>
      <c r="BW116" s="79">
        <v>400</v>
      </c>
      <c r="BY116" s="79">
        <v>293</v>
      </c>
      <c r="BZ116" s="81">
        <v>40</v>
      </c>
      <c r="CA116">
        <f t="shared" si="9"/>
        <v>3.6888794541139363</v>
      </c>
    </row>
    <row r="117" spans="1:79" x14ac:dyDescent="0.3">
      <c r="A117" s="2" t="s">
        <v>883</v>
      </c>
      <c r="B117" s="17" t="s">
        <v>895</v>
      </c>
      <c r="C117" s="13"/>
      <c r="D117" s="2">
        <v>2.2200000000000002</v>
      </c>
      <c r="E117" s="2" t="s">
        <v>62</v>
      </c>
      <c r="F117" s="32" t="s">
        <v>558</v>
      </c>
      <c r="G117" s="1" t="s">
        <v>635</v>
      </c>
      <c r="I117" s="2"/>
      <c r="J117" s="25">
        <v>0</v>
      </c>
      <c r="K117">
        <v>2</v>
      </c>
      <c r="L117">
        <v>0</v>
      </c>
      <c r="M117" s="2">
        <v>3.8965000000000001</v>
      </c>
      <c r="N117" s="2">
        <v>3.8965000000000001</v>
      </c>
      <c r="O117" s="2">
        <v>12.6137</v>
      </c>
      <c r="P117" s="2" t="s">
        <v>440</v>
      </c>
      <c r="Q117" s="2"/>
      <c r="R117" s="25">
        <v>0</v>
      </c>
      <c r="S117" s="25"/>
      <c r="T117" s="25"/>
      <c r="U117">
        <v>3.8839999999999999</v>
      </c>
      <c r="V117">
        <v>3.8839999999999999</v>
      </c>
      <c r="W117">
        <v>12.6</v>
      </c>
      <c r="X117">
        <v>0</v>
      </c>
      <c r="AA117" s="2"/>
      <c r="AB117">
        <v>8</v>
      </c>
      <c r="AC117" s="55">
        <f t="shared" si="11"/>
        <v>191.51017750782501</v>
      </c>
      <c r="AD117" s="57">
        <v>0</v>
      </c>
      <c r="AE117" s="55">
        <v>190.07674560000001</v>
      </c>
      <c r="AF117" s="55">
        <v>0</v>
      </c>
      <c r="AG117" s="52"/>
      <c r="AH117" s="51"/>
      <c r="AI117" s="52">
        <v>8.4176525379230829E-2</v>
      </c>
      <c r="AJ117" s="52"/>
      <c r="AK117" s="28">
        <v>2</v>
      </c>
      <c r="AL117" s="28">
        <v>2.285714285714286</v>
      </c>
      <c r="AM117" s="28">
        <v>0.31428571428571428</v>
      </c>
      <c r="AN117" s="28">
        <v>0</v>
      </c>
      <c r="AO117" s="28">
        <v>0.43478260869565211</v>
      </c>
      <c r="AP117" s="28">
        <v>0.49689440993788808</v>
      </c>
      <c r="AQ117" s="28">
        <v>6.8322981366459631E-2</v>
      </c>
      <c r="AR117" s="28">
        <v>0</v>
      </c>
      <c r="AS117" s="25">
        <v>0.95</v>
      </c>
      <c r="AT117" s="25">
        <v>3.44</v>
      </c>
      <c r="AU117" s="25">
        <v>2.4900000000000002</v>
      </c>
      <c r="AV117" s="25">
        <v>2.4614285714285709</v>
      </c>
      <c r="AW117">
        <v>2.4614285714285709</v>
      </c>
      <c r="AX117">
        <v>5.627976832142858</v>
      </c>
      <c r="AY117" s="75">
        <v>0.57028696666713652</v>
      </c>
      <c r="AZ117" s="75">
        <v>0.57362962851932398</v>
      </c>
      <c r="BA117" s="75"/>
      <c r="BD117">
        <v>4.2088262689615408E-2</v>
      </c>
      <c r="BF117">
        <v>8.4176525379230829E-2</v>
      </c>
      <c r="BG117">
        <v>4.2088262689615408E-2</v>
      </c>
      <c r="BH117">
        <v>0.57195829759323025</v>
      </c>
      <c r="BI117" s="79" t="s">
        <v>1305</v>
      </c>
      <c r="BJ117" s="79">
        <v>823</v>
      </c>
      <c r="BK117" s="79">
        <v>5</v>
      </c>
      <c r="BL117" s="79" t="s">
        <v>1308</v>
      </c>
      <c r="BM117" s="79" t="s">
        <v>1275</v>
      </c>
      <c r="BN117" s="79" t="s">
        <v>863</v>
      </c>
      <c r="BO117" s="79" t="s">
        <v>464</v>
      </c>
      <c r="BP117" s="79">
        <v>3.2</v>
      </c>
      <c r="BQ117" s="79">
        <v>1</v>
      </c>
      <c r="BR117" s="79">
        <v>0</v>
      </c>
      <c r="BS117" s="79" t="s">
        <v>1309</v>
      </c>
      <c r="BT117" s="79" t="s">
        <v>464</v>
      </c>
      <c r="BU117" s="79" t="s">
        <v>1306</v>
      </c>
      <c r="BV117" s="79">
        <v>300</v>
      </c>
      <c r="BW117" s="79">
        <v>400</v>
      </c>
      <c r="BY117" s="79">
        <v>293</v>
      </c>
      <c r="BZ117" s="81">
        <v>170</v>
      </c>
      <c r="CA117">
        <f t="shared" si="9"/>
        <v>5.1357984370502621</v>
      </c>
    </row>
    <row r="118" spans="1:79" x14ac:dyDescent="0.3">
      <c r="A118" s="2" t="s">
        <v>884</v>
      </c>
      <c r="B118" s="17" t="s">
        <v>896</v>
      </c>
      <c r="C118" s="13"/>
      <c r="D118" s="2">
        <v>2.16</v>
      </c>
      <c r="E118" s="2" t="s">
        <v>62</v>
      </c>
      <c r="F118" s="32" t="s">
        <v>558</v>
      </c>
      <c r="G118" s="1" t="s">
        <v>635</v>
      </c>
      <c r="I118" s="2"/>
      <c r="J118" s="25">
        <v>0</v>
      </c>
      <c r="K118">
        <v>2</v>
      </c>
      <c r="L118">
        <v>0</v>
      </c>
      <c r="M118" s="2">
        <v>3.9016999999999999</v>
      </c>
      <c r="N118" s="2">
        <v>3.9016999999999999</v>
      </c>
      <c r="O118" s="2">
        <v>12.593500000000001</v>
      </c>
      <c r="P118" s="2" t="s">
        <v>440</v>
      </c>
      <c r="Q118" s="2"/>
      <c r="R118" s="25">
        <v>0</v>
      </c>
      <c r="S118" s="25"/>
      <c r="T118" s="25"/>
      <c r="U118">
        <v>3.8839999999999999</v>
      </c>
      <c r="V118">
        <v>3.8839999999999999</v>
      </c>
      <c r="W118">
        <v>12.6</v>
      </c>
      <c r="X118">
        <v>0</v>
      </c>
      <c r="AA118" s="2"/>
      <c r="AB118">
        <v>8</v>
      </c>
      <c r="AC118" s="55">
        <f t="shared" si="11"/>
        <v>191.71416120521499</v>
      </c>
      <c r="AD118" s="57">
        <v>0</v>
      </c>
      <c r="AE118" s="55">
        <v>190.07674560000001</v>
      </c>
      <c r="AF118" s="55">
        <v>0</v>
      </c>
      <c r="AG118" s="52"/>
      <c r="AH118" s="51"/>
      <c r="AI118" s="52">
        <v>8.4176525379230829E-2</v>
      </c>
      <c r="AJ118" s="52"/>
      <c r="AK118" s="28">
        <v>2</v>
      </c>
      <c r="AL118" s="28">
        <v>2.285714285714286</v>
      </c>
      <c r="AM118" s="28">
        <v>0.32857142857142863</v>
      </c>
      <c r="AN118" s="28">
        <v>0</v>
      </c>
      <c r="AO118" s="28">
        <v>0.43343653250774</v>
      </c>
      <c r="AP118" s="28">
        <v>0.49535603715170279</v>
      </c>
      <c r="AQ118" s="28">
        <v>7.1207430340557279E-2</v>
      </c>
      <c r="AR118" s="28">
        <v>0</v>
      </c>
      <c r="AS118" s="25">
        <v>0.95</v>
      </c>
      <c r="AT118" s="25">
        <v>3.44</v>
      </c>
      <c r="AU118" s="25">
        <v>2.4900000000000002</v>
      </c>
      <c r="AV118" s="25">
        <v>2.463571428571429</v>
      </c>
      <c r="AW118">
        <v>2.463571428571429</v>
      </c>
      <c r="AX118">
        <v>5.6307447803571433</v>
      </c>
      <c r="AY118" s="75">
        <v>0.57028696666713652</v>
      </c>
      <c r="AZ118" s="75">
        <v>0.57362962851932398</v>
      </c>
      <c r="BA118" s="75"/>
      <c r="BD118">
        <v>4.2088262689615408E-2</v>
      </c>
      <c r="BF118">
        <v>8.4176525379230829E-2</v>
      </c>
      <c r="BG118">
        <v>4.2088262689615408E-2</v>
      </c>
      <c r="BH118">
        <v>0.57195829759323025</v>
      </c>
      <c r="BI118" s="79" t="s">
        <v>1305</v>
      </c>
      <c r="BJ118" s="79">
        <v>823</v>
      </c>
      <c r="BK118" s="79">
        <v>5</v>
      </c>
      <c r="BL118" s="79" t="s">
        <v>1308</v>
      </c>
      <c r="BM118" s="79" t="s">
        <v>1275</v>
      </c>
      <c r="BN118" s="79" t="s">
        <v>863</v>
      </c>
      <c r="BO118" s="79" t="s">
        <v>464</v>
      </c>
      <c r="BP118" s="79">
        <v>3.4</v>
      </c>
      <c r="BQ118" s="79">
        <v>1</v>
      </c>
      <c r="BR118" s="79">
        <v>0</v>
      </c>
      <c r="BS118" s="79" t="s">
        <v>1309</v>
      </c>
      <c r="BT118" s="79" t="s">
        <v>464</v>
      </c>
      <c r="BU118" s="79" t="s">
        <v>1306</v>
      </c>
      <c r="BV118" s="79">
        <v>300</v>
      </c>
      <c r="BW118" s="79">
        <v>400</v>
      </c>
      <c r="BY118" s="79">
        <v>293</v>
      </c>
      <c r="BZ118" s="81">
        <v>75</v>
      </c>
      <c r="CA118">
        <f t="shared" si="9"/>
        <v>4.3174881135363101</v>
      </c>
    </row>
    <row r="119" spans="1:79" x14ac:dyDescent="0.3">
      <c r="A119" s="2" t="s">
        <v>885</v>
      </c>
      <c r="B119" s="17" t="s">
        <v>897</v>
      </c>
      <c r="C119" s="13"/>
      <c r="D119" s="2">
        <v>2.1</v>
      </c>
      <c r="E119" s="2" t="s">
        <v>62</v>
      </c>
      <c r="F119" s="32" t="s">
        <v>558</v>
      </c>
      <c r="G119" s="1" t="s">
        <v>635</v>
      </c>
      <c r="I119" s="2"/>
      <c r="J119" s="25">
        <v>0</v>
      </c>
      <c r="K119">
        <v>2</v>
      </c>
      <c r="L119">
        <v>0</v>
      </c>
      <c r="M119" s="2">
        <v>3.9022000000000001</v>
      </c>
      <c r="N119" s="2">
        <v>3.9022000000000001</v>
      </c>
      <c r="O119" s="2">
        <v>12.6189</v>
      </c>
      <c r="P119" s="2" t="s">
        <v>440</v>
      </c>
      <c r="Q119" s="2"/>
      <c r="R119" s="25">
        <v>0</v>
      </c>
      <c r="S119" s="25"/>
      <c r="T119" s="25"/>
      <c r="U119">
        <v>3.8839999999999999</v>
      </c>
      <c r="V119">
        <v>3.8839999999999999</v>
      </c>
      <c r="W119">
        <v>12.6</v>
      </c>
      <c r="X119">
        <v>0</v>
      </c>
      <c r="AA119" s="2"/>
      <c r="AB119">
        <v>8</v>
      </c>
      <c r="AC119" s="55">
        <f t="shared" si="11"/>
        <v>192.15007039947599</v>
      </c>
      <c r="AD119" s="57">
        <v>0</v>
      </c>
      <c r="AE119" s="55">
        <v>190.07674560000001</v>
      </c>
      <c r="AF119" s="55">
        <v>0</v>
      </c>
      <c r="AG119" s="52"/>
      <c r="AH119" s="51"/>
      <c r="AI119" s="52">
        <v>8.4176525379230829E-2</v>
      </c>
      <c r="AJ119" s="52"/>
      <c r="AK119" s="28">
        <v>2</v>
      </c>
      <c r="AL119" s="28">
        <v>2.285714285714286</v>
      </c>
      <c r="AM119" s="28">
        <v>0.34285714285714292</v>
      </c>
      <c r="AN119" s="28">
        <v>0</v>
      </c>
      <c r="AO119" s="28">
        <v>0.4320987654320988</v>
      </c>
      <c r="AP119" s="28">
        <v>0.49382716049382719</v>
      </c>
      <c r="AQ119" s="28">
        <v>7.4074074074074084E-2</v>
      </c>
      <c r="AR119" s="28">
        <v>0</v>
      </c>
      <c r="AS119" s="25">
        <v>0.95</v>
      </c>
      <c r="AT119" s="25">
        <v>3.44</v>
      </c>
      <c r="AU119" s="25">
        <v>2.4900000000000002</v>
      </c>
      <c r="AV119" s="25">
        <v>2.4657142857142849</v>
      </c>
      <c r="AW119">
        <v>2.4657142857142862</v>
      </c>
      <c r="AX119">
        <v>5.6335127285714286</v>
      </c>
      <c r="AY119" s="75">
        <v>0.57028696666713652</v>
      </c>
      <c r="AZ119" s="75">
        <v>0.57362962851932398</v>
      </c>
      <c r="BA119" s="75"/>
      <c r="BD119">
        <v>4.2088262689615408E-2</v>
      </c>
      <c r="BF119">
        <v>8.4176525379230829E-2</v>
      </c>
      <c r="BG119">
        <v>4.2088262689615408E-2</v>
      </c>
      <c r="BH119">
        <v>0.57195829759323025</v>
      </c>
      <c r="BI119" s="79" t="s">
        <v>1305</v>
      </c>
      <c r="BJ119" s="79">
        <v>823</v>
      </c>
      <c r="BK119" s="79">
        <v>5</v>
      </c>
      <c r="BL119" s="79" t="s">
        <v>1308</v>
      </c>
      <c r="BM119" s="79" t="s">
        <v>1275</v>
      </c>
      <c r="BN119" s="79" t="s">
        <v>863</v>
      </c>
      <c r="BO119" s="79" t="s">
        <v>464</v>
      </c>
      <c r="BP119" s="79">
        <v>3.8</v>
      </c>
      <c r="BQ119" s="79">
        <v>1</v>
      </c>
      <c r="BR119" s="79">
        <v>0</v>
      </c>
      <c r="BS119" s="79" t="s">
        <v>1309</v>
      </c>
      <c r="BT119" s="79" t="s">
        <v>464</v>
      </c>
      <c r="BU119" s="79" t="s">
        <v>1306</v>
      </c>
      <c r="BV119" s="79">
        <v>300</v>
      </c>
      <c r="BW119" s="79">
        <v>400</v>
      </c>
      <c r="BY119" s="79">
        <v>293</v>
      </c>
      <c r="BZ119" s="81">
        <v>45</v>
      </c>
      <c r="CA119">
        <f t="shared" si="9"/>
        <v>3.8066624897703196</v>
      </c>
    </row>
    <row r="120" spans="1:79" s="2" customFormat="1" x14ac:dyDescent="0.3">
      <c r="A120" s="2" t="s">
        <v>886</v>
      </c>
      <c r="B120" s="33" t="s">
        <v>898</v>
      </c>
      <c r="C120" s="34"/>
      <c r="D120" s="2">
        <v>2.08</v>
      </c>
      <c r="E120" s="2" t="s">
        <v>62</v>
      </c>
      <c r="F120" s="35" t="s">
        <v>558</v>
      </c>
      <c r="G120" s="2" t="s">
        <v>635</v>
      </c>
      <c r="J120" s="29">
        <v>0</v>
      </c>
      <c r="K120" s="2">
        <v>2</v>
      </c>
      <c r="L120" s="2">
        <v>0</v>
      </c>
      <c r="M120" s="2">
        <v>3.9043999999999999</v>
      </c>
      <c r="N120" s="2">
        <v>3.9043999999999999</v>
      </c>
      <c r="O120" s="2">
        <v>12.6092</v>
      </c>
      <c r="P120" s="2" t="s">
        <v>440</v>
      </c>
      <c r="R120" s="29">
        <v>0</v>
      </c>
      <c r="S120" s="29"/>
      <c r="T120" s="29"/>
      <c r="U120" s="2">
        <v>3.8839999999999999</v>
      </c>
      <c r="V120" s="2">
        <v>3.8839999999999999</v>
      </c>
      <c r="W120" s="2">
        <v>12.6</v>
      </c>
      <c r="X120" s="2">
        <v>0</v>
      </c>
      <c r="AB120" s="2">
        <v>8</v>
      </c>
      <c r="AC120" s="2">
        <f t="shared" si="11"/>
        <v>192.21892385811199</v>
      </c>
      <c r="AD120" s="29">
        <v>0</v>
      </c>
      <c r="AE120" s="2">
        <v>190.07674560000001</v>
      </c>
      <c r="AF120" s="2">
        <v>0</v>
      </c>
      <c r="AH120" s="29"/>
      <c r="AI120" s="2">
        <v>8.4176525379230829E-2</v>
      </c>
      <c r="AK120" s="2">
        <v>2</v>
      </c>
      <c r="AL120" s="2">
        <v>2.285714285714286</v>
      </c>
      <c r="AM120" s="2">
        <v>0.35714285714285721</v>
      </c>
      <c r="AN120" s="2">
        <v>0</v>
      </c>
      <c r="AO120" s="2">
        <v>0.43076923076923068</v>
      </c>
      <c r="AP120" s="2">
        <v>0.49230769230769222</v>
      </c>
      <c r="AQ120" s="2">
        <v>7.6923076923076913E-2</v>
      </c>
      <c r="AR120" s="2">
        <v>0</v>
      </c>
      <c r="AS120" s="29">
        <v>0.95</v>
      </c>
      <c r="AT120" s="29">
        <v>3.44</v>
      </c>
      <c r="AU120" s="29">
        <v>2.4900000000000002</v>
      </c>
      <c r="AV120" s="29">
        <v>2.467857142857143</v>
      </c>
      <c r="AW120" s="2">
        <v>2.467857142857143</v>
      </c>
      <c r="AX120" s="2">
        <v>5.6362806767857148</v>
      </c>
      <c r="AY120" s="2">
        <v>0.57028696666713652</v>
      </c>
      <c r="AZ120" s="2">
        <v>0.57362962851932398</v>
      </c>
      <c r="BD120" s="2">
        <v>4.2088262689615408E-2</v>
      </c>
      <c r="BF120" s="2">
        <v>8.4176525379230829E-2</v>
      </c>
      <c r="BG120" s="2">
        <v>4.2088262689615408E-2</v>
      </c>
      <c r="BH120" s="2">
        <v>0.57195829759323025</v>
      </c>
      <c r="BI120" s="86" t="s">
        <v>1305</v>
      </c>
      <c r="BJ120" s="86">
        <v>823</v>
      </c>
      <c r="BK120" s="86">
        <v>5</v>
      </c>
      <c r="BL120" s="86" t="s">
        <v>1308</v>
      </c>
      <c r="BM120" s="86" t="s">
        <v>1275</v>
      </c>
      <c r="BN120" s="86" t="s">
        <v>863</v>
      </c>
      <c r="BO120" s="86" t="s">
        <v>464</v>
      </c>
      <c r="BP120" s="86">
        <v>4.2</v>
      </c>
      <c r="BQ120" s="86">
        <v>1</v>
      </c>
      <c r="BR120" s="86">
        <v>0</v>
      </c>
      <c r="BS120" s="86" t="s">
        <v>1309</v>
      </c>
      <c r="BT120" s="86" t="s">
        <v>464</v>
      </c>
      <c r="BU120" s="86" t="s">
        <v>1306</v>
      </c>
      <c r="BV120" s="86">
        <v>300</v>
      </c>
      <c r="BW120" s="86">
        <v>400</v>
      </c>
      <c r="BX120" s="86"/>
      <c r="BY120" s="86">
        <v>293</v>
      </c>
      <c r="BZ120" s="86">
        <v>50</v>
      </c>
      <c r="CA120">
        <f t="shared" si="9"/>
        <v>3.912023005428146</v>
      </c>
    </row>
    <row r="121" spans="1:79" x14ac:dyDescent="0.3">
      <c r="A121" s="2" t="s">
        <v>215</v>
      </c>
      <c r="B121" s="17" t="s">
        <v>734</v>
      </c>
      <c r="C121" s="13"/>
      <c r="D121" s="2">
        <v>4.0999999999999996</v>
      </c>
      <c r="E121" s="2" t="s">
        <v>64</v>
      </c>
      <c r="F121" s="9" t="s">
        <v>587</v>
      </c>
      <c r="G121" t="s">
        <v>636</v>
      </c>
      <c r="I121" s="2"/>
      <c r="J121" s="25">
        <v>1</v>
      </c>
      <c r="K121">
        <v>1</v>
      </c>
      <c r="L121">
        <v>0</v>
      </c>
      <c r="M121" s="2">
        <v>3.87</v>
      </c>
      <c r="N121" s="2">
        <v>3.87</v>
      </c>
      <c r="O121" s="2">
        <v>15.1</v>
      </c>
      <c r="P121" s="2" t="s">
        <v>439</v>
      </c>
      <c r="Q121" s="2"/>
      <c r="R121" s="25">
        <v>3.950634</v>
      </c>
      <c r="S121" s="25">
        <v>3.950634</v>
      </c>
      <c r="T121" s="25">
        <v>15.513552000000001</v>
      </c>
      <c r="U121">
        <v>3.8658999999999999</v>
      </c>
      <c r="V121">
        <v>3.8658999999999999</v>
      </c>
      <c r="W121">
        <v>15.2538</v>
      </c>
      <c r="X121">
        <v>0</v>
      </c>
      <c r="AA121" s="2"/>
      <c r="AB121">
        <v>20</v>
      </c>
      <c r="AC121" s="55">
        <f t="shared" si="11"/>
        <v>226.15119000000001</v>
      </c>
      <c r="AD121" s="57">
        <v>242.1279024923125</v>
      </c>
      <c r="AE121" s="55">
        <v>227.970829547178</v>
      </c>
      <c r="AF121" s="55">
        <v>0</v>
      </c>
      <c r="AG121" s="52"/>
      <c r="AH121" s="51">
        <v>8.2600971611006269E-2</v>
      </c>
      <c r="AI121" s="52">
        <v>8.7730522539775438E-2</v>
      </c>
      <c r="AJ121" s="52"/>
      <c r="AK121" s="28">
        <v>1.9375</v>
      </c>
      <c r="AL121" s="28">
        <v>2.5</v>
      </c>
      <c r="AM121" s="28">
        <v>0.5625</v>
      </c>
      <c r="AN121" s="28">
        <v>2.625</v>
      </c>
      <c r="AO121" s="28">
        <v>0.25409836065573771</v>
      </c>
      <c r="AP121" s="28">
        <v>0.32786885245901642</v>
      </c>
      <c r="AQ121" s="28">
        <v>7.3770491803278687E-2</v>
      </c>
      <c r="AR121" s="28">
        <v>0.34426229508196721</v>
      </c>
      <c r="AS121" s="25">
        <v>0.79</v>
      </c>
      <c r="AT121" s="25">
        <v>3.44</v>
      </c>
      <c r="AU121" s="25">
        <v>2.65</v>
      </c>
      <c r="AV121" s="25">
        <v>2.6056249999999999</v>
      </c>
      <c r="AW121">
        <v>2.6056249999999999</v>
      </c>
      <c r="AX121">
        <v>5.9703320286696879</v>
      </c>
      <c r="AY121" s="75">
        <v>0.52453741991489755</v>
      </c>
      <c r="AZ121" s="75">
        <v>0.55711138795694093</v>
      </c>
      <c r="BA121" s="75"/>
      <c r="BC121">
        <v>4.1300485805503127E-2</v>
      </c>
      <c r="BD121">
        <v>4.3865261269887712E-2</v>
      </c>
      <c r="BF121">
        <v>8.5165747075390846E-2</v>
      </c>
      <c r="BG121">
        <v>4.2582873537695423E-2</v>
      </c>
      <c r="BH121">
        <v>0.54082440393591924</v>
      </c>
      <c r="BI121" s="79" t="s">
        <v>1264</v>
      </c>
      <c r="BJ121" s="79">
        <v>1273</v>
      </c>
      <c r="BK121" s="79">
        <v>10</v>
      </c>
      <c r="BM121" s="79" t="s">
        <v>464</v>
      </c>
      <c r="BN121" s="79" t="s">
        <v>464</v>
      </c>
      <c r="BO121" s="79">
        <v>0</v>
      </c>
      <c r="BQ121" s="79">
        <v>1</v>
      </c>
      <c r="BR121" s="79">
        <v>0</v>
      </c>
      <c r="BS121" s="79" t="s">
        <v>464</v>
      </c>
      <c r="BT121" s="79" t="s">
        <v>464</v>
      </c>
      <c r="BU121" s="79" t="s">
        <v>1266</v>
      </c>
      <c r="BV121" s="79">
        <v>400</v>
      </c>
      <c r="BX121" s="79" t="s">
        <v>1287</v>
      </c>
      <c r="BZ121" s="81">
        <f>7.6*5</f>
        <v>38</v>
      </c>
      <c r="CA121">
        <f t="shared" si="9"/>
        <v>3.6375861597263857</v>
      </c>
    </row>
    <row r="122" spans="1:79" x14ac:dyDescent="0.3">
      <c r="A122" s="2" t="s">
        <v>679</v>
      </c>
      <c r="B122" s="17" t="s">
        <v>899</v>
      </c>
      <c r="C122" s="2" t="s">
        <v>681</v>
      </c>
      <c r="D122" s="2">
        <v>4.3</v>
      </c>
      <c r="E122" s="2" t="s">
        <v>64</v>
      </c>
      <c r="F122" s="82" t="s">
        <v>683</v>
      </c>
      <c r="G122">
        <v>7221084</v>
      </c>
      <c r="I122" s="2"/>
      <c r="J122" s="25">
        <v>0</v>
      </c>
      <c r="K122">
        <v>2</v>
      </c>
      <c r="L122">
        <v>0</v>
      </c>
      <c r="M122" s="1">
        <v>3.87</v>
      </c>
      <c r="N122" s="1">
        <v>3.87</v>
      </c>
      <c r="O122" s="2">
        <v>17.2</v>
      </c>
      <c r="P122" s="2" t="s">
        <v>439</v>
      </c>
      <c r="Q122" s="2"/>
      <c r="R122" s="25">
        <v>0</v>
      </c>
      <c r="S122" s="25"/>
      <c r="T122" s="25"/>
      <c r="U122">
        <v>3.8607</v>
      </c>
      <c r="V122">
        <v>3.8607</v>
      </c>
      <c r="W122">
        <v>29.216000000000001</v>
      </c>
      <c r="X122">
        <v>0</v>
      </c>
      <c r="AA122" s="2"/>
      <c r="AB122">
        <v>20</v>
      </c>
      <c r="AC122" s="55">
        <f t="shared" si="11"/>
        <v>257.60268000000002</v>
      </c>
      <c r="AD122" s="57">
        <v>0</v>
      </c>
      <c r="AE122" s="55">
        <v>435.46461117984001</v>
      </c>
      <c r="AF122" s="55">
        <v>0</v>
      </c>
      <c r="AG122" s="52"/>
      <c r="AH122" s="51"/>
      <c r="AI122" s="52">
        <v>9.1855914288016927E-2</v>
      </c>
      <c r="AJ122" s="52"/>
      <c r="AK122" s="28">
        <v>1.940917661847894</v>
      </c>
      <c r="AL122" s="28">
        <v>2.5141420490257702</v>
      </c>
      <c r="AM122" s="28">
        <v>0.56568196103079826</v>
      </c>
      <c r="AN122" s="28">
        <v>2.6398491514770579</v>
      </c>
      <c r="AO122" s="28">
        <v>0.2533639645553003</v>
      </c>
      <c r="AP122" s="28">
        <v>0.32819166393173621</v>
      </c>
      <c r="AQ122" s="28">
        <v>7.3843124384640635E-2</v>
      </c>
      <c r="AR122" s="28">
        <v>0.34460124712832302</v>
      </c>
      <c r="AS122" s="25">
        <v>0.79</v>
      </c>
      <c r="AT122" s="25">
        <v>3.44</v>
      </c>
      <c r="AU122" s="25">
        <v>2.65</v>
      </c>
      <c r="AV122" s="25">
        <v>2.62350722815839</v>
      </c>
      <c r="AW122">
        <v>2.6235072281583909</v>
      </c>
      <c r="AX122">
        <v>6.0278785903935539</v>
      </c>
      <c r="AY122" s="75"/>
      <c r="AZ122" s="75">
        <v>0</v>
      </c>
      <c r="BA122" s="75"/>
      <c r="BD122">
        <v>4.5927957144008463E-2</v>
      </c>
      <c r="BF122">
        <v>9.1855914288016927E-2</v>
      </c>
      <c r="BG122">
        <v>4.5927957144008463E-2</v>
      </c>
      <c r="BH122">
        <v>0</v>
      </c>
      <c r="BI122" s="79" t="s">
        <v>1264</v>
      </c>
      <c r="BJ122" s="79">
        <v>1273</v>
      </c>
      <c r="BK122" s="79">
        <v>10</v>
      </c>
      <c r="BM122" s="79" t="s">
        <v>464</v>
      </c>
      <c r="BN122" s="79" t="s">
        <v>464</v>
      </c>
      <c r="BO122" s="79">
        <v>0</v>
      </c>
      <c r="BQ122" s="79">
        <v>1</v>
      </c>
      <c r="BR122" s="79">
        <v>0</v>
      </c>
      <c r="BS122" s="79" t="s">
        <v>464</v>
      </c>
      <c r="BT122" s="79" t="s">
        <v>464</v>
      </c>
      <c r="BU122" s="79" t="s">
        <v>1266</v>
      </c>
      <c r="BV122" s="79">
        <v>400</v>
      </c>
      <c r="BX122" s="79" t="s">
        <v>1287</v>
      </c>
      <c r="BZ122" s="81">
        <f>12.2*5</f>
        <v>61</v>
      </c>
      <c r="CA122">
        <f t="shared" si="9"/>
        <v>4.1108738641733114</v>
      </c>
    </row>
    <row r="123" spans="1:79" x14ac:dyDescent="0.3">
      <c r="A123" s="2" t="s">
        <v>680</v>
      </c>
      <c r="B123" s="17" t="s">
        <v>900</v>
      </c>
      <c r="C123" s="2" t="s">
        <v>682</v>
      </c>
      <c r="D123" s="2">
        <v>4.2</v>
      </c>
      <c r="E123" s="2" t="s">
        <v>64</v>
      </c>
      <c r="F123" s="83" t="s">
        <v>683</v>
      </c>
      <c r="I123" s="2">
        <v>1</v>
      </c>
      <c r="J123" s="25">
        <v>0</v>
      </c>
      <c r="K123">
        <v>0</v>
      </c>
      <c r="L123">
        <v>0</v>
      </c>
      <c r="M123" s="1">
        <v>3.87</v>
      </c>
      <c r="N123" s="1">
        <v>3.87</v>
      </c>
      <c r="O123" s="2">
        <v>14.4</v>
      </c>
      <c r="P123" s="2" t="s">
        <v>439</v>
      </c>
      <c r="Q123" s="2"/>
      <c r="R123" s="25">
        <v>0</v>
      </c>
      <c r="S123" s="25"/>
      <c r="T123" s="25"/>
      <c r="U123">
        <v>0</v>
      </c>
      <c r="X123">
        <v>0</v>
      </c>
      <c r="AA123" s="2"/>
      <c r="AB123">
        <v>20</v>
      </c>
      <c r="AC123" s="55">
        <f t="shared" si="11"/>
        <v>215.66736</v>
      </c>
      <c r="AD123" s="57">
        <v>0</v>
      </c>
      <c r="AE123" s="55">
        <v>0</v>
      </c>
      <c r="AF123" s="55">
        <v>0</v>
      </c>
      <c r="AG123" s="52">
        <f>I123*AB123/AC123</f>
        <v>9.2735405116471964E-2</v>
      </c>
      <c r="AH123" s="51"/>
      <c r="AI123" s="52"/>
      <c r="AJ123" s="52"/>
      <c r="AK123" s="28">
        <v>1.937926753569212</v>
      </c>
      <c r="AL123" s="28">
        <v>2.4829298572315328</v>
      </c>
      <c r="AM123" s="28">
        <v>0.55865921787709494</v>
      </c>
      <c r="AN123" s="28">
        <v>2.6070763500931098</v>
      </c>
      <c r="AO123" s="28">
        <v>0.25544100801832759</v>
      </c>
      <c r="AP123" s="28">
        <v>0.32727867779414171</v>
      </c>
      <c r="AQ123" s="28">
        <v>7.3637702503681887E-2</v>
      </c>
      <c r="AR123" s="28">
        <v>0.3436426116838488</v>
      </c>
      <c r="AS123" s="25">
        <v>0.79</v>
      </c>
      <c r="AT123" s="25">
        <v>3.44</v>
      </c>
      <c r="AU123" s="25">
        <v>2.65</v>
      </c>
      <c r="AV123" s="25">
        <v>2.671675977653631</v>
      </c>
      <c r="AW123">
        <v>2.671675977653631</v>
      </c>
      <c r="AX123">
        <v>6.2243029613210306</v>
      </c>
      <c r="AY123" s="75"/>
      <c r="AZ123" s="75"/>
      <c r="BA123" s="75"/>
      <c r="BB123">
        <v>4.6367702558235982E-2</v>
      </c>
      <c r="BF123">
        <v>9.2735405116471964E-2</v>
      </c>
      <c r="BG123">
        <v>4.6367702558235982E-2</v>
      </c>
      <c r="BH123">
        <v>0</v>
      </c>
      <c r="BI123" s="79" t="s">
        <v>1264</v>
      </c>
      <c r="BJ123" s="79">
        <v>1273</v>
      </c>
      <c r="BK123" s="79">
        <v>10</v>
      </c>
      <c r="BM123" s="79" t="s">
        <v>464</v>
      </c>
      <c r="BN123" s="79" t="s">
        <v>464</v>
      </c>
      <c r="BO123" s="79">
        <v>0</v>
      </c>
      <c r="BQ123" s="79">
        <v>1</v>
      </c>
      <c r="BR123" s="79">
        <v>0</v>
      </c>
      <c r="BS123" s="79" t="s">
        <v>464</v>
      </c>
      <c r="BT123" s="79" t="s">
        <v>464</v>
      </c>
      <c r="BU123" s="79" t="s">
        <v>1266</v>
      </c>
      <c r="BV123" s="79">
        <v>400</v>
      </c>
      <c r="BX123" s="79" t="s">
        <v>1287</v>
      </c>
      <c r="BZ123" s="81">
        <f>2.6*5</f>
        <v>13</v>
      </c>
      <c r="CA123">
        <f t="shared" si="9"/>
        <v>2.5649493574615367</v>
      </c>
    </row>
    <row r="124" spans="1:79" x14ac:dyDescent="0.3">
      <c r="A124" s="2" t="s">
        <v>1310</v>
      </c>
      <c r="B124" s="17" t="s">
        <v>901</v>
      </c>
      <c r="C124" s="2" t="s">
        <v>854</v>
      </c>
      <c r="D124" s="2">
        <v>4</v>
      </c>
      <c r="E124" s="2" t="s">
        <v>64</v>
      </c>
      <c r="F124" s="9">
        <v>-1</v>
      </c>
      <c r="G124">
        <v>-1</v>
      </c>
      <c r="I124" s="2">
        <v>2</v>
      </c>
      <c r="J124" s="25">
        <v>0</v>
      </c>
      <c r="K124">
        <v>0</v>
      </c>
      <c r="L124">
        <v>0</v>
      </c>
      <c r="M124" s="1">
        <v>3.87</v>
      </c>
      <c r="N124" s="1">
        <v>3.87</v>
      </c>
      <c r="O124" s="2">
        <v>28.5</v>
      </c>
      <c r="P124" s="2" t="s">
        <v>439</v>
      </c>
      <c r="Q124" s="2"/>
      <c r="R124" s="25">
        <v>0</v>
      </c>
      <c r="S124" s="25"/>
      <c r="T124" s="25"/>
      <c r="U124">
        <v>0</v>
      </c>
      <c r="X124">
        <v>0</v>
      </c>
      <c r="AA124" s="2"/>
      <c r="AB124">
        <v>20</v>
      </c>
      <c r="AC124" s="55">
        <f t="shared" si="11"/>
        <v>426.84165000000002</v>
      </c>
      <c r="AD124" s="57">
        <v>0</v>
      </c>
      <c r="AE124" s="55">
        <v>0</v>
      </c>
      <c r="AF124" s="55">
        <v>0</v>
      </c>
      <c r="AG124" s="52">
        <f>I124*AB124/AC124</f>
        <v>9.3711567275592711E-2</v>
      </c>
      <c r="AH124" s="51"/>
      <c r="AI124" s="52"/>
      <c r="AJ124" s="52"/>
      <c r="AK124" s="28">
        <v>1.9375</v>
      </c>
      <c r="AL124" s="28">
        <v>2.5</v>
      </c>
      <c r="AM124" s="28">
        <v>0.5625</v>
      </c>
      <c r="AN124" s="28">
        <v>2.625</v>
      </c>
      <c r="AO124" s="28">
        <v>0.25409836065573771</v>
      </c>
      <c r="AP124" s="28">
        <v>0.32786885245901642</v>
      </c>
      <c r="AQ124" s="28">
        <v>7.3770491803278687E-2</v>
      </c>
      <c r="AR124" s="28">
        <v>0.34426229508196721</v>
      </c>
      <c r="AS124" s="25">
        <v>1</v>
      </c>
      <c r="AT124" s="25">
        <v>3.44</v>
      </c>
      <c r="AU124" s="25">
        <v>2.44</v>
      </c>
      <c r="AV124" s="25">
        <v>2.6937500000000001</v>
      </c>
      <c r="AW124">
        <v>2.6937500000000001</v>
      </c>
      <c r="AX124">
        <v>6.2824412981156881</v>
      </c>
      <c r="AY124" s="75"/>
      <c r="AZ124" s="75"/>
      <c r="BA124" s="75"/>
      <c r="BB124">
        <v>4.6855783637796362E-2</v>
      </c>
      <c r="BF124">
        <v>9.3711567275592711E-2</v>
      </c>
      <c r="BG124">
        <v>4.6855783637796362E-2</v>
      </c>
      <c r="BH124">
        <v>0</v>
      </c>
      <c r="BI124" s="79" t="s">
        <v>1264</v>
      </c>
      <c r="BJ124" s="79">
        <v>1273</v>
      </c>
      <c r="BK124" s="79">
        <v>10</v>
      </c>
      <c r="BM124" s="79" t="s">
        <v>464</v>
      </c>
      <c r="BN124" s="79" t="s">
        <v>464</v>
      </c>
      <c r="BO124" s="79">
        <v>0</v>
      </c>
      <c r="BQ124" s="79">
        <v>1</v>
      </c>
      <c r="BR124" s="79">
        <v>0</v>
      </c>
      <c r="BS124" s="79" t="s">
        <v>464</v>
      </c>
      <c r="BT124" s="79" t="s">
        <v>464</v>
      </c>
      <c r="BU124" s="79" t="s">
        <v>1266</v>
      </c>
      <c r="BV124" s="79">
        <v>400</v>
      </c>
      <c r="BX124" s="79" t="s">
        <v>1287</v>
      </c>
      <c r="BZ124" s="81">
        <f>110.3*5</f>
        <v>551.5</v>
      </c>
      <c r="CA124">
        <f t="shared" si="9"/>
        <v>6.3126418386935574</v>
      </c>
    </row>
    <row r="125" spans="1:79" x14ac:dyDescent="0.3">
      <c r="A125" s="2" t="s">
        <v>215</v>
      </c>
      <c r="B125" s="17" t="s">
        <v>734</v>
      </c>
      <c r="C125" s="13"/>
      <c r="D125" s="2">
        <v>4.0999999999999996</v>
      </c>
      <c r="E125" s="2" t="s">
        <v>64</v>
      </c>
      <c r="F125" s="9" t="s">
        <v>587</v>
      </c>
      <c r="G125" t="s">
        <v>636</v>
      </c>
      <c r="I125" s="2"/>
      <c r="J125" s="25">
        <v>1</v>
      </c>
      <c r="K125">
        <v>1</v>
      </c>
      <c r="L125">
        <v>0</v>
      </c>
      <c r="M125" s="2">
        <v>3.87</v>
      </c>
      <c r="N125" s="2">
        <v>3.87</v>
      </c>
      <c r="O125" s="2">
        <v>15.1</v>
      </c>
      <c r="P125" s="2" t="s">
        <v>439</v>
      </c>
      <c r="Q125" s="2"/>
      <c r="R125" s="25">
        <v>3.950634</v>
      </c>
      <c r="S125" s="25">
        <v>3.950634</v>
      </c>
      <c r="T125" s="25">
        <v>15.513552000000001</v>
      </c>
      <c r="U125">
        <v>3.8658999999999999</v>
      </c>
      <c r="V125">
        <v>3.8658999999999999</v>
      </c>
      <c r="W125">
        <v>15.2538</v>
      </c>
      <c r="X125">
        <v>0</v>
      </c>
      <c r="AA125" s="2"/>
      <c r="AB125">
        <v>20</v>
      </c>
      <c r="AC125" s="55">
        <f t="shared" ref="AC125:AC127" si="14">M125*N125*O125</f>
        <v>226.15119000000001</v>
      </c>
      <c r="AD125" s="57">
        <v>242.1279024923125</v>
      </c>
      <c r="AE125" s="55">
        <v>227.970829547178</v>
      </c>
      <c r="AF125" s="55">
        <v>0</v>
      </c>
      <c r="AG125" s="52"/>
      <c r="AH125" s="51">
        <v>8.2600971611006269E-2</v>
      </c>
      <c r="AI125" s="52">
        <v>8.7730522539775438E-2</v>
      </c>
      <c r="AJ125" s="52"/>
      <c r="AK125" s="28">
        <v>1.9375</v>
      </c>
      <c r="AL125" s="28">
        <v>2.5</v>
      </c>
      <c r="AM125" s="28">
        <v>0.5625</v>
      </c>
      <c r="AN125" s="28">
        <v>2.625</v>
      </c>
      <c r="AO125" s="28">
        <v>0.25409836065573771</v>
      </c>
      <c r="AP125" s="28">
        <v>0.32786885245901642</v>
      </c>
      <c r="AQ125" s="28">
        <v>7.3770491803278687E-2</v>
      </c>
      <c r="AR125" s="28">
        <v>0.34426229508196721</v>
      </c>
      <c r="AS125" s="25">
        <v>0.79</v>
      </c>
      <c r="AT125" s="25">
        <v>3.44</v>
      </c>
      <c r="AU125" s="25">
        <v>2.65</v>
      </c>
      <c r="AV125" s="25">
        <v>2.6056249999999999</v>
      </c>
      <c r="AW125">
        <v>2.6056249999999999</v>
      </c>
      <c r="AX125">
        <v>5.9703320286696879</v>
      </c>
      <c r="AY125" s="75">
        <v>0.52453741991489755</v>
      </c>
      <c r="AZ125" s="75">
        <v>0.55711138795694093</v>
      </c>
      <c r="BA125" s="75"/>
      <c r="BC125">
        <v>4.1300485805503127E-2</v>
      </c>
      <c r="BD125">
        <v>4.3865261269887712E-2</v>
      </c>
      <c r="BF125">
        <v>8.5165747075390846E-2</v>
      </c>
      <c r="BG125">
        <v>4.2582873537695423E-2</v>
      </c>
      <c r="BH125">
        <v>0.54082440393591924</v>
      </c>
      <c r="BI125" s="79" t="s">
        <v>1264</v>
      </c>
      <c r="BJ125" s="79">
        <v>1273</v>
      </c>
      <c r="BK125" s="79">
        <v>10</v>
      </c>
      <c r="BM125" s="79" t="s">
        <v>1275</v>
      </c>
      <c r="BN125" s="79" t="s">
        <v>56</v>
      </c>
      <c r="BO125" s="79">
        <v>0.5</v>
      </c>
      <c r="BQ125" s="79">
        <v>1</v>
      </c>
      <c r="BR125" s="79">
        <v>0</v>
      </c>
      <c r="BS125" s="79" t="s">
        <v>464</v>
      </c>
      <c r="BT125" s="79" t="s">
        <v>464</v>
      </c>
      <c r="BU125" s="79" t="s">
        <v>1266</v>
      </c>
      <c r="BV125" s="79">
        <v>400</v>
      </c>
      <c r="BX125" s="79" t="s">
        <v>1287</v>
      </c>
      <c r="BZ125" s="81">
        <f>5*23.9</f>
        <v>119.5</v>
      </c>
      <c r="CA125">
        <f t="shared" si="9"/>
        <v>4.7833163713715656</v>
      </c>
    </row>
    <row r="126" spans="1:79" x14ac:dyDescent="0.3">
      <c r="A126" s="2" t="s">
        <v>679</v>
      </c>
      <c r="B126" s="17" t="s">
        <v>899</v>
      </c>
      <c r="C126" s="2" t="s">
        <v>681</v>
      </c>
      <c r="D126" s="2">
        <v>4.3</v>
      </c>
      <c r="E126" s="2" t="s">
        <v>64</v>
      </c>
      <c r="F126" s="12" t="s">
        <v>683</v>
      </c>
      <c r="G126">
        <v>7221084</v>
      </c>
      <c r="I126" s="2"/>
      <c r="J126" s="25">
        <v>0</v>
      </c>
      <c r="K126">
        <v>2</v>
      </c>
      <c r="L126">
        <v>0</v>
      </c>
      <c r="M126" s="1">
        <v>3.87</v>
      </c>
      <c r="N126" s="1">
        <v>3.87</v>
      </c>
      <c r="O126" s="2">
        <v>17.2</v>
      </c>
      <c r="P126" s="2" t="s">
        <v>439</v>
      </c>
      <c r="Q126" s="2"/>
      <c r="R126" s="25">
        <v>0</v>
      </c>
      <c r="S126" s="25"/>
      <c r="T126" s="25"/>
      <c r="U126">
        <v>3.8607</v>
      </c>
      <c r="V126">
        <v>3.8607</v>
      </c>
      <c r="W126">
        <v>29.216000000000001</v>
      </c>
      <c r="X126">
        <v>0</v>
      </c>
      <c r="AA126" s="2"/>
      <c r="AB126">
        <v>20</v>
      </c>
      <c r="AC126" s="55">
        <f t="shared" si="14"/>
        <v>257.60268000000002</v>
      </c>
      <c r="AD126" s="57">
        <v>0</v>
      </c>
      <c r="AE126" s="55">
        <v>435.46461117984001</v>
      </c>
      <c r="AF126" s="55">
        <v>0</v>
      </c>
      <c r="AG126" s="52"/>
      <c r="AH126" s="51"/>
      <c r="AI126" s="52">
        <v>9.1855914288016927E-2</v>
      </c>
      <c r="AJ126" s="52"/>
      <c r="AK126" s="28">
        <v>1.940917661847894</v>
      </c>
      <c r="AL126" s="28">
        <v>2.5141420490257702</v>
      </c>
      <c r="AM126" s="28">
        <v>0.56568196103079826</v>
      </c>
      <c r="AN126" s="28">
        <v>2.6398491514770579</v>
      </c>
      <c r="AO126" s="28">
        <v>0.2533639645553003</v>
      </c>
      <c r="AP126" s="28">
        <v>0.32819166393173621</v>
      </c>
      <c r="AQ126" s="28">
        <v>7.3843124384640635E-2</v>
      </c>
      <c r="AR126" s="28">
        <v>0.34460124712832302</v>
      </c>
      <c r="AS126" s="25">
        <v>0.79</v>
      </c>
      <c r="AT126" s="25">
        <v>3.44</v>
      </c>
      <c r="AU126" s="25">
        <v>2.65</v>
      </c>
      <c r="AV126" s="25">
        <v>2.62350722815839</v>
      </c>
      <c r="AW126">
        <v>2.6235072281583909</v>
      </c>
      <c r="AX126">
        <v>6.0278785903935539</v>
      </c>
      <c r="AY126" s="75"/>
      <c r="AZ126" s="75">
        <v>0</v>
      </c>
      <c r="BA126" s="75"/>
      <c r="BD126">
        <v>4.5927957144008463E-2</v>
      </c>
      <c r="BF126">
        <v>9.1855914288016927E-2</v>
      </c>
      <c r="BG126">
        <v>4.5927957144008463E-2</v>
      </c>
      <c r="BH126">
        <v>0</v>
      </c>
      <c r="BI126" s="79" t="s">
        <v>1264</v>
      </c>
      <c r="BJ126" s="79">
        <v>1273</v>
      </c>
      <c r="BK126" s="79">
        <v>10</v>
      </c>
      <c r="BM126" s="79" t="s">
        <v>1275</v>
      </c>
      <c r="BN126" s="79" t="s">
        <v>56</v>
      </c>
      <c r="BO126" s="79">
        <v>0.5</v>
      </c>
      <c r="BQ126" s="79">
        <v>1</v>
      </c>
      <c r="BR126" s="79">
        <v>0</v>
      </c>
      <c r="BS126" s="79" t="s">
        <v>464</v>
      </c>
      <c r="BT126" s="79" t="s">
        <v>464</v>
      </c>
      <c r="BU126" s="79" t="s">
        <v>1266</v>
      </c>
      <c r="BV126" s="79">
        <v>400</v>
      </c>
      <c r="BX126" s="79" t="s">
        <v>1287</v>
      </c>
      <c r="BZ126" s="81">
        <f>308.4*5</f>
        <v>1542</v>
      </c>
      <c r="CA126">
        <f t="shared" si="9"/>
        <v>7.3408355541232746</v>
      </c>
    </row>
    <row r="127" spans="1:79" x14ac:dyDescent="0.3">
      <c r="A127" s="2" t="s">
        <v>680</v>
      </c>
      <c r="B127" s="17" t="s">
        <v>900</v>
      </c>
      <c r="C127" s="2" t="s">
        <v>682</v>
      </c>
      <c r="D127" s="2">
        <v>4.2</v>
      </c>
      <c r="E127" s="2" t="s">
        <v>64</v>
      </c>
      <c r="F127" s="83" t="s">
        <v>683</v>
      </c>
      <c r="G127">
        <v>-1</v>
      </c>
      <c r="I127" s="2">
        <v>1</v>
      </c>
      <c r="J127" s="25">
        <v>0</v>
      </c>
      <c r="K127">
        <v>0</v>
      </c>
      <c r="L127">
        <v>0</v>
      </c>
      <c r="M127" s="1">
        <v>3.87</v>
      </c>
      <c r="N127" s="1">
        <v>3.87</v>
      </c>
      <c r="O127" s="2">
        <v>14.4</v>
      </c>
      <c r="P127" s="2" t="s">
        <v>439</v>
      </c>
      <c r="Q127" s="2"/>
      <c r="R127" s="25">
        <v>0</v>
      </c>
      <c r="S127" s="25"/>
      <c r="T127" s="25"/>
      <c r="U127">
        <v>0</v>
      </c>
      <c r="X127">
        <v>0</v>
      </c>
      <c r="AA127" s="2"/>
      <c r="AB127">
        <v>20</v>
      </c>
      <c r="AC127" s="55">
        <f t="shared" si="14"/>
        <v>215.66736</v>
      </c>
      <c r="AD127" s="57">
        <v>0</v>
      </c>
      <c r="AE127" s="55">
        <v>0</v>
      </c>
      <c r="AF127" s="55">
        <v>0</v>
      </c>
      <c r="AG127" s="52">
        <f>I127*AB127/AC127</f>
        <v>9.2735405116471964E-2</v>
      </c>
      <c r="AH127" s="51"/>
      <c r="AI127" s="52"/>
      <c r="AJ127" s="52"/>
      <c r="AK127" s="28">
        <v>1.937926753569212</v>
      </c>
      <c r="AL127" s="28">
        <v>2.4829298572315328</v>
      </c>
      <c r="AM127" s="28">
        <v>0.55865921787709494</v>
      </c>
      <c r="AN127" s="28">
        <v>2.6070763500931098</v>
      </c>
      <c r="AO127" s="28">
        <v>0.25544100801832759</v>
      </c>
      <c r="AP127" s="28">
        <v>0.32727867779414171</v>
      </c>
      <c r="AQ127" s="28">
        <v>7.3637702503681887E-2</v>
      </c>
      <c r="AR127" s="28">
        <v>0.3436426116838488</v>
      </c>
      <c r="AS127" s="25">
        <v>0.79</v>
      </c>
      <c r="AT127" s="25">
        <v>3.44</v>
      </c>
      <c r="AU127" s="25">
        <v>2.65</v>
      </c>
      <c r="AV127" s="25">
        <v>2.671675977653631</v>
      </c>
      <c r="AW127">
        <v>2.671675977653631</v>
      </c>
      <c r="AX127">
        <v>6.2243029613210306</v>
      </c>
      <c r="AY127" s="75"/>
      <c r="AZ127" s="75"/>
      <c r="BA127" s="75"/>
      <c r="BB127">
        <v>4.6367702558235982E-2</v>
      </c>
      <c r="BF127">
        <v>9.2735405116471964E-2</v>
      </c>
      <c r="BG127">
        <v>4.6367702558235982E-2</v>
      </c>
      <c r="BH127">
        <v>0</v>
      </c>
      <c r="BI127" s="79" t="s">
        <v>1264</v>
      </c>
      <c r="BJ127" s="79">
        <v>1273</v>
      </c>
      <c r="BK127" s="79">
        <v>10</v>
      </c>
      <c r="BM127" s="79" t="s">
        <v>1275</v>
      </c>
      <c r="BN127" s="79" t="s">
        <v>56</v>
      </c>
      <c r="BO127" s="79">
        <v>0.5</v>
      </c>
      <c r="BQ127" s="79">
        <v>1</v>
      </c>
      <c r="BR127" s="79">
        <v>0</v>
      </c>
      <c r="BS127" s="79" t="s">
        <v>464</v>
      </c>
      <c r="BT127" s="79" t="s">
        <v>464</v>
      </c>
      <c r="BU127" s="79" t="s">
        <v>1266</v>
      </c>
      <c r="BV127" s="79">
        <v>400</v>
      </c>
      <c r="BX127" s="79" t="s">
        <v>1287</v>
      </c>
      <c r="BZ127" s="81">
        <f>22.2*5</f>
        <v>111</v>
      </c>
      <c r="CA127">
        <f t="shared" si="9"/>
        <v>4.7095302013123339</v>
      </c>
    </row>
    <row r="128" spans="1:79" s="5" customFormat="1" x14ac:dyDescent="0.3">
      <c r="A128" s="5" t="s">
        <v>65</v>
      </c>
      <c r="B128" s="39" t="s">
        <v>735</v>
      </c>
      <c r="C128" s="39"/>
      <c r="D128" s="5">
        <v>2.62</v>
      </c>
      <c r="E128" s="5" t="s">
        <v>66</v>
      </c>
      <c r="F128" s="40" t="s">
        <v>559</v>
      </c>
      <c r="G128" s="5" t="s">
        <v>637</v>
      </c>
      <c r="J128" s="41">
        <v>2</v>
      </c>
      <c r="K128" s="5">
        <v>4</v>
      </c>
      <c r="L128" s="5">
        <v>0</v>
      </c>
      <c r="M128" s="5">
        <v>5.4580000000000002</v>
      </c>
      <c r="N128" s="5">
        <v>5.4210000000000003</v>
      </c>
      <c r="O128" s="5">
        <v>41.02</v>
      </c>
      <c r="P128" s="5" t="s">
        <v>450</v>
      </c>
      <c r="R128" s="41">
        <v>5.5344280000000001</v>
      </c>
      <c r="S128" s="41">
        <v>5.4860709999999999</v>
      </c>
      <c r="T128" s="41">
        <v>20.96113527</v>
      </c>
      <c r="U128" s="5">
        <v>5.4676999999999998</v>
      </c>
      <c r="V128" s="5">
        <v>5.4396000000000004</v>
      </c>
      <c r="W128" s="5">
        <v>41.247500000000002</v>
      </c>
      <c r="X128" s="5">
        <v>0</v>
      </c>
      <c r="AB128" s="5">
        <v>30</v>
      </c>
      <c r="AC128" s="5">
        <f t="shared" si="11"/>
        <v>1213.6922943600002</v>
      </c>
      <c r="AD128" s="41">
        <v>630.95473618941708</v>
      </c>
      <c r="AE128" s="5">
        <v>1226.7873076977</v>
      </c>
      <c r="AF128" s="5">
        <v>0</v>
      </c>
      <c r="AH128" s="41">
        <v>9.5093984653104466E-2</v>
      </c>
      <c r="AI128" s="5">
        <v>9.781646683743643E-2</v>
      </c>
      <c r="AK128" s="5">
        <v>2</v>
      </c>
      <c r="AL128" s="5">
        <v>3.125</v>
      </c>
      <c r="AM128" s="5">
        <v>2.583333333333333</v>
      </c>
      <c r="AN128" s="5">
        <v>2.916666666666667</v>
      </c>
      <c r="AO128" s="5">
        <v>0.18823529411764711</v>
      </c>
      <c r="AP128" s="5">
        <v>0.29411764705882348</v>
      </c>
      <c r="AQ128" s="5">
        <v>0.24313725490196081</v>
      </c>
      <c r="AR128" s="5">
        <v>0.2745098039215686</v>
      </c>
      <c r="AS128" s="41">
        <v>1.54</v>
      </c>
      <c r="AT128" s="41">
        <v>3.44</v>
      </c>
      <c r="AU128" s="41">
        <v>1.9</v>
      </c>
      <c r="AV128" s="41">
        <v>2.839583333333334</v>
      </c>
      <c r="AW128" s="5">
        <v>2.8395833333333331</v>
      </c>
      <c r="AX128" s="5">
        <v>6.168614470625001</v>
      </c>
      <c r="AY128" s="5">
        <v>0.52762523515344584</v>
      </c>
      <c r="AZ128" s="5">
        <v>0</v>
      </c>
      <c r="BC128" s="5">
        <v>4.7546992326552233E-2</v>
      </c>
      <c r="BD128" s="5">
        <v>4.8908233418718222E-2</v>
      </c>
      <c r="BF128" s="5">
        <v>9.6455225745270448E-2</v>
      </c>
      <c r="BG128" s="5">
        <v>4.8227612872635231E-2</v>
      </c>
      <c r="BH128" s="5">
        <v>0.26381261757672292</v>
      </c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 t="s">
        <v>464</v>
      </c>
      <c r="BT128" s="84" t="s">
        <v>464</v>
      </c>
      <c r="BU128" s="84"/>
      <c r="BV128" s="84"/>
      <c r="BW128" s="84"/>
      <c r="BX128" s="84"/>
      <c r="BY128" s="84"/>
      <c r="BZ128" s="84"/>
      <c r="CA128" t="e">
        <f t="shared" si="9"/>
        <v>#NUM!</v>
      </c>
    </row>
    <row r="129" spans="1:79" s="5" customFormat="1" x14ac:dyDescent="0.3">
      <c r="A129" s="5" t="s">
        <v>67</v>
      </c>
      <c r="B129" s="39" t="s">
        <v>736</v>
      </c>
      <c r="C129" s="39"/>
      <c r="D129" s="5">
        <v>2.67</v>
      </c>
      <c r="E129" s="5" t="s">
        <v>66</v>
      </c>
      <c r="F129" s="40" t="s">
        <v>559</v>
      </c>
      <c r="G129" s="5">
        <v>-1</v>
      </c>
      <c r="I129" s="5">
        <v>4</v>
      </c>
      <c r="J129" s="41">
        <v>0</v>
      </c>
      <c r="K129" s="5">
        <v>0</v>
      </c>
      <c r="L129" s="5">
        <v>0</v>
      </c>
      <c r="M129" s="5">
        <v>5.4359999999999999</v>
      </c>
      <c r="N129" s="5">
        <v>5.42</v>
      </c>
      <c r="O129" s="5">
        <v>41.19</v>
      </c>
      <c r="P129" s="5" t="s">
        <v>450</v>
      </c>
      <c r="R129" s="41">
        <v>0</v>
      </c>
      <c r="S129" s="41"/>
      <c r="T129" s="41"/>
      <c r="U129" s="5">
        <v>0</v>
      </c>
      <c r="X129" s="5">
        <v>0</v>
      </c>
      <c r="AB129" s="5">
        <v>30</v>
      </c>
      <c r="AC129" s="5">
        <f t="shared" si="11"/>
        <v>1213.5859128</v>
      </c>
      <c r="AD129" s="41">
        <v>0</v>
      </c>
      <c r="AE129" s="5">
        <v>0</v>
      </c>
      <c r="AF129" s="5">
        <v>0</v>
      </c>
      <c r="AG129" s="5">
        <f>I129*AB129/AC129</f>
        <v>9.8880514955166685E-2</v>
      </c>
      <c r="AH129" s="41"/>
      <c r="AK129" s="5">
        <v>2</v>
      </c>
      <c r="AL129" s="5">
        <v>3</v>
      </c>
      <c r="AM129" s="5">
        <v>2.208333333333333</v>
      </c>
      <c r="AN129" s="5">
        <v>2.333333333333333</v>
      </c>
      <c r="AO129" s="5">
        <v>0.20960698689956331</v>
      </c>
      <c r="AP129" s="5">
        <v>0.31441048034934499</v>
      </c>
      <c r="AQ129" s="5">
        <v>0.23144104803493451</v>
      </c>
      <c r="AR129" s="5">
        <v>0.24454148471615719</v>
      </c>
      <c r="AS129" s="41">
        <v>1.1000000000000001</v>
      </c>
      <c r="AT129" s="41">
        <v>3.44</v>
      </c>
      <c r="AU129" s="41">
        <v>2.34</v>
      </c>
      <c r="AV129" s="41">
        <v>2.80125</v>
      </c>
      <c r="AW129" s="5">
        <v>2.80125</v>
      </c>
      <c r="AX129" s="5">
        <v>6.1250013054166672</v>
      </c>
      <c r="BB129" s="5">
        <v>4.9440257477583342E-2</v>
      </c>
      <c r="BF129" s="5">
        <v>9.8880514955166685E-2</v>
      </c>
      <c r="BG129" s="5">
        <v>4.9440257477583342E-2</v>
      </c>
      <c r="BH129" s="5">
        <v>0</v>
      </c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 t="s">
        <v>464</v>
      </c>
      <c r="BT129" s="84" t="s">
        <v>464</v>
      </c>
      <c r="BU129" s="84"/>
      <c r="BV129" s="84"/>
      <c r="BW129" s="84"/>
      <c r="BX129" s="84"/>
      <c r="BY129" s="84"/>
      <c r="BZ129" s="84"/>
      <c r="CA129" t="e">
        <f t="shared" si="9"/>
        <v>#NUM!</v>
      </c>
    </row>
    <row r="130" spans="1:79" s="5" customFormat="1" x14ac:dyDescent="0.3">
      <c r="A130" s="5" t="s">
        <v>68</v>
      </c>
      <c r="B130" s="39" t="s">
        <v>737</v>
      </c>
      <c r="C130" s="39"/>
      <c r="D130" s="5">
        <v>2.71</v>
      </c>
      <c r="E130" s="5" t="s">
        <v>66</v>
      </c>
      <c r="F130" s="40" t="s">
        <v>559</v>
      </c>
      <c r="G130" s="5">
        <v>-1</v>
      </c>
      <c r="I130" s="5">
        <v>4</v>
      </c>
      <c r="J130" s="41">
        <v>0</v>
      </c>
      <c r="K130" s="5">
        <v>0</v>
      </c>
      <c r="L130" s="5">
        <v>0</v>
      </c>
      <c r="M130" s="5">
        <v>5.4370000000000003</v>
      </c>
      <c r="N130" s="5">
        <v>5.4359999999999999</v>
      </c>
      <c r="O130" s="5">
        <v>41.29</v>
      </c>
      <c r="P130" s="5" t="s">
        <v>450</v>
      </c>
      <c r="R130" s="41">
        <v>0</v>
      </c>
      <c r="S130" s="41"/>
      <c r="T130" s="41"/>
      <c r="U130" s="5">
        <v>0</v>
      </c>
      <c r="X130" s="5">
        <v>0</v>
      </c>
      <c r="AB130" s="5">
        <v>30</v>
      </c>
      <c r="AC130" s="5">
        <f t="shared" si="11"/>
        <v>1220.3479162799999</v>
      </c>
      <c r="AD130" s="41">
        <v>0</v>
      </c>
      <c r="AE130" s="5">
        <v>0</v>
      </c>
      <c r="AF130" s="5">
        <v>0</v>
      </c>
      <c r="AG130" s="5">
        <f>I130*AB130/AC130</f>
        <v>9.8332613510577649E-2</v>
      </c>
      <c r="AH130" s="41"/>
      <c r="AK130" s="5">
        <v>2</v>
      </c>
      <c r="AL130" s="5">
        <v>2.875</v>
      </c>
      <c r="AM130" s="5">
        <v>1.833333333333333</v>
      </c>
      <c r="AN130" s="5">
        <v>1.75</v>
      </c>
      <c r="AO130" s="5">
        <v>0.23645320197044331</v>
      </c>
      <c r="AP130" s="5">
        <v>0.33990147783251229</v>
      </c>
      <c r="AQ130" s="5">
        <v>0.21674876847290639</v>
      </c>
      <c r="AR130" s="5">
        <v>0.2068965517241379</v>
      </c>
      <c r="AS130" s="41">
        <v>1.1000000000000001</v>
      </c>
      <c r="AT130" s="41">
        <v>3.44</v>
      </c>
      <c r="AU130" s="41">
        <v>2.34</v>
      </c>
      <c r="AV130" s="41">
        <v>2.7629166666666669</v>
      </c>
      <c r="AW130" s="5">
        <v>2.762916666666666</v>
      </c>
      <c r="AX130" s="5">
        <v>6.0813881402083334</v>
      </c>
      <c r="BB130" s="5">
        <v>4.9166306755288817E-2</v>
      </c>
      <c r="BF130" s="5">
        <v>9.8332613510577649E-2</v>
      </c>
      <c r="BG130" s="5">
        <v>4.9166306755288817E-2</v>
      </c>
      <c r="BH130" s="5">
        <v>0</v>
      </c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 t="s">
        <v>464</v>
      </c>
      <c r="BT130" s="84" t="s">
        <v>464</v>
      </c>
      <c r="BU130" s="84"/>
      <c r="BV130" s="84"/>
      <c r="BW130" s="84"/>
      <c r="BX130" s="84"/>
      <c r="BY130" s="84"/>
      <c r="BZ130" s="84"/>
      <c r="CA130" t="e">
        <f t="shared" si="9"/>
        <v>#NUM!</v>
      </c>
    </row>
    <row r="131" spans="1:79" x14ac:dyDescent="0.3">
      <c r="A131" s="2" t="s">
        <v>71</v>
      </c>
      <c r="B131" s="13" t="s">
        <v>739</v>
      </c>
      <c r="C131" s="13"/>
      <c r="D131" s="2">
        <v>3.59</v>
      </c>
      <c r="E131" s="2" t="s">
        <v>77</v>
      </c>
      <c r="F131" s="9" t="s">
        <v>561</v>
      </c>
      <c r="G131" t="s">
        <v>639</v>
      </c>
      <c r="I131" s="2"/>
      <c r="J131" s="25">
        <v>2</v>
      </c>
      <c r="K131">
        <v>2</v>
      </c>
      <c r="L131">
        <v>0</v>
      </c>
      <c r="M131" s="2"/>
      <c r="N131" s="2"/>
      <c r="O131" s="2"/>
      <c r="P131" s="2"/>
      <c r="Q131" s="2"/>
      <c r="R131" s="25">
        <v>3.8703880000000002</v>
      </c>
      <c r="S131" s="25">
        <v>3.8703880000000002</v>
      </c>
      <c r="T131" s="25">
        <v>13.604850000000001</v>
      </c>
      <c r="U131">
        <v>3.8415499999999998</v>
      </c>
      <c r="V131">
        <v>3.8415499999999998</v>
      </c>
      <c r="W131">
        <v>13.4695</v>
      </c>
      <c r="X131">
        <v>0</v>
      </c>
      <c r="AA131" s="2"/>
      <c r="AB131">
        <v>8</v>
      </c>
      <c r="AC131" s="55">
        <f t="shared" si="11"/>
        <v>0</v>
      </c>
      <c r="AD131" s="57">
        <v>203.79933701026059</v>
      </c>
      <c r="AE131" s="55">
        <v>198.77623248847371</v>
      </c>
      <c r="AF131" s="55">
        <v>0</v>
      </c>
      <c r="AG131" s="52"/>
      <c r="AH131" s="51">
        <v>7.8508596910668346E-2</v>
      </c>
      <c r="AI131" s="52">
        <v>8.0492520658513728E-2</v>
      </c>
      <c r="AJ131" s="52"/>
      <c r="AK131" s="28">
        <v>1.857142857142857</v>
      </c>
      <c r="AL131" s="28">
        <v>2.285714285714286</v>
      </c>
      <c r="AM131" s="28">
        <v>0.42857142857142849</v>
      </c>
      <c r="AN131" s="28">
        <v>0</v>
      </c>
      <c r="AO131" s="28">
        <v>0.40625000000000011</v>
      </c>
      <c r="AP131" s="28">
        <v>0.5</v>
      </c>
      <c r="AQ131" s="28">
        <v>9.375E-2</v>
      </c>
      <c r="AR131" s="28">
        <v>0</v>
      </c>
      <c r="AS131" s="25">
        <v>0.82</v>
      </c>
      <c r="AT131" s="25">
        <v>3.44</v>
      </c>
      <c r="AU131" s="25">
        <v>2.62</v>
      </c>
      <c r="AV131" s="25">
        <v>2.46</v>
      </c>
      <c r="AW131">
        <v>2.46</v>
      </c>
      <c r="AX131">
        <v>5.5854910899999997</v>
      </c>
      <c r="AY131" s="75">
        <v>0.55645098073491572</v>
      </c>
      <c r="AZ131" s="75">
        <v>0.57051257855519</v>
      </c>
      <c r="BA131" s="75"/>
      <c r="BC131">
        <v>3.9254298455334173E-2</v>
      </c>
      <c r="BD131">
        <v>4.0246260329256871E-2</v>
      </c>
      <c r="BF131">
        <v>7.950055878459103E-2</v>
      </c>
      <c r="BG131">
        <v>3.9750279392295522E-2</v>
      </c>
      <c r="BH131">
        <v>0.56348177964505286</v>
      </c>
      <c r="BI131" s="79" t="s">
        <v>1264</v>
      </c>
      <c r="BJ131" s="79">
        <v>1223</v>
      </c>
      <c r="BK131" s="79">
        <v>0.5</v>
      </c>
      <c r="BM131" s="79" t="s">
        <v>464</v>
      </c>
      <c r="BN131" s="79" t="s">
        <v>464</v>
      </c>
      <c r="BO131" s="79">
        <v>0</v>
      </c>
      <c r="BP131" s="79">
        <v>3.59</v>
      </c>
      <c r="BQ131" s="79">
        <v>0.6</v>
      </c>
      <c r="BR131" s="79">
        <v>0</v>
      </c>
      <c r="BS131" s="79" t="s">
        <v>464</v>
      </c>
      <c r="BT131" s="79" t="s">
        <v>464</v>
      </c>
      <c r="BU131" s="79" t="s">
        <v>1266</v>
      </c>
      <c r="BV131" s="79">
        <v>450</v>
      </c>
      <c r="BX131" s="79" t="s">
        <v>1287</v>
      </c>
      <c r="BZ131" s="81">
        <v>36</v>
      </c>
      <c r="CA131">
        <f t="shared" ref="CA131:CA194" si="15">LN(BZ131)</f>
        <v>3.5835189384561099</v>
      </c>
    </row>
    <row r="132" spans="1:79" x14ac:dyDescent="0.3">
      <c r="A132" s="2" t="s">
        <v>72</v>
      </c>
      <c r="B132" s="17" t="s">
        <v>902</v>
      </c>
      <c r="C132" s="13"/>
      <c r="D132" s="2">
        <v>3.74</v>
      </c>
      <c r="E132" s="2" t="s">
        <v>77</v>
      </c>
      <c r="F132" s="32" t="s">
        <v>561</v>
      </c>
      <c r="G132" s="1" t="s">
        <v>639</v>
      </c>
      <c r="I132" s="2"/>
      <c r="J132" s="25">
        <v>0</v>
      </c>
      <c r="K132">
        <v>2</v>
      </c>
      <c r="L132">
        <v>0</v>
      </c>
      <c r="M132" s="2"/>
      <c r="N132" s="2"/>
      <c r="O132" s="2"/>
      <c r="P132" s="2"/>
      <c r="Q132" s="2"/>
      <c r="R132" s="25">
        <v>0</v>
      </c>
      <c r="S132" s="25"/>
      <c r="T132" s="25"/>
      <c r="U132">
        <v>3.8415499999999998</v>
      </c>
      <c r="V132">
        <v>3.8415499999999998</v>
      </c>
      <c r="W132">
        <v>13.4695</v>
      </c>
      <c r="X132">
        <v>0</v>
      </c>
      <c r="AA132" s="2"/>
      <c r="AB132">
        <v>8</v>
      </c>
      <c r="AC132" s="55">
        <f t="shared" si="11"/>
        <v>0</v>
      </c>
      <c r="AD132" s="57">
        <v>0</v>
      </c>
      <c r="AE132" s="55">
        <v>198.77623248847371</v>
      </c>
      <c r="AF132" s="55">
        <v>0</v>
      </c>
      <c r="AG132" s="52"/>
      <c r="AH132" s="51"/>
      <c r="AI132" s="52">
        <v>8.0492520658513728E-2</v>
      </c>
      <c r="AJ132" s="52"/>
      <c r="AK132" s="28">
        <v>1.857142857142857</v>
      </c>
      <c r="AL132" s="28">
        <v>2.285714285714286</v>
      </c>
      <c r="AM132" s="28">
        <v>0.42857142857142849</v>
      </c>
      <c r="AN132" s="28">
        <v>0</v>
      </c>
      <c r="AO132" s="28">
        <v>0.40625000000000011</v>
      </c>
      <c r="AP132" s="28">
        <v>0.5</v>
      </c>
      <c r="AQ132" s="28">
        <v>9.375E-2</v>
      </c>
      <c r="AR132" s="28">
        <v>0</v>
      </c>
      <c r="AS132" s="25">
        <v>0.82</v>
      </c>
      <c r="AT132" s="25">
        <v>3.44</v>
      </c>
      <c r="AU132" s="25">
        <v>2.62</v>
      </c>
      <c r="AV132" s="25">
        <v>2.4569999999999999</v>
      </c>
      <c r="AW132">
        <v>2.4569999999999999</v>
      </c>
      <c r="AX132">
        <v>5.5866607328571423</v>
      </c>
      <c r="AY132" s="75">
        <v>0.55645098073491572</v>
      </c>
      <c r="AZ132" s="75">
        <v>0.57051257855519</v>
      </c>
      <c r="BA132" s="75"/>
      <c r="BD132">
        <v>4.0246260329256871E-2</v>
      </c>
      <c r="BF132">
        <v>8.0492520658513728E-2</v>
      </c>
      <c r="BG132">
        <v>4.0246260329256871E-2</v>
      </c>
      <c r="BH132">
        <v>0.56348177964505286</v>
      </c>
      <c r="BI132" s="79" t="s">
        <v>1264</v>
      </c>
      <c r="BJ132" s="79">
        <v>1223</v>
      </c>
      <c r="BK132" s="79">
        <v>0.5</v>
      </c>
      <c r="BM132" s="79" t="s">
        <v>464</v>
      </c>
      <c r="BN132" s="79" t="s">
        <v>464</v>
      </c>
      <c r="BO132" s="79">
        <v>0</v>
      </c>
      <c r="BP132" s="79">
        <v>3.74</v>
      </c>
      <c r="BQ132" s="79">
        <v>0.6</v>
      </c>
      <c r="BR132" s="79">
        <v>0</v>
      </c>
      <c r="BS132" s="79" t="s">
        <v>464</v>
      </c>
      <c r="BT132" s="79" t="s">
        <v>464</v>
      </c>
      <c r="BU132" s="79" t="s">
        <v>1266</v>
      </c>
      <c r="BV132" s="79">
        <v>450</v>
      </c>
      <c r="BX132" s="79" t="s">
        <v>1287</v>
      </c>
      <c r="BZ132" s="81">
        <v>65.400000000000006</v>
      </c>
      <c r="CA132">
        <f t="shared" si="15"/>
        <v>4.180522258463153</v>
      </c>
    </row>
    <row r="133" spans="1:79" x14ac:dyDescent="0.3">
      <c r="A133" s="2" t="s">
        <v>76</v>
      </c>
      <c r="B133" s="17" t="s">
        <v>903</v>
      </c>
      <c r="C133" s="13"/>
      <c r="D133" s="2">
        <v>3.82</v>
      </c>
      <c r="E133" s="2" t="s">
        <v>77</v>
      </c>
      <c r="F133" s="32" t="s">
        <v>1154</v>
      </c>
      <c r="G133" s="1" t="s">
        <v>1155</v>
      </c>
      <c r="I133" s="2"/>
      <c r="J133" s="25">
        <v>0</v>
      </c>
      <c r="K133">
        <v>1</v>
      </c>
      <c r="L133">
        <v>0</v>
      </c>
      <c r="M133" s="2"/>
      <c r="N133" s="2"/>
      <c r="O133" s="2"/>
      <c r="P133" s="2"/>
      <c r="Q133" s="2"/>
      <c r="R133" s="25">
        <v>0</v>
      </c>
      <c r="S133" s="25"/>
      <c r="T133" s="25"/>
      <c r="U133">
        <v>6.7352999999999987</v>
      </c>
      <c r="V133">
        <v>8.0756999999999994</v>
      </c>
      <c r="W133">
        <v>15.016999999999999</v>
      </c>
      <c r="X133">
        <v>0</v>
      </c>
      <c r="AA133" s="2"/>
      <c r="AB133">
        <v>8</v>
      </c>
      <c r="AC133" s="55">
        <f t="shared" si="11"/>
        <v>0</v>
      </c>
      <c r="AD133" s="57">
        <v>0</v>
      </c>
      <c r="AE133" s="55">
        <v>801.31327174450405</v>
      </c>
      <c r="AF133" s="55">
        <v>0</v>
      </c>
      <c r="AG133" s="52"/>
      <c r="AH133" s="51"/>
      <c r="AI133" s="52">
        <v>9.9836110071951645E-3</v>
      </c>
      <c r="AJ133" s="52"/>
      <c r="AK133" s="28">
        <v>1.857142857142857</v>
      </c>
      <c r="AL133" s="28">
        <v>2.285714285714286</v>
      </c>
      <c r="AM133" s="28">
        <v>0.42857142857142849</v>
      </c>
      <c r="AN133" s="28">
        <v>0</v>
      </c>
      <c r="AO133" s="28">
        <v>0.40625000000000011</v>
      </c>
      <c r="AP133" s="28">
        <v>0.5</v>
      </c>
      <c r="AQ133" s="28">
        <v>9.375E-2</v>
      </c>
      <c r="AR133" s="28">
        <v>0</v>
      </c>
      <c r="AS133" s="25">
        <v>0.82</v>
      </c>
      <c r="AT133" s="25">
        <v>3.44</v>
      </c>
      <c r="AU133" s="25">
        <v>2.62</v>
      </c>
      <c r="AV133" s="25">
        <v>2.4510000000000001</v>
      </c>
      <c r="AW133">
        <v>2.4510000000000001</v>
      </c>
      <c r="AX133">
        <v>5.5890000185714284</v>
      </c>
      <c r="AY133" s="75"/>
      <c r="AZ133" s="75">
        <v>0.26693366029414328</v>
      </c>
      <c r="BA133" s="75"/>
      <c r="BD133">
        <v>4.9918055035975822E-3</v>
      </c>
      <c r="BF133">
        <v>9.9836110071951645E-3</v>
      </c>
      <c r="BG133">
        <v>4.9918055035975822E-3</v>
      </c>
      <c r="BH133">
        <v>0.26693366029414328</v>
      </c>
      <c r="BI133" s="79" t="s">
        <v>1264</v>
      </c>
      <c r="BJ133" s="79">
        <v>1223</v>
      </c>
      <c r="BK133" s="79">
        <v>0.5</v>
      </c>
      <c r="BM133" s="79" t="s">
        <v>464</v>
      </c>
      <c r="BN133" s="79" t="s">
        <v>464</v>
      </c>
      <c r="BO133" s="79">
        <v>0</v>
      </c>
      <c r="BP133" s="79">
        <v>3.82</v>
      </c>
      <c r="BQ133" s="79">
        <v>0.6</v>
      </c>
      <c r="BR133" s="79">
        <v>0</v>
      </c>
      <c r="BS133" s="79" t="s">
        <v>464</v>
      </c>
      <c r="BT133" s="79" t="s">
        <v>464</v>
      </c>
      <c r="BU133" s="79" t="s">
        <v>1266</v>
      </c>
      <c r="BV133" s="79">
        <v>450</v>
      </c>
      <c r="BX133" s="79" t="s">
        <v>1287</v>
      </c>
      <c r="BZ133" s="81">
        <v>84.2</v>
      </c>
      <c r="CA133">
        <f t="shared" si="15"/>
        <v>4.4331949212482815</v>
      </c>
    </row>
    <row r="134" spans="1:79" x14ac:dyDescent="0.3">
      <c r="A134" s="2" t="s">
        <v>75</v>
      </c>
      <c r="B134" s="17" t="s">
        <v>904</v>
      </c>
      <c r="C134" s="13"/>
      <c r="D134" s="2">
        <v>4.16</v>
      </c>
      <c r="E134" s="2" t="s">
        <v>77</v>
      </c>
      <c r="F134" s="32" t="s">
        <v>1156</v>
      </c>
      <c r="G134" s="1" t="s">
        <v>1157</v>
      </c>
      <c r="I134" s="2"/>
      <c r="J134" s="25">
        <v>0</v>
      </c>
      <c r="K134">
        <v>4</v>
      </c>
      <c r="L134">
        <v>0</v>
      </c>
      <c r="M134" s="2"/>
      <c r="N134" s="2"/>
      <c r="O134" s="2"/>
      <c r="P134" s="2"/>
      <c r="Q134" s="2"/>
      <c r="R134" s="25">
        <v>0</v>
      </c>
      <c r="S134" s="25"/>
      <c r="T134" s="25"/>
      <c r="U134">
        <v>18.184000000000001</v>
      </c>
      <c r="V134">
        <v>13.009</v>
      </c>
      <c r="W134">
        <v>13.112</v>
      </c>
      <c r="X134">
        <v>0</v>
      </c>
      <c r="AA134" s="2"/>
      <c r="AB134">
        <v>8</v>
      </c>
      <c r="AC134" s="55">
        <f t="shared" si="11"/>
        <v>0</v>
      </c>
      <c r="AD134" s="57">
        <v>0</v>
      </c>
      <c r="AE134" s="55">
        <v>2626.6697286954709</v>
      </c>
      <c r="AF134" s="55">
        <v>0</v>
      </c>
      <c r="AG134" s="52"/>
      <c r="AH134" s="51"/>
      <c r="AI134" s="52">
        <v>1.2182726914773829E-2</v>
      </c>
      <c r="AJ134" s="52"/>
      <c r="AK134" s="28">
        <v>1.857142857142857</v>
      </c>
      <c r="AL134" s="28">
        <v>2.285714285714286</v>
      </c>
      <c r="AM134" s="28">
        <v>0.42857142857142849</v>
      </c>
      <c r="AN134" s="28">
        <v>0</v>
      </c>
      <c r="AO134" s="28">
        <v>0.40625000000000011</v>
      </c>
      <c r="AP134" s="28">
        <v>0.5</v>
      </c>
      <c r="AQ134" s="28">
        <v>9.375E-2</v>
      </c>
      <c r="AR134" s="28">
        <v>0</v>
      </c>
      <c r="AS134" s="25">
        <v>0.82</v>
      </c>
      <c r="AT134" s="25">
        <v>3.44</v>
      </c>
      <c r="AU134" s="25">
        <v>2.62</v>
      </c>
      <c r="AV134" s="25">
        <v>2.4449999999999998</v>
      </c>
      <c r="AW134">
        <v>2.4449999999999998</v>
      </c>
      <c r="AX134">
        <v>5.5913393042857136</v>
      </c>
      <c r="AY134" s="75"/>
      <c r="AZ134" s="75"/>
      <c r="BA134" s="75"/>
      <c r="BD134">
        <v>6.0913634573869172E-3</v>
      </c>
      <c r="BF134">
        <v>1.2182726914773829E-2</v>
      </c>
      <c r="BG134">
        <v>6.0913634573869172E-3</v>
      </c>
      <c r="BH134">
        <v>0</v>
      </c>
      <c r="BI134" s="79" t="s">
        <v>1264</v>
      </c>
      <c r="BJ134" s="79">
        <v>1223</v>
      </c>
      <c r="BK134" s="79">
        <v>0.5</v>
      </c>
      <c r="BM134" s="79" t="s">
        <v>464</v>
      </c>
      <c r="BN134" s="79" t="s">
        <v>464</v>
      </c>
      <c r="BO134" s="79">
        <v>0</v>
      </c>
      <c r="BP134" s="79">
        <v>4.16</v>
      </c>
      <c r="BQ134" s="79">
        <v>0.6</v>
      </c>
      <c r="BR134" s="79">
        <v>0</v>
      </c>
      <c r="BS134" s="79" t="s">
        <v>464</v>
      </c>
      <c r="BT134" s="79" t="s">
        <v>464</v>
      </c>
      <c r="BU134" s="79" t="s">
        <v>1266</v>
      </c>
      <c r="BV134" s="79">
        <v>450</v>
      </c>
      <c r="BX134" s="79" t="s">
        <v>1287</v>
      </c>
      <c r="BZ134" s="81">
        <v>69.2</v>
      </c>
      <c r="CA134">
        <f t="shared" si="15"/>
        <v>4.2370008626236242</v>
      </c>
    </row>
    <row r="135" spans="1:79" x14ac:dyDescent="0.3">
      <c r="A135" s="2" t="s">
        <v>74</v>
      </c>
      <c r="B135" s="17" t="s">
        <v>905</v>
      </c>
      <c r="C135" s="13"/>
      <c r="D135" s="2">
        <v>3.52</v>
      </c>
      <c r="E135" s="2" t="s">
        <v>77</v>
      </c>
      <c r="F135" s="32" t="s">
        <v>1158</v>
      </c>
      <c r="G135" s="1" t="s">
        <v>1159</v>
      </c>
      <c r="I135" s="2"/>
      <c r="J135" s="25">
        <v>0</v>
      </c>
      <c r="K135">
        <v>4</v>
      </c>
      <c r="L135">
        <v>0</v>
      </c>
      <c r="M135" s="2"/>
      <c r="N135" s="2"/>
      <c r="O135" s="2"/>
      <c r="P135" s="2"/>
      <c r="Q135" s="2"/>
      <c r="R135" s="25">
        <v>0</v>
      </c>
      <c r="S135" s="25"/>
      <c r="T135" s="25"/>
      <c r="U135">
        <v>10.103899999999999</v>
      </c>
      <c r="V135">
        <v>13.944800000000001</v>
      </c>
      <c r="W135">
        <v>16.4237</v>
      </c>
      <c r="X135">
        <v>0</v>
      </c>
      <c r="AA135" s="2"/>
      <c r="AB135">
        <v>8</v>
      </c>
      <c r="AC135" s="55">
        <f t="shared" si="11"/>
        <v>0</v>
      </c>
      <c r="AD135" s="57">
        <v>0</v>
      </c>
      <c r="AE135" s="55">
        <v>2303.3090882103638</v>
      </c>
      <c r="AF135" s="55">
        <v>0</v>
      </c>
      <c r="AG135" s="52"/>
      <c r="AH135" s="51"/>
      <c r="AI135" s="52">
        <v>1.3893055067508771E-2</v>
      </c>
      <c r="AJ135" s="52"/>
      <c r="AK135" s="28">
        <v>1.857142857142857</v>
      </c>
      <c r="AL135" s="28">
        <v>2.285714285714286</v>
      </c>
      <c r="AM135" s="28">
        <v>0.42857142857142849</v>
      </c>
      <c r="AN135" s="28">
        <v>0</v>
      </c>
      <c r="AO135" s="28">
        <v>0.40625000000000011</v>
      </c>
      <c r="AP135" s="28">
        <v>0.5</v>
      </c>
      <c r="AQ135" s="28">
        <v>9.375E-2</v>
      </c>
      <c r="AR135" s="28">
        <v>0</v>
      </c>
      <c r="AS135" s="25">
        <v>0.82</v>
      </c>
      <c r="AT135" s="25">
        <v>3.44</v>
      </c>
      <c r="AU135" s="25">
        <v>2.62</v>
      </c>
      <c r="AV135" s="25">
        <v>2.4390000000000001</v>
      </c>
      <c r="AW135">
        <v>2.4390000000000001</v>
      </c>
      <c r="AX135">
        <v>5.5936785899999997</v>
      </c>
      <c r="AY135" s="75"/>
      <c r="AZ135" s="75"/>
      <c r="BA135" s="75"/>
      <c r="BD135">
        <v>6.9465275337543854E-3</v>
      </c>
      <c r="BF135">
        <v>1.3893055067508771E-2</v>
      </c>
      <c r="BG135">
        <v>6.9465275337543854E-3</v>
      </c>
      <c r="BH135">
        <v>0</v>
      </c>
      <c r="BI135" s="79" t="s">
        <v>1264</v>
      </c>
      <c r="BJ135" s="79">
        <v>1223</v>
      </c>
      <c r="BK135" s="79">
        <v>0.5</v>
      </c>
      <c r="BM135" s="79" t="s">
        <v>464</v>
      </c>
      <c r="BN135" s="79" t="s">
        <v>464</v>
      </c>
      <c r="BO135" s="79">
        <v>0</v>
      </c>
      <c r="BP135" s="79">
        <v>3.52</v>
      </c>
      <c r="BQ135" s="79">
        <v>0.6</v>
      </c>
      <c r="BR135" s="79">
        <v>0</v>
      </c>
      <c r="BS135" s="79" t="s">
        <v>464</v>
      </c>
      <c r="BT135" s="79" t="s">
        <v>464</v>
      </c>
      <c r="BU135" s="79" t="s">
        <v>1266</v>
      </c>
      <c r="BV135" s="79">
        <v>450</v>
      </c>
      <c r="BX135" s="79" t="s">
        <v>1287</v>
      </c>
      <c r="BZ135" s="81">
        <v>34</v>
      </c>
      <c r="CA135">
        <f t="shared" si="15"/>
        <v>3.5263605246161616</v>
      </c>
    </row>
    <row r="136" spans="1:79" x14ac:dyDescent="0.3">
      <c r="A136" s="2" t="s">
        <v>73</v>
      </c>
      <c r="B136" s="13" t="s">
        <v>740</v>
      </c>
      <c r="C136" s="13"/>
      <c r="D136" s="2">
        <v>3.43</v>
      </c>
      <c r="E136" s="2" t="s">
        <v>77</v>
      </c>
      <c r="F136" s="32" t="s">
        <v>1160</v>
      </c>
      <c r="G136" s="1" t="s">
        <v>1161</v>
      </c>
      <c r="I136" s="2"/>
      <c r="J136" s="25">
        <v>0</v>
      </c>
      <c r="K136">
        <v>2</v>
      </c>
      <c r="L136">
        <v>0</v>
      </c>
      <c r="M136" s="2"/>
      <c r="N136" s="2"/>
      <c r="O136" s="2"/>
      <c r="P136" s="2"/>
      <c r="Q136" s="2"/>
      <c r="R136" s="25">
        <v>0</v>
      </c>
      <c r="S136" s="25"/>
      <c r="T136" s="25"/>
      <c r="U136">
        <v>5.4507000000000003</v>
      </c>
      <c r="V136">
        <v>9.7352000000000007</v>
      </c>
      <c r="W136">
        <v>31.373799999999999</v>
      </c>
      <c r="X136">
        <v>0</v>
      </c>
      <c r="AA136" s="2"/>
      <c r="AB136">
        <v>8</v>
      </c>
      <c r="AC136" s="55">
        <f t="shared" si="11"/>
        <v>0</v>
      </c>
      <c r="AD136" s="57">
        <v>0</v>
      </c>
      <c r="AE136" s="55">
        <v>1647.0185271674609</v>
      </c>
      <c r="AF136" s="55">
        <v>0</v>
      </c>
      <c r="AG136" s="52"/>
      <c r="AH136" s="51"/>
      <c r="AI136" s="52">
        <v>9.714523386398553E-3</v>
      </c>
      <c r="AJ136" s="52"/>
      <c r="AK136" s="28">
        <v>1.857142857142857</v>
      </c>
      <c r="AL136" s="28">
        <v>2.285714285714286</v>
      </c>
      <c r="AM136" s="28">
        <v>0.42857142857142849</v>
      </c>
      <c r="AN136" s="28">
        <v>0</v>
      </c>
      <c r="AO136" s="28">
        <v>0.40625000000000011</v>
      </c>
      <c r="AP136" s="28">
        <v>0.5</v>
      </c>
      <c r="AQ136" s="28">
        <v>9.375E-2</v>
      </c>
      <c r="AR136" s="28">
        <v>0</v>
      </c>
      <c r="AS136" s="25">
        <v>0.82</v>
      </c>
      <c r="AT136" s="25">
        <v>3.44</v>
      </c>
      <c r="AU136" s="25">
        <v>2.62</v>
      </c>
      <c r="AV136" s="25">
        <v>2.4300000000000002</v>
      </c>
      <c r="AW136">
        <v>2.4300000000000002</v>
      </c>
      <c r="AX136">
        <v>5.5971875185714284</v>
      </c>
      <c r="AY136" s="75"/>
      <c r="AZ136" s="75"/>
      <c r="BA136" s="75"/>
      <c r="BD136">
        <v>4.8572616931992756E-3</v>
      </c>
      <c r="BF136">
        <v>9.714523386398553E-3</v>
      </c>
      <c r="BG136">
        <v>4.8572616931992756E-3</v>
      </c>
      <c r="BH136">
        <v>0</v>
      </c>
      <c r="BI136" s="79" t="s">
        <v>1264</v>
      </c>
      <c r="BJ136" s="79">
        <v>1223</v>
      </c>
      <c r="BK136" s="79">
        <v>0.5</v>
      </c>
      <c r="BM136" s="79" t="s">
        <v>464</v>
      </c>
      <c r="BN136" s="79" t="s">
        <v>464</v>
      </c>
      <c r="BO136" s="79">
        <v>0</v>
      </c>
      <c r="BP136" s="79">
        <v>3.43</v>
      </c>
      <c r="BQ136" s="79">
        <v>0.6</v>
      </c>
      <c r="BR136" s="79">
        <v>0</v>
      </c>
      <c r="BS136" s="79" t="s">
        <v>464</v>
      </c>
      <c r="BT136" s="79" t="s">
        <v>464</v>
      </c>
      <c r="BU136" s="79" t="s">
        <v>1266</v>
      </c>
      <c r="BV136" s="79">
        <v>450</v>
      </c>
      <c r="BX136" s="79" t="s">
        <v>1287</v>
      </c>
      <c r="BZ136" s="81">
        <v>12.5</v>
      </c>
      <c r="CA136">
        <f t="shared" si="15"/>
        <v>2.5257286443082556</v>
      </c>
    </row>
    <row r="137" spans="1:79" x14ac:dyDescent="0.3">
      <c r="A137" s="2" t="s">
        <v>71</v>
      </c>
      <c r="B137" s="13" t="s">
        <v>739</v>
      </c>
      <c r="C137" s="13"/>
      <c r="D137" s="2">
        <v>3.59</v>
      </c>
      <c r="E137" s="2" t="s">
        <v>77</v>
      </c>
      <c r="F137" s="9" t="s">
        <v>561</v>
      </c>
      <c r="G137" t="s">
        <v>639</v>
      </c>
      <c r="I137" s="2"/>
      <c r="J137" s="25">
        <v>2</v>
      </c>
      <c r="K137">
        <v>2</v>
      </c>
      <c r="L137">
        <v>0</v>
      </c>
      <c r="M137" s="2"/>
      <c r="N137" s="2"/>
      <c r="O137" s="2"/>
      <c r="P137" s="2"/>
      <c r="Q137" s="2"/>
      <c r="R137" s="25">
        <v>3.8703880000000002</v>
      </c>
      <c r="S137" s="25">
        <v>3.8703880000000002</v>
      </c>
      <c r="T137" s="25">
        <v>13.604850000000001</v>
      </c>
      <c r="U137">
        <v>3.8415499999999998</v>
      </c>
      <c r="V137">
        <v>3.8415499999999998</v>
      </c>
      <c r="W137">
        <v>13.4695</v>
      </c>
      <c r="X137">
        <v>0</v>
      </c>
      <c r="AA137" s="2"/>
      <c r="AB137">
        <v>8</v>
      </c>
      <c r="AC137" s="55">
        <f t="shared" ref="AC137:AC142" si="16">M137*N137*O137</f>
        <v>0</v>
      </c>
      <c r="AD137" s="57">
        <v>203.79933701026059</v>
      </c>
      <c r="AE137" s="55">
        <v>198.77623248847371</v>
      </c>
      <c r="AF137" s="55">
        <v>0</v>
      </c>
      <c r="AG137" s="52"/>
      <c r="AH137" s="51">
        <v>7.8508596910668346E-2</v>
      </c>
      <c r="AI137" s="52">
        <v>8.0492520658513728E-2</v>
      </c>
      <c r="AJ137" s="52"/>
      <c r="AK137" s="28">
        <v>1.857142857142857</v>
      </c>
      <c r="AL137" s="28">
        <v>2.285714285714286</v>
      </c>
      <c r="AM137" s="28">
        <v>0.42857142857142849</v>
      </c>
      <c r="AN137" s="28">
        <v>0</v>
      </c>
      <c r="AO137" s="28">
        <v>0.40625000000000011</v>
      </c>
      <c r="AP137" s="28">
        <v>0.5</v>
      </c>
      <c r="AQ137" s="28">
        <v>9.375E-2</v>
      </c>
      <c r="AR137" s="28">
        <v>0</v>
      </c>
      <c r="AS137" s="25">
        <v>0.82</v>
      </c>
      <c r="AT137" s="25">
        <v>3.44</v>
      </c>
      <c r="AU137" s="25">
        <v>2.62</v>
      </c>
      <c r="AV137" s="25">
        <v>2.46</v>
      </c>
      <c r="AW137">
        <v>2.46</v>
      </c>
      <c r="AX137">
        <v>5.5854910899999997</v>
      </c>
      <c r="AY137" s="75">
        <v>0.55645098073491572</v>
      </c>
      <c r="AZ137" s="75">
        <v>0.57051257855519</v>
      </c>
      <c r="BA137" s="75"/>
      <c r="BC137">
        <v>3.9254298455334173E-2</v>
      </c>
      <c r="BD137">
        <v>4.0246260329256871E-2</v>
      </c>
      <c r="BF137">
        <v>7.950055878459103E-2</v>
      </c>
      <c r="BG137">
        <v>3.9750279392295522E-2</v>
      </c>
      <c r="BH137">
        <v>0.56348177964505286</v>
      </c>
      <c r="BI137" s="79" t="s">
        <v>1264</v>
      </c>
      <c r="BJ137" s="79">
        <v>1223</v>
      </c>
      <c r="BK137" s="79">
        <v>0.5</v>
      </c>
      <c r="BM137" s="79" t="s">
        <v>1275</v>
      </c>
      <c r="BN137" s="79" t="s">
        <v>56</v>
      </c>
      <c r="BO137" s="79">
        <v>2</v>
      </c>
      <c r="BP137" s="79">
        <v>3.59</v>
      </c>
      <c r="BQ137" s="79">
        <v>0.6</v>
      </c>
      <c r="BR137" s="79">
        <v>0</v>
      </c>
      <c r="BS137" s="79" t="s">
        <v>464</v>
      </c>
      <c r="BT137" s="79" t="s">
        <v>464</v>
      </c>
      <c r="BU137" s="79" t="s">
        <v>1266</v>
      </c>
      <c r="BV137" s="79">
        <v>450</v>
      </c>
      <c r="BX137" s="79" t="s">
        <v>1287</v>
      </c>
      <c r="BZ137" s="81">
        <v>36</v>
      </c>
      <c r="CA137">
        <f t="shared" si="15"/>
        <v>3.5835189384561099</v>
      </c>
    </row>
    <row r="138" spans="1:79" x14ac:dyDescent="0.3">
      <c r="A138" s="2" t="s">
        <v>72</v>
      </c>
      <c r="B138" s="17" t="s">
        <v>902</v>
      </c>
      <c r="C138" s="13"/>
      <c r="D138" s="2">
        <v>3.74</v>
      </c>
      <c r="E138" s="2" t="s">
        <v>77</v>
      </c>
      <c r="F138" s="32" t="s">
        <v>561</v>
      </c>
      <c r="G138" s="1" t="s">
        <v>639</v>
      </c>
      <c r="I138" s="2"/>
      <c r="J138" s="25">
        <v>0</v>
      </c>
      <c r="K138">
        <v>2</v>
      </c>
      <c r="L138">
        <v>0</v>
      </c>
      <c r="M138" s="2"/>
      <c r="N138" s="2"/>
      <c r="O138" s="2"/>
      <c r="P138" s="2"/>
      <c r="Q138" s="2"/>
      <c r="R138" s="25">
        <v>0</v>
      </c>
      <c r="S138" s="25"/>
      <c r="T138" s="25"/>
      <c r="U138">
        <v>3.8415499999999998</v>
      </c>
      <c r="V138">
        <v>3.8415499999999998</v>
      </c>
      <c r="W138">
        <v>13.4695</v>
      </c>
      <c r="X138">
        <v>0</v>
      </c>
      <c r="AA138" s="2"/>
      <c r="AB138">
        <v>8</v>
      </c>
      <c r="AC138" s="55">
        <f t="shared" si="16"/>
        <v>0</v>
      </c>
      <c r="AD138" s="57">
        <v>0</v>
      </c>
      <c r="AE138" s="55">
        <v>198.77623248847371</v>
      </c>
      <c r="AF138" s="55">
        <v>0</v>
      </c>
      <c r="AG138" s="52"/>
      <c r="AH138" s="51"/>
      <c r="AI138" s="52">
        <v>8.0492520658513728E-2</v>
      </c>
      <c r="AJ138" s="52"/>
      <c r="AK138" s="28">
        <v>1.857142857142857</v>
      </c>
      <c r="AL138" s="28">
        <v>2.285714285714286</v>
      </c>
      <c r="AM138" s="28">
        <v>0.42857142857142849</v>
      </c>
      <c r="AN138" s="28">
        <v>0</v>
      </c>
      <c r="AO138" s="28">
        <v>0.40625000000000011</v>
      </c>
      <c r="AP138" s="28">
        <v>0.5</v>
      </c>
      <c r="AQ138" s="28">
        <v>9.375E-2</v>
      </c>
      <c r="AR138" s="28">
        <v>0</v>
      </c>
      <c r="AS138" s="25">
        <v>0.82</v>
      </c>
      <c r="AT138" s="25">
        <v>3.44</v>
      </c>
      <c r="AU138" s="25">
        <v>2.62</v>
      </c>
      <c r="AV138" s="25">
        <v>2.4569999999999999</v>
      </c>
      <c r="AW138">
        <v>2.4569999999999999</v>
      </c>
      <c r="AX138">
        <v>5.5866607328571423</v>
      </c>
      <c r="AY138" s="75">
        <v>0.55645098073491572</v>
      </c>
      <c r="AZ138" s="75">
        <v>0.57051257855519</v>
      </c>
      <c r="BA138" s="75"/>
      <c r="BD138">
        <v>4.0246260329256871E-2</v>
      </c>
      <c r="BF138">
        <v>8.0492520658513728E-2</v>
      </c>
      <c r="BG138">
        <v>4.0246260329256871E-2</v>
      </c>
      <c r="BH138">
        <v>0.56348177964505286</v>
      </c>
      <c r="BI138" s="79" t="s">
        <v>1264</v>
      </c>
      <c r="BJ138" s="79">
        <v>1223</v>
      </c>
      <c r="BK138" s="79">
        <v>0.5</v>
      </c>
      <c r="BM138" s="79" t="s">
        <v>1275</v>
      </c>
      <c r="BN138" s="79" t="s">
        <v>56</v>
      </c>
      <c r="BO138" s="79">
        <v>2</v>
      </c>
      <c r="BP138" s="79">
        <v>3.74</v>
      </c>
      <c r="BQ138" s="79">
        <v>0.6</v>
      </c>
      <c r="BR138" s="79">
        <v>0</v>
      </c>
      <c r="BS138" s="79" t="s">
        <v>464</v>
      </c>
      <c r="BT138" s="79" t="s">
        <v>464</v>
      </c>
      <c r="BU138" s="79" t="s">
        <v>1266</v>
      </c>
      <c r="BV138" s="79">
        <v>450</v>
      </c>
      <c r="BX138" s="79" t="s">
        <v>1287</v>
      </c>
      <c r="BZ138" s="81">
        <v>65.400000000000006</v>
      </c>
      <c r="CA138">
        <f t="shared" si="15"/>
        <v>4.180522258463153</v>
      </c>
    </row>
    <row r="139" spans="1:79" x14ac:dyDescent="0.3">
      <c r="A139" s="2" t="s">
        <v>76</v>
      </c>
      <c r="B139" s="17" t="s">
        <v>903</v>
      </c>
      <c r="C139" s="13"/>
      <c r="D139" s="2">
        <v>3.82</v>
      </c>
      <c r="E139" s="2" t="s">
        <v>77</v>
      </c>
      <c r="F139" s="32" t="s">
        <v>1154</v>
      </c>
      <c r="G139" s="1" t="s">
        <v>1155</v>
      </c>
      <c r="I139" s="2"/>
      <c r="J139" s="25">
        <v>0</v>
      </c>
      <c r="K139">
        <v>1</v>
      </c>
      <c r="L139">
        <v>0</v>
      </c>
      <c r="M139" s="2"/>
      <c r="N139" s="2"/>
      <c r="O139" s="2"/>
      <c r="P139" s="2"/>
      <c r="Q139" s="2"/>
      <c r="R139" s="25">
        <v>0</v>
      </c>
      <c r="S139" s="25"/>
      <c r="T139" s="25"/>
      <c r="U139">
        <v>6.7352999999999987</v>
      </c>
      <c r="V139">
        <v>8.0756999999999994</v>
      </c>
      <c r="W139">
        <v>15.016999999999999</v>
      </c>
      <c r="X139">
        <v>0</v>
      </c>
      <c r="AA139" s="2"/>
      <c r="AB139">
        <v>8</v>
      </c>
      <c r="AC139" s="55">
        <f t="shared" si="16"/>
        <v>0</v>
      </c>
      <c r="AD139" s="57">
        <v>0</v>
      </c>
      <c r="AE139" s="55">
        <v>801.31327174450405</v>
      </c>
      <c r="AF139" s="55">
        <v>0</v>
      </c>
      <c r="AG139" s="52"/>
      <c r="AH139" s="51"/>
      <c r="AI139" s="52">
        <v>9.9836110071951645E-3</v>
      </c>
      <c r="AJ139" s="52"/>
      <c r="AK139" s="28">
        <v>1.857142857142857</v>
      </c>
      <c r="AL139" s="28">
        <v>2.285714285714286</v>
      </c>
      <c r="AM139" s="28">
        <v>0.42857142857142849</v>
      </c>
      <c r="AN139" s="28">
        <v>0</v>
      </c>
      <c r="AO139" s="28">
        <v>0.40625000000000011</v>
      </c>
      <c r="AP139" s="28">
        <v>0.5</v>
      </c>
      <c r="AQ139" s="28">
        <v>9.375E-2</v>
      </c>
      <c r="AR139" s="28">
        <v>0</v>
      </c>
      <c r="AS139" s="25">
        <v>0.82</v>
      </c>
      <c r="AT139" s="25">
        <v>3.44</v>
      </c>
      <c r="AU139" s="25">
        <v>2.62</v>
      </c>
      <c r="AV139" s="25">
        <v>2.4510000000000001</v>
      </c>
      <c r="AW139">
        <v>2.4510000000000001</v>
      </c>
      <c r="AX139">
        <v>5.5890000185714284</v>
      </c>
      <c r="AY139" s="75"/>
      <c r="AZ139" s="75">
        <v>0.26693366029414328</v>
      </c>
      <c r="BA139" s="75"/>
      <c r="BD139">
        <v>4.9918055035975822E-3</v>
      </c>
      <c r="BF139">
        <v>9.9836110071951645E-3</v>
      </c>
      <c r="BG139">
        <v>4.9918055035975822E-3</v>
      </c>
      <c r="BH139">
        <v>0.26693366029414328</v>
      </c>
      <c r="BI139" s="79" t="s">
        <v>1264</v>
      </c>
      <c r="BJ139" s="79">
        <v>1223</v>
      </c>
      <c r="BK139" s="79">
        <v>0.5</v>
      </c>
      <c r="BM139" s="79" t="s">
        <v>1275</v>
      </c>
      <c r="BN139" s="79" t="s">
        <v>56</v>
      </c>
      <c r="BO139" s="79">
        <v>2</v>
      </c>
      <c r="BP139" s="79">
        <v>3.82</v>
      </c>
      <c r="BQ139" s="79">
        <v>0.6</v>
      </c>
      <c r="BR139" s="79">
        <v>0</v>
      </c>
      <c r="BS139" s="79" t="s">
        <v>464</v>
      </c>
      <c r="BT139" s="79" t="s">
        <v>464</v>
      </c>
      <c r="BU139" s="79" t="s">
        <v>1266</v>
      </c>
      <c r="BV139" s="79">
        <v>450</v>
      </c>
      <c r="BX139" s="79" t="s">
        <v>1287</v>
      </c>
      <c r="BZ139" s="81">
        <v>84.2</v>
      </c>
      <c r="CA139">
        <f t="shared" si="15"/>
        <v>4.4331949212482815</v>
      </c>
    </row>
    <row r="140" spans="1:79" x14ac:dyDescent="0.3">
      <c r="A140" s="2" t="s">
        <v>75</v>
      </c>
      <c r="B140" s="17" t="s">
        <v>904</v>
      </c>
      <c r="C140" s="13"/>
      <c r="D140" s="2">
        <v>4.16</v>
      </c>
      <c r="E140" s="2" t="s">
        <v>77</v>
      </c>
      <c r="F140" s="32" t="s">
        <v>1156</v>
      </c>
      <c r="G140" s="1" t="s">
        <v>1157</v>
      </c>
      <c r="I140" s="2"/>
      <c r="J140" s="25">
        <v>0</v>
      </c>
      <c r="K140">
        <v>4</v>
      </c>
      <c r="L140">
        <v>0</v>
      </c>
      <c r="M140" s="2"/>
      <c r="N140" s="2"/>
      <c r="O140" s="2"/>
      <c r="P140" s="2"/>
      <c r="Q140" s="2"/>
      <c r="R140" s="25">
        <v>0</v>
      </c>
      <c r="S140" s="25"/>
      <c r="T140" s="25"/>
      <c r="U140">
        <v>18.184000000000001</v>
      </c>
      <c r="V140">
        <v>13.009</v>
      </c>
      <c r="W140">
        <v>13.112</v>
      </c>
      <c r="X140">
        <v>0</v>
      </c>
      <c r="AA140" s="2"/>
      <c r="AB140">
        <v>8</v>
      </c>
      <c r="AC140" s="55">
        <f t="shared" si="16"/>
        <v>0</v>
      </c>
      <c r="AD140" s="57">
        <v>0</v>
      </c>
      <c r="AE140" s="55">
        <v>2626.6697286954709</v>
      </c>
      <c r="AF140" s="55">
        <v>0</v>
      </c>
      <c r="AG140" s="52"/>
      <c r="AH140" s="51"/>
      <c r="AI140" s="52">
        <v>1.2182726914773829E-2</v>
      </c>
      <c r="AJ140" s="52"/>
      <c r="AK140" s="28">
        <v>1.857142857142857</v>
      </c>
      <c r="AL140" s="28">
        <v>2.285714285714286</v>
      </c>
      <c r="AM140" s="28">
        <v>0.42857142857142849</v>
      </c>
      <c r="AN140" s="28">
        <v>0</v>
      </c>
      <c r="AO140" s="28">
        <v>0.40625000000000011</v>
      </c>
      <c r="AP140" s="28">
        <v>0.5</v>
      </c>
      <c r="AQ140" s="28">
        <v>9.375E-2</v>
      </c>
      <c r="AR140" s="28">
        <v>0</v>
      </c>
      <c r="AS140" s="25">
        <v>0.82</v>
      </c>
      <c r="AT140" s="25">
        <v>3.44</v>
      </c>
      <c r="AU140" s="25">
        <v>2.62</v>
      </c>
      <c r="AV140" s="25">
        <v>2.4449999999999998</v>
      </c>
      <c r="AW140">
        <v>2.4449999999999998</v>
      </c>
      <c r="AX140">
        <v>5.5913393042857136</v>
      </c>
      <c r="AY140" s="75"/>
      <c r="AZ140" s="75"/>
      <c r="BA140" s="75"/>
      <c r="BD140">
        <v>6.0913634573869172E-3</v>
      </c>
      <c r="BF140">
        <v>1.2182726914773829E-2</v>
      </c>
      <c r="BG140">
        <v>6.0913634573869172E-3</v>
      </c>
      <c r="BH140">
        <v>0</v>
      </c>
      <c r="BI140" s="79" t="s">
        <v>1264</v>
      </c>
      <c r="BJ140" s="79">
        <v>1223</v>
      </c>
      <c r="BK140" s="79">
        <v>0.5</v>
      </c>
      <c r="BM140" s="79" t="s">
        <v>1275</v>
      </c>
      <c r="BN140" s="79" t="s">
        <v>56</v>
      </c>
      <c r="BO140" s="79">
        <v>2</v>
      </c>
      <c r="BP140" s="79">
        <v>4.16</v>
      </c>
      <c r="BQ140" s="79">
        <v>0.6</v>
      </c>
      <c r="BR140" s="79">
        <v>0</v>
      </c>
      <c r="BS140" s="79" t="s">
        <v>464</v>
      </c>
      <c r="BT140" s="79" t="s">
        <v>464</v>
      </c>
      <c r="BU140" s="79" t="s">
        <v>1266</v>
      </c>
      <c r="BV140" s="79">
        <v>450</v>
      </c>
      <c r="BX140" s="79" t="s">
        <v>1287</v>
      </c>
      <c r="BZ140" s="81">
        <v>69.2</v>
      </c>
      <c r="CA140">
        <f t="shared" si="15"/>
        <v>4.2370008626236242</v>
      </c>
    </row>
    <row r="141" spans="1:79" x14ac:dyDescent="0.3">
      <c r="A141" s="2" t="s">
        <v>74</v>
      </c>
      <c r="B141" s="17" t="s">
        <v>905</v>
      </c>
      <c r="C141" s="13"/>
      <c r="D141" s="2">
        <v>3.52</v>
      </c>
      <c r="E141" s="2" t="s">
        <v>77</v>
      </c>
      <c r="F141" s="32" t="s">
        <v>1158</v>
      </c>
      <c r="G141" s="1" t="s">
        <v>1159</v>
      </c>
      <c r="I141" s="2"/>
      <c r="J141" s="25">
        <v>0</v>
      </c>
      <c r="K141">
        <v>4</v>
      </c>
      <c r="L141">
        <v>0</v>
      </c>
      <c r="M141" s="2"/>
      <c r="N141" s="2"/>
      <c r="O141" s="2"/>
      <c r="P141" s="2"/>
      <c r="Q141" s="2"/>
      <c r="R141" s="25">
        <v>0</v>
      </c>
      <c r="S141" s="25"/>
      <c r="T141" s="25"/>
      <c r="U141">
        <v>10.103899999999999</v>
      </c>
      <c r="V141">
        <v>13.944800000000001</v>
      </c>
      <c r="W141">
        <v>16.4237</v>
      </c>
      <c r="X141">
        <v>0</v>
      </c>
      <c r="AA141" s="2"/>
      <c r="AB141">
        <v>8</v>
      </c>
      <c r="AC141" s="55">
        <f t="shared" si="16"/>
        <v>0</v>
      </c>
      <c r="AD141" s="57">
        <v>0</v>
      </c>
      <c r="AE141" s="55">
        <v>2303.3090882103638</v>
      </c>
      <c r="AF141" s="55">
        <v>0</v>
      </c>
      <c r="AG141" s="52"/>
      <c r="AH141" s="51"/>
      <c r="AI141" s="52">
        <v>1.3893055067508771E-2</v>
      </c>
      <c r="AJ141" s="52"/>
      <c r="AK141" s="28">
        <v>1.857142857142857</v>
      </c>
      <c r="AL141" s="28">
        <v>2.285714285714286</v>
      </c>
      <c r="AM141" s="28">
        <v>0.42857142857142849</v>
      </c>
      <c r="AN141" s="28">
        <v>0</v>
      </c>
      <c r="AO141" s="28">
        <v>0.40625000000000011</v>
      </c>
      <c r="AP141" s="28">
        <v>0.5</v>
      </c>
      <c r="AQ141" s="28">
        <v>9.375E-2</v>
      </c>
      <c r="AR141" s="28">
        <v>0</v>
      </c>
      <c r="AS141" s="25">
        <v>0.82</v>
      </c>
      <c r="AT141" s="25">
        <v>3.44</v>
      </c>
      <c r="AU141" s="25">
        <v>2.62</v>
      </c>
      <c r="AV141" s="25">
        <v>2.4390000000000001</v>
      </c>
      <c r="AW141">
        <v>2.4390000000000001</v>
      </c>
      <c r="AX141">
        <v>5.5936785899999997</v>
      </c>
      <c r="AY141" s="75"/>
      <c r="AZ141" s="75"/>
      <c r="BA141" s="75"/>
      <c r="BD141">
        <v>6.9465275337543854E-3</v>
      </c>
      <c r="BF141">
        <v>1.3893055067508771E-2</v>
      </c>
      <c r="BG141">
        <v>6.9465275337543854E-3</v>
      </c>
      <c r="BH141">
        <v>0</v>
      </c>
      <c r="BI141" s="79" t="s">
        <v>1264</v>
      </c>
      <c r="BJ141" s="79">
        <v>1223</v>
      </c>
      <c r="BK141" s="79">
        <v>0.5</v>
      </c>
      <c r="BM141" s="79" t="s">
        <v>1275</v>
      </c>
      <c r="BN141" s="79" t="s">
        <v>56</v>
      </c>
      <c r="BO141" s="79">
        <v>2</v>
      </c>
      <c r="BP141" s="79">
        <v>3.52</v>
      </c>
      <c r="BQ141" s="79">
        <v>0.6</v>
      </c>
      <c r="BR141" s="79">
        <v>0</v>
      </c>
      <c r="BS141" s="79" t="s">
        <v>464</v>
      </c>
      <c r="BT141" s="79" t="s">
        <v>464</v>
      </c>
      <c r="BU141" s="79" t="s">
        <v>1266</v>
      </c>
      <c r="BV141" s="79">
        <v>450</v>
      </c>
      <c r="BX141" s="79" t="s">
        <v>1287</v>
      </c>
      <c r="BZ141" s="81">
        <v>34</v>
      </c>
      <c r="CA141">
        <f t="shared" si="15"/>
        <v>3.5263605246161616</v>
      </c>
    </row>
    <row r="142" spans="1:79" x14ac:dyDescent="0.3">
      <c r="A142" s="2" t="s">
        <v>73</v>
      </c>
      <c r="B142" s="13" t="s">
        <v>740</v>
      </c>
      <c r="C142" s="13"/>
      <c r="D142" s="2">
        <v>3.43</v>
      </c>
      <c r="E142" s="2" t="s">
        <v>77</v>
      </c>
      <c r="F142" s="32" t="s">
        <v>1160</v>
      </c>
      <c r="G142" s="1" t="s">
        <v>1161</v>
      </c>
      <c r="I142" s="2"/>
      <c r="J142" s="25">
        <v>0</v>
      </c>
      <c r="K142">
        <v>2</v>
      </c>
      <c r="L142">
        <v>0</v>
      </c>
      <c r="M142" s="2"/>
      <c r="N142" s="2"/>
      <c r="O142" s="2"/>
      <c r="P142" s="2"/>
      <c r="Q142" s="2"/>
      <c r="R142" s="25">
        <v>0</v>
      </c>
      <c r="S142" s="25"/>
      <c r="T142" s="25"/>
      <c r="U142">
        <v>5.4507000000000003</v>
      </c>
      <c r="V142">
        <v>9.7352000000000007</v>
      </c>
      <c r="W142">
        <v>31.373799999999999</v>
      </c>
      <c r="X142">
        <v>0</v>
      </c>
      <c r="AA142" s="2"/>
      <c r="AB142">
        <v>8</v>
      </c>
      <c r="AC142" s="55">
        <f t="shared" si="16"/>
        <v>0</v>
      </c>
      <c r="AD142" s="57">
        <v>0</v>
      </c>
      <c r="AE142" s="55">
        <v>1647.0185271674609</v>
      </c>
      <c r="AF142" s="55">
        <v>0</v>
      </c>
      <c r="AG142" s="52"/>
      <c r="AH142" s="51"/>
      <c r="AI142" s="52">
        <v>9.714523386398553E-3</v>
      </c>
      <c r="AJ142" s="52"/>
      <c r="AK142" s="28">
        <v>1.857142857142857</v>
      </c>
      <c r="AL142" s="28">
        <v>2.285714285714286</v>
      </c>
      <c r="AM142" s="28">
        <v>0.42857142857142849</v>
      </c>
      <c r="AN142" s="28">
        <v>0</v>
      </c>
      <c r="AO142" s="28">
        <v>0.40625000000000011</v>
      </c>
      <c r="AP142" s="28">
        <v>0.5</v>
      </c>
      <c r="AQ142" s="28">
        <v>9.375E-2</v>
      </c>
      <c r="AR142" s="28">
        <v>0</v>
      </c>
      <c r="AS142" s="25">
        <v>0.82</v>
      </c>
      <c r="AT142" s="25">
        <v>3.44</v>
      </c>
      <c r="AU142" s="25">
        <v>2.62</v>
      </c>
      <c r="AV142" s="25">
        <v>2.4300000000000002</v>
      </c>
      <c r="AW142">
        <v>2.4300000000000002</v>
      </c>
      <c r="AX142">
        <v>5.5971875185714284</v>
      </c>
      <c r="AY142" s="75"/>
      <c r="AZ142" s="75"/>
      <c r="BA142" s="75"/>
      <c r="BD142">
        <v>4.8572616931992756E-3</v>
      </c>
      <c r="BF142">
        <v>9.714523386398553E-3</v>
      </c>
      <c r="BG142">
        <v>4.8572616931992756E-3</v>
      </c>
      <c r="BH142">
        <v>0</v>
      </c>
      <c r="BI142" s="79" t="s">
        <v>1264</v>
      </c>
      <c r="BJ142" s="79">
        <v>1223</v>
      </c>
      <c r="BK142" s="79">
        <v>0.5</v>
      </c>
      <c r="BM142" s="79" t="s">
        <v>1275</v>
      </c>
      <c r="BN142" s="79" t="s">
        <v>56</v>
      </c>
      <c r="BO142" s="79">
        <v>2</v>
      </c>
      <c r="BP142" s="79">
        <v>3.43</v>
      </c>
      <c r="BQ142" s="79">
        <v>0.6</v>
      </c>
      <c r="BR142" s="79">
        <v>0</v>
      </c>
      <c r="BS142" s="79" t="s">
        <v>464</v>
      </c>
      <c r="BT142" s="79" t="s">
        <v>464</v>
      </c>
      <c r="BU142" s="79" t="s">
        <v>1266</v>
      </c>
      <c r="BV142" s="79">
        <v>450</v>
      </c>
      <c r="BX142" s="79" t="s">
        <v>1287</v>
      </c>
      <c r="BZ142" s="81">
        <v>12.5</v>
      </c>
      <c r="CA142">
        <f t="shared" si="15"/>
        <v>2.5257286443082556</v>
      </c>
    </row>
    <row r="143" spans="1:79" x14ac:dyDescent="0.3">
      <c r="A143" s="2" t="s">
        <v>44</v>
      </c>
      <c r="B143" s="13" t="s">
        <v>720</v>
      </c>
      <c r="C143" s="13"/>
      <c r="D143" s="2">
        <v>3.78</v>
      </c>
      <c r="E143" s="2" t="s">
        <v>80</v>
      </c>
      <c r="F143" s="9" t="s">
        <v>549</v>
      </c>
      <c r="G143">
        <v>-1</v>
      </c>
      <c r="I143" s="2"/>
      <c r="J143" s="25">
        <v>1</v>
      </c>
      <c r="K143">
        <v>0</v>
      </c>
      <c r="L143">
        <v>0</v>
      </c>
      <c r="M143" s="2">
        <v>3.859</v>
      </c>
      <c r="N143" s="2">
        <v>3.859</v>
      </c>
      <c r="O143" s="2">
        <v>29.047999999999998</v>
      </c>
      <c r="P143" s="2" t="s">
        <v>440</v>
      </c>
      <c r="Q143" s="2"/>
      <c r="R143" s="25">
        <v>15.28115725</v>
      </c>
      <c r="S143" s="25">
        <v>15.28115725</v>
      </c>
      <c r="T143" s="25">
        <v>15.28115725</v>
      </c>
      <c r="U143">
        <v>0</v>
      </c>
      <c r="X143">
        <v>0</v>
      </c>
      <c r="AA143" s="2">
        <v>3</v>
      </c>
      <c r="AB143">
        <v>20</v>
      </c>
      <c r="AC143" s="55">
        <f t="shared" si="11"/>
        <v>432.57935928799998</v>
      </c>
      <c r="AD143" s="57">
        <v>229.90248606119221</v>
      </c>
      <c r="AE143" s="55">
        <v>0</v>
      </c>
      <c r="AF143" s="55">
        <v>0</v>
      </c>
      <c r="AG143" s="52"/>
      <c r="AH143" s="51">
        <v>8.6993404650164072E-2</v>
      </c>
      <c r="AI143" s="52"/>
      <c r="AJ143" s="52"/>
      <c r="AK143" s="28">
        <v>1.882352941176471</v>
      </c>
      <c r="AL143" s="28">
        <v>2.3529411764705879</v>
      </c>
      <c r="AM143" s="28">
        <v>0.47058823529411759</v>
      </c>
      <c r="AN143" s="28">
        <v>0</v>
      </c>
      <c r="AO143" s="28">
        <v>0.4</v>
      </c>
      <c r="AP143" s="28">
        <v>0.5</v>
      </c>
      <c r="AQ143" s="28">
        <v>9.9999999999999992E-2</v>
      </c>
      <c r="AR143" s="28">
        <v>0</v>
      </c>
      <c r="AS143" s="25">
        <v>0.82</v>
      </c>
      <c r="AT143" s="25">
        <v>3.44</v>
      </c>
      <c r="AU143" s="25">
        <v>2.62</v>
      </c>
      <c r="AV143" s="25">
        <v>2.5211764705882351</v>
      </c>
      <c r="AW143">
        <v>2.521176470588236</v>
      </c>
      <c r="AX143">
        <v>5.6898745917647062</v>
      </c>
      <c r="AY143" s="75">
        <v>0.57369840599679445</v>
      </c>
      <c r="AZ143" s="75"/>
      <c r="BA143" s="75"/>
      <c r="BC143">
        <v>4.3496702325082043E-2</v>
      </c>
      <c r="BF143">
        <v>8.6993404650164072E-2</v>
      </c>
      <c r="BG143">
        <v>4.3496702325082043E-2</v>
      </c>
      <c r="BH143">
        <v>0.57369840599679445</v>
      </c>
      <c r="BI143" s="79" t="s">
        <v>1264</v>
      </c>
      <c r="BJ143" s="79">
        <f t="shared" ref="BJ143:BJ158" si="17">273+1050</f>
        <v>1323</v>
      </c>
      <c r="BK143" s="79">
        <v>48</v>
      </c>
      <c r="BM143" s="79" t="s">
        <v>464</v>
      </c>
      <c r="BN143" s="79" t="s">
        <v>464</v>
      </c>
      <c r="BO143" s="79">
        <v>0</v>
      </c>
      <c r="BQ143" s="79">
        <v>2</v>
      </c>
      <c r="BR143" s="79">
        <v>0</v>
      </c>
      <c r="BS143" s="79" t="s">
        <v>464</v>
      </c>
      <c r="BT143" s="79" t="s">
        <v>464</v>
      </c>
      <c r="BU143" s="79" t="s">
        <v>1266</v>
      </c>
      <c r="BV143" s="79">
        <v>1000</v>
      </c>
      <c r="BW143" s="79">
        <v>300</v>
      </c>
      <c r="BX143" s="79" t="s">
        <v>1311</v>
      </c>
      <c r="BY143" s="79">
        <v>298</v>
      </c>
      <c r="BZ143" s="81">
        <v>4.37</v>
      </c>
      <c r="CA143">
        <f t="shared" si="15"/>
        <v>1.4747630091074988</v>
      </c>
    </row>
    <row r="144" spans="1:79" x14ac:dyDescent="0.3">
      <c r="A144" s="2" t="s">
        <v>79</v>
      </c>
      <c r="B144" s="17" t="s">
        <v>906</v>
      </c>
      <c r="C144" s="13"/>
      <c r="D144" s="2">
        <v>3.2</v>
      </c>
      <c r="E144" s="2" t="s">
        <v>80</v>
      </c>
      <c r="F144" s="32" t="s">
        <v>549</v>
      </c>
      <c r="G144">
        <v>-1</v>
      </c>
      <c r="I144" s="2">
        <v>2</v>
      </c>
      <c r="J144" s="25">
        <v>0</v>
      </c>
      <c r="K144">
        <v>0</v>
      </c>
      <c r="L144">
        <v>0</v>
      </c>
      <c r="M144" s="2">
        <v>3.8650000000000002</v>
      </c>
      <c r="N144" s="2">
        <v>3.8650000000000002</v>
      </c>
      <c r="O144" s="2">
        <v>29.241</v>
      </c>
      <c r="R144" s="25">
        <v>0</v>
      </c>
      <c r="S144" s="25"/>
      <c r="T144" s="25"/>
      <c r="U144">
        <v>0</v>
      </c>
      <c r="X144">
        <v>0</v>
      </c>
      <c r="AA144" s="2">
        <v>3</v>
      </c>
      <c r="AB144">
        <v>20</v>
      </c>
      <c r="AC144" s="55">
        <f t="shared" si="11"/>
        <v>436.80863722500004</v>
      </c>
      <c r="AD144" s="57">
        <v>0</v>
      </c>
      <c r="AE144" s="55">
        <v>0</v>
      </c>
      <c r="AF144" s="55">
        <v>0</v>
      </c>
      <c r="AG144" s="52">
        <f>I144*AB144/AC144</f>
        <v>9.1573280817238076E-2</v>
      </c>
      <c r="AH144" s="51"/>
      <c r="AI144" s="52"/>
      <c r="AJ144" s="52"/>
      <c r="AK144" s="28">
        <v>1.882352941176471</v>
      </c>
      <c r="AL144" s="28">
        <v>2.3529411764705879</v>
      </c>
      <c r="AM144" s="28">
        <v>0.49411764705882361</v>
      </c>
      <c r="AN144" s="28">
        <v>0</v>
      </c>
      <c r="AO144" s="28">
        <v>0.39800995024875629</v>
      </c>
      <c r="AP144" s="28">
        <v>0.4975124378109454</v>
      </c>
      <c r="AQ144" s="28">
        <v>0.1044776119402985</v>
      </c>
      <c r="AR144" s="28">
        <v>0</v>
      </c>
      <c r="AS144" s="25">
        <v>0.82</v>
      </c>
      <c r="AT144" s="25">
        <v>3.44</v>
      </c>
      <c r="AU144" s="25">
        <v>2.62</v>
      </c>
      <c r="AV144" s="25">
        <v>2.5228823529411768</v>
      </c>
      <c r="AW144">
        <v>2.5228823529411768</v>
      </c>
      <c r="AX144">
        <v>5.6932629430588237</v>
      </c>
      <c r="AY144" s="75"/>
      <c r="AZ144" s="75"/>
      <c r="BA144" s="75"/>
      <c r="BB144">
        <v>4.5786640408619038E-2</v>
      </c>
      <c r="BF144">
        <v>9.1573280817238076E-2</v>
      </c>
      <c r="BG144">
        <v>4.5786640408619038E-2</v>
      </c>
      <c r="BH144">
        <v>0</v>
      </c>
      <c r="BI144" s="79" t="s">
        <v>1264</v>
      </c>
      <c r="BJ144" s="79">
        <f t="shared" si="17"/>
        <v>1323</v>
      </c>
      <c r="BK144" s="79">
        <v>48</v>
      </c>
      <c r="BM144" s="79" t="s">
        <v>464</v>
      </c>
      <c r="BN144" s="79" t="s">
        <v>464</v>
      </c>
      <c r="BO144" s="79">
        <v>0</v>
      </c>
      <c r="BQ144" s="79">
        <v>2</v>
      </c>
      <c r="BR144" s="79">
        <v>0</v>
      </c>
      <c r="BS144" s="79" t="s">
        <v>464</v>
      </c>
      <c r="BT144" s="79" t="s">
        <v>464</v>
      </c>
      <c r="BU144" s="79" t="s">
        <v>1266</v>
      </c>
      <c r="BV144" s="79">
        <v>1000</v>
      </c>
      <c r="BW144" s="79">
        <v>300</v>
      </c>
      <c r="BX144" s="79" t="s">
        <v>1311</v>
      </c>
      <c r="BY144" s="79">
        <v>298</v>
      </c>
      <c r="BZ144" s="81">
        <v>6.27</v>
      </c>
      <c r="CA144">
        <f t="shared" si="15"/>
        <v>1.8357763546448294</v>
      </c>
    </row>
    <row r="145" spans="1:79" x14ac:dyDescent="0.3">
      <c r="A145" s="2" t="s">
        <v>81</v>
      </c>
      <c r="B145" s="17" t="s">
        <v>907</v>
      </c>
      <c r="C145" s="13"/>
      <c r="D145" s="2">
        <v>2.93</v>
      </c>
      <c r="E145" s="2" t="s">
        <v>80</v>
      </c>
      <c r="F145" s="32" t="s">
        <v>549</v>
      </c>
      <c r="G145">
        <v>-1</v>
      </c>
      <c r="I145" s="2">
        <v>2</v>
      </c>
      <c r="J145" s="25">
        <v>0</v>
      </c>
      <c r="K145">
        <v>0</v>
      </c>
      <c r="L145">
        <v>0</v>
      </c>
      <c r="M145" s="2">
        <v>3.8660000000000001</v>
      </c>
      <c r="N145" s="2">
        <v>3.8660000000000001</v>
      </c>
      <c r="O145" s="2">
        <v>29.145</v>
      </c>
      <c r="P145" s="2"/>
      <c r="Q145" s="2"/>
      <c r="R145" s="25">
        <v>0</v>
      </c>
      <c r="S145" s="25"/>
      <c r="T145" s="25"/>
      <c r="U145">
        <v>0</v>
      </c>
      <c r="X145">
        <v>0</v>
      </c>
      <c r="AA145" s="2">
        <v>3</v>
      </c>
      <c r="AB145">
        <v>20</v>
      </c>
      <c r="AC145" s="55">
        <f t="shared" si="11"/>
        <v>435.59988762</v>
      </c>
      <c r="AD145" s="57">
        <v>0</v>
      </c>
      <c r="AE145" s="55">
        <v>0</v>
      </c>
      <c r="AF145" s="55">
        <v>0</v>
      </c>
      <c r="AG145" s="52">
        <f t="shared" ref="AG145:AG150" si="18">I145*AB145/AC145</f>
        <v>9.1827388245091582E-2</v>
      </c>
      <c r="AH145" s="51"/>
      <c r="AI145" s="52"/>
      <c r="AJ145" s="52"/>
      <c r="AK145" s="28">
        <v>1.882352941176471</v>
      </c>
      <c r="AL145" s="28">
        <v>2.3529411764705879</v>
      </c>
      <c r="AM145" s="28">
        <v>0.51764705882352946</v>
      </c>
      <c r="AN145" s="28">
        <v>0</v>
      </c>
      <c r="AO145" s="28">
        <v>0.39603960396039611</v>
      </c>
      <c r="AP145" s="28">
        <v>0.49504950495049499</v>
      </c>
      <c r="AQ145" s="28">
        <v>0.1089108910891089</v>
      </c>
      <c r="AR145" s="28">
        <v>0</v>
      </c>
      <c r="AS145" s="25">
        <v>0.82</v>
      </c>
      <c r="AT145" s="25">
        <v>3.44</v>
      </c>
      <c r="AU145" s="25">
        <v>2.62</v>
      </c>
      <c r="AV145" s="25">
        <v>2.5245882352941171</v>
      </c>
      <c r="AW145">
        <v>2.524588235294118</v>
      </c>
      <c r="AX145">
        <v>5.6966512943529413</v>
      </c>
      <c r="AY145" s="75"/>
      <c r="AZ145" s="75"/>
      <c r="BA145" s="75"/>
      <c r="BB145">
        <v>4.5913694122545791E-2</v>
      </c>
      <c r="BF145">
        <v>9.1827388245091582E-2</v>
      </c>
      <c r="BG145">
        <v>4.5913694122545791E-2</v>
      </c>
      <c r="BH145">
        <v>0</v>
      </c>
      <c r="BI145" s="79" t="s">
        <v>1264</v>
      </c>
      <c r="BJ145" s="79">
        <f t="shared" si="17"/>
        <v>1323</v>
      </c>
      <c r="BK145" s="79">
        <v>48</v>
      </c>
      <c r="BM145" s="79" t="s">
        <v>464</v>
      </c>
      <c r="BN145" s="79" t="s">
        <v>464</v>
      </c>
      <c r="BO145" s="79">
        <v>0</v>
      </c>
      <c r="BQ145" s="79">
        <v>2</v>
      </c>
      <c r="BR145" s="79">
        <v>0</v>
      </c>
      <c r="BS145" s="79" t="s">
        <v>464</v>
      </c>
      <c r="BT145" s="79" t="s">
        <v>464</v>
      </c>
      <c r="BU145" s="79" t="s">
        <v>1266</v>
      </c>
      <c r="BV145" s="79">
        <v>1000</v>
      </c>
      <c r="BW145" s="79">
        <v>300</v>
      </c>
      <c r="BX145" s="79" t="s">
        <v>1311</v>
      </c>
      <c r="BY145" s="79">
        <v>298</v>
      </c>
      <c r="BZ145" s="81">
        <v>22.5</v>
      </c>
      <c r="CA145">
        <f t="shared" si="15"/>
        <v>3.1135153092103742</v>
      </c>
    </row>
    <row r="146" spans="1:79" x14ac:dyDescent="0.3">
      <c r="A146" s="2" t="s">
        <v>82</v>
      </c>
      <c r="B146" s="17" t="s">
        <v>908</v>
      </c>
      <c r="C146" s="13"/>
      <c r="D146" s="2">
        <v>2.69</v>
      </c>
      <c r="E146" s="2" t="s">
        <v>80</v>
      </c>
      <c r="F146" s="32" t="s">
        <v>549</v>
      </c>
      <c r="G146">
        <v>-1</v>
      </c>
      <c r="I146" s="2">
        <v>2</v>
      </c>
      <c r="J146" s="25">
        <v>0</v>
      </c>
      <c r="K146">
        <v>0</v>
      </c>
      <c r="L146">
        <v>0</v>
      </c>
      <c r="M146" s="2">
        <v>3.871</v>
      </c>
      <c r="N146" s="2">
        <v>3.871</v>
      </c>
      <c r="O146" s="2">
        <v>29.241</v>
      </c>
      <c r="P146" s="2"/>
      <c r="Q146" s="2"/>
      <c r="R146" s="25">
        <v>0</v>
      </c>
      <c r="S146" s="25"/>
      <c r="T146" s="25"/>
      <c r="U146">
        <v>0</v>
      </c>
      <c r="X146">
        <v>0</v>
      </c>
      <c r="AA146" s="2">
        <v>3</v>
      </c>
      <c r="AB146">
        <v>20</v>
      </c>
      <c r="AC146" s="55">
        <f t="shared" si="11"/>
        <v>438.16588748099997</v>
      </c>
      <c r="AD146" s="57">
        <v>0</v>
      </c>
      <c r="AE146" s="55">
        <v>0</v>
      </c>
      <c r="AF146" s="55">
        <v>0</v>
      </c>
      <c r="AG146" s="52">
        <f t="shared" si="18"/>
        <v>9.1289626013468489E-2</v>
      </c>
      <c r="AH146" s="51"/>
      <c r="AI146" s="52"/>
      <c r="AJ146" s="52"/>
      <c r="AK146" s="28">
        <v>1.882352941176471</v>
      </c>
      <c r="AL146" s="28">
        <v>2.3529411764705879</v>
      </c>
      <c r="AM146" s="28">
        <v>0.54117647058823526</v>
      </c>
      <c r="AN146" s="28">
        <v>0</v>
      </c>
      <c r="AO146" s="28">
        <v>0.39408866995073888</v>
      </c>
      <c r="AP146" s="28">
        <v>0.49261083743842371</v>
      </c>
      <c r="AQ146" s="28">
        <v>0.1133004926108374</v>
      </c>
      <c r="AR146" s="28">
        <v>0</v>
      </c>
      <c r="AS146" s="25">
        <v>0.82</v>
      </c>
      <c r="AT146" s="25">
        <v>3.44</v>
      </c>
      <c r="AU146" s="25">
        <v>2.62</v>
      </c>
      <c r="AV146" s="25">
        <v>2.5262941176470588</v>
      </c>
      <c r="AW146">
        <v>2.5262941176470588</v>
      </c>
      <c r="AX146">
        <v>5.7000396456470588</v>
      </c>
      <c r="AY146" s="75"/>
      <c r="AZ146" s="75"/>
      <c r="BA146" s="75"/>
      <c r="BB146">
        <v>4.5644813006734238E-2</v>
      </c>
      <c r="BF146">
        <v>9.1289626013468489E-2</v>
      </c>
      <c r="BG146">
        <v>4.5644813006734238E-2</v>
      </c>
      <c r="BH146">
        <v>0</v>
      </c>
      <c r="BI146" s="79" t="s">
        <v>1264</v>
      </c>
      <c r="BJ146" s="79">
        <f t="shared" si="17"/>
        <v>1323</v>
      </c>
      <c r="BK146" s="79">
        <v>48</v>
      </c>
      <c r="BM146" s="79" t="s">
        <v>464</v>
      </c>
      <c r="BN146" s="79" t="s">
        <v>464</v>
      </c>
      <c r="BO146" s="79">
        <v>0</v>
      </c>
      <c r="BQ146" s="79">
        <v>2</v>
      </c>
      <c r="BR146" s="79">
        <v>0</v>
      </c>
      <c r="BS146" s="79" t="s">
        <v>464</v>
      </c>
      <c r="BT146" s="79" t="s">
        <v>464</v>
      </c>
      <c r="BU146" s="79" t="s">
        <v>1266</v>
      </c>
      <c r="BV146" s="79">
        <v>1000</v>
      </c>
      <c r="BW146" s="79">
        <v>300</v>
      </c>
      <c r="BX146" s="79" t="s">
        <v>1311</v>
      </c>
      <c r="BY146" s="79">
        <v>298</v>
      </c>
      <c r="BZ146" s="81">
        <v>8.75</v>
      </c>
      <c r="CA146">
        <f t="shared" si="15"/>
        <v>2.1690537003695232</v>
      </c>
    </row>
    <row r="147" spans="1:79" x14ac:dyDescent="0.3">
      <c r="A147" s="2" t="s">
        <v>83</v>
      </c>
      <c r="B147" s="17" t="s">
        <v>909</v>
      </c>
      <c r="C147" s="13"/>
      <c r="D147" s="2">
        <v>2.4300000000000002</v>
      </c>
      <c r="E147" s="2" t="s">
        <v>80</v>
      </c>
      <c r="F147" s="32" t="s">
        <v>549</v>
      </c>
      <c r="G147">
        <v>-1</v>
      </c>
      <c r="I147" s="2">
        <v>2</v>
      </c>
      <c r="J147" s="25">
        <v>0</v>
      </c>
      <c r="K147">
        <v>0</v>
      </c>
      <c r="L147">
        <v>0</v>
      </c>
      <c r="M147" s="2">
        <v>3.8740000000000001</v>
      </c>
      <c r="N147" s="2">
        <v>3.8740000000000001</v>
      </c>
      <c r="O147" s="2">
        <v>32.945999999999998</v>
      </c>
      <c r="P147" s="2"/>
      <c r="Q147" s="2"/>
      <c r="R147" s="25">
        <v>0</v>
      </c>
      <c r="S147" s="25"/>
      <c r="T147" s="25"/>
      <c r="U147">
        <v>0</v>
      </c>
      <c r="X147">
        <v>0</v>
      </c>
      <c r="AA147" s="2">
        <v>3</v>
      </c>
      <c r="AB147">
        <v>20</v>
      </c>
      <c r="AC147" s="55">
        <f t="shared" si="11"/>
        <v>494.44948269600002</v>
      </c>
      <c r="AD147" s="57">
        <v>0</v>
      </c>
      <c r="AE147" s="55">
        <v>0</v>
      </c>
      <c r="AF147" s="55">
        <v>0</v>
      </c>
      <c r="AG147" s="52">
        <f t="shared" si="18"/>
        <v>8.0898052075813381E-2</v>
      </c>
      <c r="AH147" s="51"/>
      <c r="AI147" s="52"/>
      <c r="AJ147" s="52"/>
      <c r="AK147" s="28">
        <v>1.882352941176471</v>
      </c>
      <c r="AL147" s="28">
        <v>2.3529411764705879</v>
      </c>
      <c r="AM147" s="28">
        <v>0.56470588235294128</v>
      </c>
      <c r="AN147" s="28">
        <v>0</v>
      </c>
      <c r="AO147" s="28">
        <v>0.39215686274509798</v>
      </c>
      <c r="AP147" s="28">
        <v>0.49019607843137247</v>
      </c>
      <c r="AQ147" s="28">
        <v>0.1176470588235294</v>
      </c>
      <c r="AR147" s="28">
        <v>0</v>
      </c>
      <c r="AS147" s="25">
        <v>0.82</v>
      </c>
      <c r="AT147" s="25">
        <v>3.44</v>
      </c>
      <c r="AU147" s="25">
        <v>2.62</v>
      </c>
      <c r="AV147" s="25">
        <v>2.528</v>
      </c>
      <c r="AW147">
        <v>2.528</v>
      </c>
      <c r="AX147">
        <v>5.7034279969411772</v>
      </c>
      <c r="AY147" s="75"/>
      <c r="AZ147" s="75"/>
      <c r="BA147" s="75"/>
      <c r="BB147">
        <v>4.0449026037906691E-2</v>
      </c>
      <c r="BF147">
        <v>8.0898052075813381E-2</v>
      </c>
      <c r="BG147">
        <v>4.0449026037906691E-2</v>
      </c>
      <c r="BH147">
        <v>0</v>
      </c>
      <c r="BI147" s="79" t="s">
        <v>1264</v>
      </c>
      <c r="BJ147" s="79">
        <f t="shared" si="17"/>
        <v>1323</v>
      </c>
      <c r="BK147" s="79">
        <v>48</v>
      </c>
      <c r="BM147" s="79" t="s">
        <v>464</v>
      </c>
      <c r="BN147" s="79" t="s">
        <v>464</v>
      </c>
      <c r="BO147" s="79">
        <v>0</v>
      </c>
      <c r="BQ147" s="79">
        <v>2</v>
      </c>
      <c r="BR147" s="79">
        <v>0</v>
      </c>
      <c r="BS147" s="79" t="s">
        <v>464</v>
      </c>
      <c r="BT147" s="79" t="s">
        <v>464</v>
      </c>
      <c r="BU147" s="79" t="s">
        <v>1266</v>
      </c>
      <c r="BV147" s="79">
        <v>1000</v>
      </c>
      <c r="BW147" s="79">
        <v>300</v>
      </c>
      <c r="BX147" s="79" t="s">
        <v>1311</v>
      </c>
      <c r="BY147" s="79">
        <v>298</v>
      </c>
      <c r="BZ147" s="81">
        <v>1.25</v>
      </c>
      <c r="CA147">
        <f t="shared" si="15"/>
        <v>0.22314355131420976</v>
      </c>
    </row>
    <row r="148" spans="1:79" x14ac:dyDescent="0.3">
      <c r="A148" s="5" t="s">
        <v>84</v>
      </c>
      <c r="B148" s="17" t="s">
        <v>910</v>
      </c>
      <c r="C148" s="13"/>
      <c r="D148" s="2">
        <v>2.41</v>
      </c>
      <c r="E148" s="2" t="s">
        <v>80</v>
      </c>
      <c r="F148" s="32" t="s">
        <v>549</v>
      </c>
      <c r="G148">
        <v>-1</v>
      </c>
      <c r="I148" s="2">
        <v>2</v>
      </c>
      <c r="J148" s="25">
        <v>0</v>
      </c>
      <c r="K148">
        <v>0</v>
      </c>
      <c r="L148">
        <v>0</v>
      </c>
      <c r="M148" s="2">
        <v>3.8759999999999999</v>
      </c>
      <c r="N148" s="2">
        <v>3.8759999999999999</v>
      </c>
      <c r="O148" s="2">
        <f>AVERAGE(O144:O147)</f>
        <v>30.143249999999998</v>
      </c>
      <c r="P148" s="2"/>
      <c r="Q148" s="2"/>
      <c r="R148" s="25">
        <v>0</v>
      </c>
      <c r="S148" s="25"/>
      <c r="T148" s="25"/>
      <c r="U148">
        <v>0</v>
      </c>
      <c r="X148">
        <v>0</v>
      </c>
      <c r="AA148" s="2">
        <v>3</v>
      </c>
      <c r="AB148">
        <v>20</v>
      </c>
      <c r="AC148" s="55">
        <f t="shared" si="11"/>
        <v>452.85337861199991</v>
      </c>
      <c r="AD148" s="57">
        <v>0</v>
      </c>
      <c r="AE148" s="55">
        <v>0</v>
      </c>
      <c r="AF148" s="55">
        <v>0</v>
      </c>
      <c r="AG148" s="52">
        <f t="shared" si="18"/>
        <v>8.8328809917683285E-2</v>
      </c>
      <c r="AH148" s="51"/>
      <c r="AI148" s="52"/>
      <c r="AJ148" s="52"/>
      <c r="AK148" s="28">
        <v>1.882352941176471</v>
      </c>
      <c r="AL148" s="28">
        <v>2.3529411764705879</v>
      </c>
      <c r="AM148" s="28">
        <v>0.58823529411764708</v>
      </c>
      <c r="AN148" s="28">
        <v>0</v>
      </c>
      <c r="AO148" s="28">
        <v>0.3902439024390244</v>
      </c>
      <c r="AP148" s="28">
        <v>0.48780487804878048</v>
      </c>
      <c r="AQ148" s="28">
        <v>0.12195121951219511</v>
      </c>
      <c r="AR148" s="28">
        <v>0</v>
      </c>
      <c r="AS148" s="25">
        <v>0.82</v>
      </c>
      <c r="AT148" s="25">
        <v>3.44</v>
      </c>
      <c r="AU148" s="25">
        <v>2.62</v>
      </c>
      <c r="AV148" s="25">
        <v>2.5297058823529408</v>
      </c>
      <c r="AW148">
        <v>2.5297058823529408</v>
      </c>
      <c r="AX148">
        <v>5.7068163482352947</v>
      </c>
      <c r="AY148" s="75"/>
      <c r="AZ148" s="75"/>
      <c r="BA148" s="75"/>
      <c r="BB148">
        <v>4.4164404958841642E-2</v>
      </c>
      <c r="BF148">
        <v>8.8328809917683285E-2</v>
      </c>
      <c r="BG148">
        <v>4.4164404958841642E-2</v>
      </c>
      <c r="BH148">
        <v>0</v>
      </c>
      <c r="BI148" s="79" t="s">
        <v>1264</v>
      </c>
      <c r="BJ148" s="79">
        <f t="shared" si="17"/>
        <v>1323</v>
      </c>
      <c r="BK148" s="79">
        <v>48</v>
      </c>
      <c r="BM148" s="79" t="s">
        <v>464</v>
      </c>
      <c r="BN148" s="79" t="s">
        <v>464</v>
      </c>
      <c r="BO148" s="79">
        <v>0</v>
      </c>
      <c r="BQ148" s="79">
        <v>2</v>
      </c>
      <c r="BR148" s="79">
        <v>0</v>
      </c>
      <c r="BS148" s="79" t="s">
        <v>464</v>
      </c>
      <c r="BT148" s="79" t="s">
        <v>464</v>
      </c>
      <c r="BU148" s="79" t="s">
        <v>1266</v>
      </c>
      <c r="BV148" s="79">
        <v>1000</v>
      </c>
      <c r="BW148" s="79">
        <v>300</v>
      </c>
      <c r="BX148" s="79" t="s">
        <v>1311</v>
      </c>
      <c r="BY148" s="79">
        <v>298</v>
      </c>
      <c r="BZ148" s="81">
        <v>0</v>
      </c>
      <c r="CA148" t="e">
        <f t="shared" si="15"/>
        <v>#NUM!</v>
      </c>
    </row>
    <row r="149" spans="1:79" x14ac:dyDescent="0.3">
      <c r="A149" s="2" t="s">
        <v>85</v>
      </c>
      <c r="B149" s="17" t="s">
        <v>911</v>
      </c>
      <c r="C149" s="13"/>
      <c r="D149" s="2">
        <v>3.06</v>
      </c>
      <c r="E149" s="2" t="s">
        <v>80</v>
      </c>
      <c r="F149" s="32" t="s">
        <v>549</v>
      </c>
      <c r="G149">
        <v>-1</v>
      </c>
      <c r="I149" s="2">
        <v>2</v>
      </c>
      <c r="J149" s="25">
        <v>0</v>
      </c>
      <c r="K149">
        <v>0</v>
      </c>
      <c r="L149">
        <v>0</v>
      </c>
      <c r="M149" s="2">
        <v>3.8660000000000001</v>
      </c>
      <c r="N149" s="2">
        <v>3.8660000000000001</v>
      </c>
      <c r="O149" s="2">
        <v>29.114000000000001</v>
      </c>
      <c r="P149" s="2"/>
      <c r="Q149" s="2"/>
      <c r="R149" s="25">
        <v>0</v>
      </c>
      <c r="S149" s="25"/>
      <c r="T149" s="25"/>
      <c r="U149">
        <v>0</v>
      </c>
      <c r="X149">
        <v>0</v>
      </c>
      <c r="AA149" s="2">
        <v>3</v>
      </c>
      <c r="AB149">
        <v>20</v>
      </c>
      <c r="AC149" s="55">
        <f t="shared" si="11"/>
        <v>435.13656298400002</v>
      </c>
      <c r="AD149" s="57">
        <v>0</v>
      </c>
      <c r="AE149" s="55">
        <v>0</v>
      </c>
      <c r="AF149" s="55">
        <v>0</v>
      </c>
      <c r="AG149" s="52">
        <f t="shared" si="18"/>
        <v>9.1925164196029197E-2</v>
      </c>
      <c r="AH149" s="51"/>
      <c r="AI149" s="52"/>
      <c r="AJ149" s="52"/>
      <c r="AK149" s="28">
        <v>1.882352941176471</v>
      </c>
      <c r="AL149" s="28">
        <v>2.3529411764705879</v>
      </c>
      <c r="AM149" s="28">
        <v>0.49411764705882361</v>
      </c>
      <c r="AN149" s="28">
        <v>0.1647058823529412</v>
      </c>
      <c r="AO149" s="28">
        <v>0.38461538461538458</v>
      </c>
      <c r="AP149" s="28">
        <v>0.48076923076923073</v>
      </c>
      <c r="AQ149" s="28">
        <v>0.10096153846153851</v>
      </c>
      <c r="AR149" s="28">
        <v>3.3653846153846159E-2</v>
      </c>
      <c r="AS149" s="25">
        <v>0.82</v>
      </c>
      <c r="AT149" s="25">
        <v>3.44</v>
      </c>
      <c r="AU149" s="25">
        <v>2.62</v>
      </c>
      <c r="AV149" s="25">
        <v>2.530823529411764</v>
      </c>
      <c r="AW149">
        <v>2.5308235294117649</v>
      </c>
      <c r="AX149">
        <v>5.7003253741176483</v>
      </c>
      <c r="AY149" s="75"/>
      <c r="AZ149" s="75"/>
      <c r="BA149" s="75"/>
      <c r="BB149">
        <v>4.5962582098014598E-2</v>
      </c>
      <c r="BF149">
        <v>9.1925164196029197E-2</v>
      </c>
      <c r="BG149">
        <v>4.5962582098014598E-2</v>
      </c>
      <c r="BH149">
        <v>0</v>
      </c>
      <c r="BI149" s="79" t="s">
        <v>1264</v>
      </c>
      <c r="BJ149" s="79">
        <f t="shared" si="17"/>
        <v>1323</v>
      </c>
      <c r="BK149" s="79">
        <v>48</v>
      </c>
      <c r="BM149" s="79" t="s">
        <v>464</v>
      </c>
      <c r="BN149" s="79" t="s">
        <v>464</v>
      </c>
      <c r="BO149" s="79">
        <v>0</v>
      </c>
      <c r="BQ149" s="79">
        <v>2</v>
      </c>
      <c r="BR149" s="79">
        <v>0</v>
      </c>
      <c r="BS149" s="79" t="s">
        <v>464</v>
      </c>
      <c r="BT149" s="79" t="s">
        <v>464</v>
      </c>
      <c r="BU149" s="79" t="s">
        <v>1266</v>
      </c>
      <c r="BV149" s="79">
        <v>1000</v>
      </c>
      <c r="BW149" s="79">
        <v>300</v>
      </c>
      <c r="BX149" s="79" t="s">
        <v>1311</v>
      </c>
      <c r="BY149" s="79">
        <v>298</v>
      </c>
      <c r="BZ149" s="81">
        <v>10</v>
      </c>
      <c r="CA149">
        <f t="shared" si="15"/>
        <v>2.3025850929940459</v>
      </c>
    </row>
    <row r="150" spans="1:79" x14ac:dyDescent="0.3">
      <c r="A150" s="2" t="s">
        <v>86</v>
      </c>
      <c r="B150" s="17" t="s">
        <v>912</v>
      </c>
      <c r="C150" s="13"/>
      <c r="D150" s="2">
        <v>2.12</v>
      </c>
      <c r="E150" s="2" t="s">
        <v>80</v>
      </c>
      <c r="F150" s="32" t="s">
        <v>549</v>
      </c>
      <c r="G150">
        <v>-1</v>
      </c>
      <c r="I150" s="2">
        <v>2</v>
      </c>
      <c r="J150" s="25">
        <v>0</v>
      </c>
      <c r="K150">
        <v>0</v>
      </c>
      <c r="L150">
        <v>0</v>
      </c>
      <c r="M150" s="2">
        <v>3.8570000000000002</v>
      </c>
      <c r="N150" s="2">
        <v>3.8570000000000002</v>
      </c>
      <c r="O150" s="2">
        <v>29.533999999999999</v>
      </c>
      <c r="P150" s="2"/>
      <c r="Q150" s="2"/>
      <c r="R150" s="25">
        <v>0</v>
      </c>
      <c r="S150" s="25"/>
      <c r="T150" s="25"/>
      <c r="U150">
        <v>0</v>
      </c>
      <c r="X150">
        <v>0</v>
      </c>
      <c r="AA150" s="2">
        <v>3</v>
      </c>
      <c r="AB150">
        <v>20</v>
      </c>
      <c r="AC150" s="55">
        <f t="shared" si="11"/>
        <v>439.36104476600002</v>
      </c>
      <c r="AD150" s="57">
        <v>0</v>
      </c>
      <c r="AE150" s="55">
        <v>0</v>
      </c>
      <c r="AF150" s="55">
        <v>0</v>
      </c>
      <c r="AG150" s="52">
        <f t="shared" si="18"/>
        <v>9.1041298441248156E-2</v>
      </c>
      <c r="AH150" s="51"/>
      <c r="AI150" s="52"/>
      <c r="AJ150" s="52"/>
      <c r="AK150" s="28">
        <v>1.882352941176471</v>
      </c>
      <c r="AL150" s="28">
        <v>2.3529411764705879</v>
      </c>
      <c r="AM150" s="28">
        <v>0.54117647058823526</v>
      </c>
      <c r="AN150" s="28">
        <v>0</v>
      </c>
      <c r="AO150" s="28">
        <v>0.39408866995073888</v>
      </c>
      <c r="AP150" s="28">
        <v>0.49261083743842371</v>
      </c>
      <c r="AQ150" s="28">
        <v>0.1133004926108374</v>
      </c>
      <c r="AR150" s="28">
        <v>0</v>
      </c>
      <c r="AS150" s="25">
        <v>0.82</v>
      </c>
      <c r="AT150" s="25">
        <v>3.44</v>
      </c>
      <c r="AU150" s="25">
        <v>2.62</v>
      </c>
      <c r="AV150" s="25">
        <v>2.525529411764706</v>
      </c>
      <c r="AW150">
        <v>2.525529411764706</v>
      </c>
      <c r="AX150">
        <v>5.7010120870588246</v>
      </c>
      <c r="AY150" s="75"/>
      <c r="AZ150" s="75"/>
      <c r="BA150" s="75"/>
      <c r="BB150">
        <v>4.5520649220624078E-2</v>
      </c>
      <c r="BF150">
        <v>9.1041298441248156E-2</v>
      </c>
      <c r="BG150">
        <v>4.5520649220624078E-2</v>
      </c>
      <c r="BH150">
        <v>0</v>
      </c>
      <c r="BI150" s="79" t="s">
        <v>1264</v>
      </c>
      <c r="BJ150" s="79">
        <f t="shared" si="17"/>
        <v>1323</v>
      </c>
      <c r="BK150" s="79">
        <v>48</v>
      </c>
      <c r="BM150" s="79" t="s">
        <v>464</v>
      </c>
      <c r="BN150" s="79" t="s">
        <v>464</v>
      </c>
      <c r="BO150" s="79">
        <v>0</v>
      </c>
      <c r="BQ150" s="79">
        <v>2</v>
      </c>
      <c r="BR150" s="79">
        <v>0</v>
      </c>
      <c r="BS150" s="79" t="s">
        <v>464</v>
      </c>
      <c r="BT150" s="79" t="s">
        <v>464</v>
      </c>
      <c r="BU150" s="79" t="s">
        <v>1266</v>
      </c>
      <c r="BV150" s="79">
        <v>1000</v>
      </c>
      <c r="BW150" s="79">
        <v>300</v>
      </c>
      <c r="BX150" s="79" t="s">
        <v>1311</v>
      </c>
      <c r="BY150" s="79">
        <v>298</v>
      </c>
      <c r="BZ150" s="81">
        <v>2</v>
      </c>
      <c r="CA150">
        <f t="shared" si="15"/>
        <v>0.69314718055994529</v>
      </c>
    </row>
    <row r="151" spans="1:79" x14ac:dyDescent="0.3">
      <c r="A151" s="2" t="s">
        <v>44</v>
      </c>
      <c r="B151" s="13" t="s">
        <v>720</v>
      </c>
      <c r="C151" s="13"/>
      <c r="D151" s="2">
        <v>3.78</v>
      </c>
      <c r="E151" s="2" t="s">
        <v>80</v>
      </c>
      <c r="F151" s="9" t="s">
        <v>549</v>
      </c>
      <c r="G151">
        <v>-1</v>
      </c>
      <c r="I151" s="2"/>
      <c r="J151" s="25">
        <v>1</v>
      </c>
      <c r="K151">
        <v>0</v>
      </c>
      <c r="L151">
        <v>0</v>
      </c>
      <c r="M151" s="2">
        <v>3.859</v>
      </c>
      <c r="N151" s="2">
        <v>3.859</v>
      </c>
      <c r="O151" s="2">
        <v>29.047999999999998</v>
      </c>
      <c r="P151" s="2" t="s">
        <v>440</v>
      </c>
      <c r="Q151" s="2"/>
      <c r="R151" s="25">
        <v>15.28115725</v>
      </c>
      <c r="S151" s="25">
        <v>15.28115725</v>
      </c>
      <c r="T151" s="25">
        <v>15.28115725</v>
      </c>
      <c r="U151">
        <v>0</v>
      </c>
      <c r="X151">
        <v>0</v>
      </c>
      <c r="AA151" s="2">
        <v>3</v>
      </c>
      <c r="AB151">
        <v>20</v>
      </c>
      <c r="AC151" s="55">
        <f t="shared" ref="AC151:AC158" si="19">M151*N151*O151</f>
        <v>432.57935928799998</v>
      </c>
      <c r="AD151" s="57">
        <v>229.90248606119221</v>
      </c>
      <c r="AE151" s="55">
        <v>0</v>
      </c>
      <c r="AF151" s="55">
        <v>0</v>
      </c>
      <c r="AG151" s="52"/>
      <c r="AH151" s="51">
        <v>8.6993404650164072E-2</v>
      </c>
      <c r="AI151" s="52"/>
      <c r="AJ151" s="52"/>
      <c r="AK151" s="28">
        <v>1.882352941176471</v>
      </c>
      <c r="AL151" s="28">
        <v>2.3529411764705879</v>
      </c>
      <c r="AM151" s="28">
        <v>0.47058823529411759</v>
      </c>
      <c r="AN151" s="28">
        <v>0</v>
      </c>
      <c r="AO151" s="28">
        <v>0.4</v>
      </c>
      <c r="AP151" s="28">
        <v>0.5</v>
      </c>
      <c r="AQ151" s="28">
        <v>9.9999999999999992E-2</v>
      </c>
      <c r="AR151" s="28">
        <v>0</v>
      </c>
      <c r="AS151" s="25">
        <v>0.82</v>
      </c>
      <c r="AT151" s="25">
        <v>3.44</v>
      </c>
      <c r="AU151" s="25">
        <v>2.62</v>
      </c>
      <c r="AV151" s="25">
        <v>2.5211764705882351</v>
      </c>
      <c r="AW151">
        <v>2.521176470588236</v>
      </c>
      <c r="AX151">
        <v>5.6898745917647062</v>
      </c>
      <c r="AY151" s="75">
        <v>0.57369840599679445</v>
      </c>
      <c r="AZ151" s="75"/>
      <c r="BA151" s="75"/>
      <c r="BC151">
        <v>4.3496702325082043E-2</v>
      </c>
      <c r="BF151">
        <v>8.6993404650164072E-2</v>
      </c>
      <c r="BG151">
        <v>4.3496702325082043E-2</v>
      </c>
      <c r="BH151">
        <v>0.57369840599679445</v>
      </c>
      <c r="BI151" s="79" t="s">
        <v>1264</v>
      </c>
      <c r="BJ151" s="79">
        <f t="shared" si="17"/>
        <v>1323</v>
      </c>
      <c r="BK151" s="79">
        <v>48</v>
      </c>
      <c r="BM151" s="79" t="s">
        <v>464</v>
      </c>
      <c r="BN151" s="79" t="s">
        <v>464</v>
      </c>
      <c r="BO151" s="79">
        <v>0</v>
      </c>
      <c r="BQ151" s="79">
        <v>2</v>
      </c>
      <c r="BR151" s="79">
        <v>0</v>
      </c>
      <c r="BS151" s="79" t="s">
        <v>464</v>
      </c>
      <c r="BT151" s="79" t="s">
        <v>464</v>
      </c>
      <c r="BU151" s="79" t="s">
        <v>1271</v>
      </c>
      <c r="BV151" s="79">
        <v>500</v>
      </c>
      <c r="BW151" s="79">
        <v>300</v>
      </c>
      <c r="BX151" s="79" t="s">
        <v>1311</v>
      </c>
      <c r="BY151" s="79">
        <v>298</v>
      </c>
      <c r="BZ151" s="81">
        <v>0</v>
      </c>
      <c r="CA151" t="e">
        <f t="shared" si="15"/>
        <v>#NUM!</v>
      </c>
    </row>
    <row r="152" spans="1:79" x14ac:dyDescent="0.3">
      <c r="A152" s="2" t="s">
        <v>79</v>
      </c>
      <c r="B152" s="17" t="s">
        <v>906</v>
      </c>
      <c r="C152" s="13"/>
      <c r="D152" s="2">
        <v>3.2</v>
      </c>
      <c r="E152" s="2" t="s">
        <v>80</v>
      </c>
      <c r="F152" s="32" t="s">
        <v>549</v>
      </c>
      <c r="G152">
        <v>-1</v>
      </c>
      <c r="I152" s="2">
        <v>2</v>
      </c>
      <c r="J152" s="25">
        <v>0</v>
      </c>
      <c r="K152">
        <v>0</v>
      </c>
      <c r="L152">
        <v>0</v>
      </c>
      <c r="M152" s="2">
        <v>3.8650000000000002</v>
      </c>
      <c r="N152" s="2">
        <v>3.8650000000000002</v>
      </c>
      <c r="O152" s="2">
        <v>29.241</v>
      </c>
      <c r="R152" s="25">
        <v>0</v>
      </c>
      <c r="S152" s="25"/>
      <c r="T152" s="25"/>
      <c r="U152">
        <v>0</v>
      </c>
      <c r="X152">
        <v>0</v>
      </c>
      <c r="AA152" s="2">
        <v>3</v>
      </c>
      <c r="AB152">
        <v>20</v>
      </c>
      <c r="AC152" s="55">
        <f t="shared" si="19"/>
        <v>436.80863722500004</v>
      </c>
      <c r="AD152" s="57">
        <v>0</v>
      </c>
      <c r="AE152" s="55">
        <v>0</v>
      </c>
      <c r="AF152" s="55">
        <v>0</v>
      </c>
      <c r="AG152" s="52">
        <f>I152*AB152/AC152</f>
        <v>9.1573280817238076E-2</v>
      </c>
      <c r="AH152" s="51"/>
      <c r="AI152" s="52"/>
      <c r="AJ152" s="52"/>
      <c r="AK152" s="28">
        <v>1.882352941176471</v>
      </c>
      <c r="AL152" s="28">
        <v>2.3529411764705879</v>
      </c>
      <c r="AM152" s="28">
        <v>0.49411764705882361</v>
      </c>
      <c r="AN152" s="28">
        <v>0</v>
      </c>
      <c r="AO152" s="28">
        <v>0.39800995024875629</v>
      </c>
      <c r="AP152" s="28">
        <v>0.4975124378109454</v>
      </c>
      <c r="AQ152" s="28">
        <v>0.1044776119402985</v>
      </c>
      <c r="AR152" s="28">
        <v>0</v>
      </c>
      <c r="AS152" s="25">
        <v>0.82</v>
      </c>
      <c r="AT152" s="25">
        <v>3.44</v>
      </c>
      <c r="AU152" s="25">
        <v>2.62</v>
      </c>
      <c r="AV152" s="25">
        <v>2.5228823529411768</v>
      </c>
      <c r="AW152">
        <v>2.5228823529411768</v>
      </c>
      <c r="AX152">
        <v>5.6932629430588237</v>
      </c>
      <c r="AY152" s="75"/>
      <c r="AZ152" s="75"/>
      <c r="BA152" s="75"/>
      <c r="BB152">
        <v>4.5786640408619038E-2</v>
      </c>
      <c r="BF152">
        <v>9.1573280817238076E-2</v>
      </c>
      <c r="BG152">
        <v>4.5786640408619038E-2</v>
      </c>
      <c r="BH152">
        <v>0</v>
      </c>
      <c r="BI152" s="79" t="s">
        <v>1264</v>
      </c>
      <c r="BJ152" s="79">
        <f t="shared" si="17"/>
        <v>1323</v>
      </c>
      <c r="BK152" s="79">
        <v>48</v>
      </c>
      <c r="BM152" s="79" t="s">
        <v>464</v>
      </c>
      <c r="BN152" s="79" t="s">
        <v>464</v>
      </c>
      <c r="BO152" s="79">
        <v>0</v>
      </c>
      <c r="BQ152" s="79">
        <v>2</v>
      </c>
      <c r="BR152" s="79">
        <v>0</v>
      </c>
      <c r="BS152" s="79" t="s">
        <v>464</v>
      </c>
      <c r="BT152" s="79" t="s">
        <v>464</v>
      </c>
      <c r="BU152" s="79" t="s">
        <v>1271</v>
      </c>
      <c r="BV152" s="79">
        <v>500</v>
      </c>
      <c r="BW152" s="79">
        <v>300</v>
      </c>
      <c r="BX152" s="79" t="s">
        <v>1311</v>
      </c>
      <c r="BY152" s="79">
        <v>298</v>
      </c>
      <c r="BZ152" s="81">
        <v>0</v>
      </c>
      <c r="CA152" t="e">
        <f t="shared" si="15"/>
        <v>#NUM!</v>
      </c>
    </row>
    <row r="153" spans="1:79" x14ac:dyDescent="0.3">
      <c r="A153" s="2" t="s">
        <v>81</v>
      </c>
      <c r="B153" s="17" t="s">
        <v>907</v>
      </c>
      <c r="C153" s="13"/>
      <c r="D153" s="2">
        <v>2.93</v>
      </c>
      <c r="E153" s="2" t="s">
        <v>80</v>
      </c>
      <c r="F153" s="32" t="s">
        <v>549</v>
      </c>
      <c r="G153">
        <v>-1</v>
      </c>
      <c r="I153" s="2">
        <v>2</v>
      </c>
      <c r="J153" s="25">
        <v>0</v>
      </c>
      <c r="K153">
        <v>0</v>
      </c>
      <c r="L153">
        <v>0</v>
      </c>
      <c r="M153" s="2">
        <v>3.8660000000000001</v>
      </c>
      <c r="N153" s="2">
        <v>3.8660000000000001</v>
      </c>
      <c r="O153" s="2">
        <v>29.145</v>
      </c>
      <c r="P153" s="2"/>
      <c r="Q153" s="2"/>
      <c r="R153" s="25">
        <v>0</v>
      </c>
      <c r="S153" s="25"/>
      <c r="T153" s="25"/>
      <c r="U153">
        <v>0</v>
      </c>
      <c r="X153">
        <v>0</v>
      </c>
      <c r="AA153" s="2">
        <v>3</v>
      </c>
      <c r="AB153">
        <v>20</v>
      </c>
      <c r="AC153" s="55">
        <f t="shared" si="19"/>
        <v>435.59988762</v>
      </c>
      <c r="AD153" s="57">
        <v>0</v>
      </c>
      <c r="AE153" s="55">
        <v>0</v>
      </c>
      <c r="AF153" s="55">
        <v>0</v>
      </c>
      <c r="AG153" s="52">
        <f t="shared" ref="AG153:AG158" si="20">I153*AB153/AC153</f>
        <v>9.1827388245091582E-2</v>
      </c>
      <c r="AH153" s="51"/>
      <c r="AI153" s="52"/>
      <c r="AJ153" s="52"/>
      <c r="AK153" s="28">
        <v>1.882352941176471</v>
      </c>
      <c r="AL153" s="28">
        <v>2.3529411764705879</v>
      </c>
      <c r="AM153" s="28">
        <v>0.51764705882352946</v>
      </c>
      <c r="AN153" s="28">
        <v>0</v>
      </c>
      <c r="AO153" s="28">
        <v>0.39603960396039611</v>
      </c>
      <c r="AP153" s="28">
        <v>0.49504950495049499</v>
      </c>
      <c r="AQ153" s="28">
        <v>0.1089108910891089</v>
      </c>
      <c r="AR153" s="28">
        <v>0</v>
      </c>
      <c r="AS153" s="25">
        <v>0.82</v>
      </c>
      <c r="AT153" s="25">
        <v>3.44</v>
      </c>
      <c r="AU153" s="25">
        <v>2.62</v>
      </c>
      <c r="AV153" s="25">
        <v>2.5245882352941171</v>
      </c>
      <c r="AW153">
        <v>2.524588235294118</v>
      </c>
      <c r="AX153">
        <v>5.6966512943529413</v>
      </c>
      <c r="AY153" s="75"/>
      <c r="AZ153" s="75"/>
      <c r="BA153" s="75"/>
      <c r="BB153">
        <v>4.5913694122545791E-2</v>
      </c>
      <c r="BF153">
        <v>9.1827388245091582E-2</v>
      </c>
      <c r="BG153">
        <v>4.5913694122545791E-2</v>
      </c>
      <c r="BH153">
        <v>0</v>
      </c>
      <c r="BI153" s="79" t="s">
        <v>1264</v>
      </c>
      <c r="BJ153" s="79">
        <f t="shared" si="17"/>
        <v>1323</v>
      </c>
      <c r="BK153" s="79">
        <v>48</v>
      </c>
      <c r="BM153" s="79" t="s">
        <v>464</v>
      </c>
      <c r="BN153" s="79" t="s">
        <v>464</v>
      </c>
      <c r="BO153" s="79">
        <v>0</v>
      </c>
      <c r="BQ153" s="79">
        <v>2</v>
      </c>
      <c r="BR153" s="79">
        <v>0</v>
      </c>
      <c r="BS153" s="79" t="s">
        <v>464</v>
      </c>
      <c r="BT153" s="79" t="s">
        <v>464</v>
      </c>
      <c r="BU153" s="79" t="s">
        <v>1271</v>
      </c>
      <c r="BV153" s="79">
        <v>500</v>
      </c>
      <c r="BW153" s="79">
        <v>300</v>
      </c>
      <c r="BX153" s="79" t="s">
        <v>1311</v>
      </c>
      <c r="BY153" s="79">
        <v>298</v>
      </c>
      <c r="BZ153" s="81">
        <v>0.26250000000000001</v>
      </c>
      <c r="CA153">
        <f t="shared" si="15"/>
        <v>-1.3375041969504586</v>
      </c>
    </row>
    <row r="154" spans="1:79" x14ac:dyDescent="0.3">
      <c r="A154" s="2" t="s">
        <v>82</v>
      </c>
      <c r="B154" s="17" t="s">
        <v>908</v>
      </c>
      <c r="C154" s="13"/>
      <c r="D154" s="2">
        <v>2.69</v>
      </c>
      <c r="E154" s="2" t="s">
        <v>80</v>
      </c>
      <c r="F154" s="32" t="s">
        <v>549</v>
      </c>
      <c r="G154">
        <v>-1</v>
      </c>
      <c r="I154" s="2">
        <v>2</v>
      </c>
      <c r="J154" s="25">
        <v>0</v>
      </c>
      <c r="K154">
        <v>0</v>
      </c>
      <c r="L154">
        <v>0</v>
      </c>
      <c r="M154" s="2">
        <v>3.871</v>
      </c>
      <c r="N154" s="2">
        <v>3.871</v>
      </c>
      <c r="O154" s="2">
        <v>29.241</v>
      </c>
      <c r="P154" s="2"/>
      <c r="Q154" s="2"/>
      <c r="R154" s="25">
        <v>0</v>
      </c>
      <c r="S154" s="25"/>
      <c r="T154" s="25"/>
      <c r="U154">
        <v>0</v>
      </c>
      <c r="X154">
        <v>0</v>
      </c>
      <c r="AA154" s="2">
        <v>3</v>
      </c>
      <c r="AB154">
        <v>20</v>
      </c>
      <c r="AC154" s="55">
        <f t="shared" si="19"/>
        <v>438.16588748099997</v>
      </c>
      <c r="AD154" s="57">
        <v>0</v>
      </c>
      <c r="AE154" s="55">
        <v>0</v>
      </c>
      <c r="AF154" s="55">
        <v>0</v>
      </c>
      <c r="AG154" s="52">
        <f t="shared" si="20"/>
        <v>9.1289626013468489E-2</v>
      </c>
      <c r="AH154" s="51"/>
      <c r="AI154" s="52"/>
      <c r="AJ154" s="52"/>
      <c r="AK154" s="28">
        <v>1.882352941176471</v>
      </c>
      <c r="AL154" s="28">
        <v>2.3529411764705879</v>
      </c>
      <c r="AM154" s="28">
        <v>0.54117647058823526</v>
      </c>
      <c r="AN154" s="28">
        <v>0</v>
      </c>
      <c r="AO154" s="28">
        <v>0.39408866995073888</v>
      </c>
      <c r="AP154" s="28">
        <v>0.49261083743842371</v>
      </c>
      <c r="AQ154" s="28">
        <v>0.1133004926108374</v>
      </c>
      <c r="AR154" s="28">
        <v>0</v>
      </c>
      <c r="AS154" s="25">
        <v>0.82</v>
      </c>
      <c r="AT154" s="25">
        <v>3.44</v>
      </c>
      <c r="AU154" s="25">
        <v>2.62</v>
      </c>
      <c r="AV154" s="25">
        <v>2.5262941176470588</v>
      </c>
      <c r="AW154">
        <v>2.5262941176470588</v>
      </c>
      <c r="AX154">
        <v>5.7000396456470588</v>
      </c>
      <c r="AY154" s="75"/>
      <c r="AZ154" s="75"/>
      <c r="BA154" s="75"/>
      <c r="BB154">
        <v>4.5644813006734238E-2</v>
      </c>
      <c r="BF154">
        <v>9.1289626013468489E-2</v>
      </c>
      <c r="BG154">
        <v>4.5644813006734238E-2</v>
      </c>
      <c r="BH154">
        <v>0</v>
      </c>
      <c r="BI154" s="79" t="s">
        <v>1264</v>
      </c>
      <c r="BJ154" s="79">
        <f t="shared" si="17"/>
        <v>1323</v>
      </c>
      <c r="BK154" s="79">
        <v>48</v>
      </c>
      <c r="BM154" s="79" t="s">
        <v>464</v>
      </c>
      <c r="BN154" s="79" t="s">
        <v>464</v>
      </c>
      <c r="BO154" s="79">
        <v>0</v>
      </c>
      <c r="BQ154" s="79">
        <v>2</v>
      </c>
      <c r="BR154" s="79">
        <v>0</v>
      </c>
      <c r="BS154" s="79" t="s">
        <v>464</v>
      </c>
      <c r="BT154" s="79" t="s">
        <v>464</v>
      </c>
      <c r="BU154" s="79" t="s">
        <v>1271</v>
      </c>
      <c r="BV154" s="79">
        <v>500</v>
      </c>
      <c r="BW154" s="79">
        <v>300</v>
      </c>
      <c r="BX154" s="79" t="s">
        <v>1311</v>
      </c>
      <c r="BY154" s="79">
        <v>298</v>
      </c>
      <c r="BZ154" s="81">
        <v>9.375E-2</v>
      </c>
      <c r="CA154">
        <f t="shared" si="15"/>
        <v>-2.367123614131617</v>
      </c>
    </row>
    <row r="155" spans="1:79" x14ac:dyDescent="0.3">
      <c r="A155" s="2" t="s">
        <v>83</v>
      </c>
      <c r="B155" s="17" t="s">
        <v>909</v>
      </c>
      <c r="C155" s="13"/>
      <c r="D155" s="2">
        <v>2.4300000000000002</v>
      </c>
      <c r="E155" s="2" t="s">
        <v>80</v>
      </c>
      <c r="F155" s="32" t="s">
        <v>549</v>
      </c>
      <c r="G155">
        <v>-1</v>
      </c>
      <c r="I155" s="2">
        <v>2</v>
      </c>
      <c r="J155" s="25">
        <v>0</v>
      </c>
      <c r="K155">
        <v>0</v>
      </c>
      <c r="L155">
        <v>0</v>
      </c>
      <c r="M155" s="2">
        <v>3.8740000000000001</v>
      </c>
      <c r="N155" s="2">
        <v>3.8740000000000001</v>
      </c>
      <c r="O155" s="2">
        <v>32.945999999999998</v>
      </c>
      <c r="P155" s="2"/>
      <c r="Q155" s="2"/>
      <c r="R155" s="25">
        <v>0</v>
      </c>
      <c r="S155" s="25"/>
      <c r="T155" s="25"/>
      <c r="U155">
        <v>0</v>
      </c>
      <c r="X155">
        <v>0</v>
      </c>
      <c r="AA155" s="2">
        <v>3</v>
      </c>
      <c r="AB155">
        <v>20</v>
      </c>
      <c r="AC155" s="55">
        <f t="shared" si="19"/>
        <v>494.44948269600002</v>
      </c>
      <c r="AD155" s="57">
        <v>0</v>
      </c>
      <c r="AE155" s="55">
        <v>0</v>
      </c>
      <c r="AF155" s="55">
        <v>0</v>
      </c>
      <c r="AG155" s="52">
        <f t="shared" si="20"/>
        <v>8.0898052075813381E-2</v>
      </c>
      <c r="AH155" s="51"/>
      <c r="AI155" s="52"/>
      <c r="AJ155" s="52"/>
      <c r="AK155" s="28">
        <v>1.882352941176471</v>
      </c>
      <c r="AL155" s="28">
        <v>2.3529411764705879</v>
      </c>
      <c r="AM155" s="28">
        <v>0.56470588235294128</v>
      </c>
      <c r="AN155" s="28">
        <v>0</v>
      </c>
      <c r="AO155" s="28">
        <v>0.39215686274509798</v>
      </c>
      <c r="AP155" s="28">
        <v>0.49019607843137247</v>
      </c>
      <c r="AQ155" s="28">
        <v>0.1176470588235294</v>
      </c>
      <c r="AR155" s="28">
        <v>0</v>
      </c>
      <c r="AS155" s="25">
        <v>0.82</v>
      </c>
      <c r="AT155" s="25">
        <v>3.44</v>
      </c>
      <c r="AU155" s="25">
        <v>2.62</v>
      </c>
      <c r="AV155" s="25">
        <v>2.528</v>
      </c>
      <c r="AW155">
        <v>2.528</v>
      </c>
      <c r="AX155">
        <v>5.7034279969411772</v>
      </c>
      <c r="AY155" s="75"/>
      <c r="AZ155" s="75"/>
      <c r="BA155" s="75"/>
      <c r="BB155">
        <v>4.0449026037906691E-2</v>
      </c>
      <c r="BF155">
        <v>8.0898052075813381E-2</v>
      </c>
      <c r="BG155">
        <v>4.0449026037906691E-2</v>
      </c>
      <c r="BH155">
        <v>0</v>
      </c>
      <c r="BI155" s="79" t="s">
        <v>1264</v>
      </c>
      <c r="BJ155" s="79">
        <f t="shared" si="17"/>
        <v>1323</v>
      </c>
      <c r="BK155" s="79">
        <v>48</v>
      </c>
      <c r="BM155" s="79" t="s">
        <v>464</v>
      </c>
      <c r="BN155" s="79" t="s">
        <v>464</v>
      </c>
      <c r="BO155" s="79">
        <v>0</v>
      </c>
      <c r="BQ155" s="79">
        <v>2</v>
      </c>
      <c r="BR155" s="79">
        <v>0</v>
      </c>
      <c r="BS155" s="79" t="s">
        <v>464</v>
      </c>
      <c r="BT155" s="79" t="s">
        <v>464</v>
      </c>
      <c r="BU155" s="79" t="s">
        <v>1271</v>
      </c>
      <c r="BV155" s="79">
        <v>500</v>
      </c>
      <c r="BW155" s="79">
        <v>300</v>
      </c>
      <c r="BX155" s="79" t="s">
        <v>1311</v>
      </c>
      <c r="BY155" s="79">
        <v>298</v>
      </c>
      <c r="BZ155" s="81">
        <v>0</v>
      </c>
      <c r="CA155" t="e">
        <f t="shared" si="15"/>
        <v>#NUM!</v>
      </c>
    </row>
    <row r="156" spans="1:79" x14ac:dyDescent="0.3">
      <c r="A156" s="5" t="s">
        <v>84</v>
      </c>
      <c r="B156" s="17" t="s">
        <v>910</v>
      </c>
      <c r="C156" s="13"/>
      <c r="D156" s="2">
        <v>2.41</v>
      </c>
      <c r="E156" s="2" t="s">
        <v>80</v>
      </c>
      <c r="F156" s="32" t="s">
        <v>549</v>
      </c>
      <c r="G156">
        <v>-1</v>
      </c>
      <c r="I156" s="2">
        <v>2</v>
      </c>
      <c r="J156" s="25">
        <v>0</v>
      </c>
      <c r="K156">
        <v>0</v>
      </c>
      <c r="L156">
        <v>0</v>
      </c>
      <c r="M156" s="2">
        <v>3.8759999999999999</v>
      </c>
      <c r="N156" s="2">
        <v>3.8759999999999999</v>
      </c>
      <c r="O156" s="2">
        <f>AVERAGE(O152:O155)</f>
        <v>30.143249999999998</v>
      </c>
      <c r="P156" s="2"/>
      <c r="Q156" s="2"/>
      <c r="R156" s="25">
        <v>0</v>
      </c>
      <c r="S156" s="25"/>
      <c r="T156" s="25"/>
      <c r="U156">
        <v>0</v>
      </c>
      <c r="X156">
        <v>0</v>
      </c>
      <c r="AA156" s="2">
        <v>3</v>
      </c>
      <c r="AB156">
        <v>20</v>
      </c>
      <c r="AC156" s="55">
        <f t="shared" si="19"/>
        <v>452.85337861199991</v>
      </c>
      <c r="AD156" s="57">
        <v>0</v>
      </c>
      <c r="AE156" s="55">
        <v>0</v>
      </c>
      <c r="AF156" s="55">
        <v>0</v>
      </c>
      <c r="AG156" s="52">
        <f t="shared" si="20"/>
        <v>8.8328809917683285E-2</v>
      </c>
      <c r="AH156" s="51"/>
      <c r="AI156" s="52"/>
      <c r="AJ156" s="52"/>
      <c r="AK156" s="28">
        <v>1.882352941176471</v>
      </c>
      <c r="AL156" s="28">
        <v>2.3529411764705879</v>
      </c>
      <c r="AM156" s="28">
        <v>0.58823529411764708</v>
      </c>
      <c r="AN156" s="28">
        <v>0</v>
      </c>
      <c r="AO156" s="28">
        <v>0.3902439024390244</v>
      </c>
      <c r="AP156" s="28">
        <v>0.48780487804878048</v>
      </c>
      <c r="AQ156" s="28">
        <v>0.12195121951219511</v>
      </c>
      <c r="AR156" s="28">
        <v>0</v>
      </c>
      <c r="AS156" s="25">
        <v>0.82</v>
      </c>
      <c r="AT156" s="25">
        <v>3.44</v>
      </c>
      <c r="AU156" s="25">
        <v>2.62</v>
      </c>
      <c r="AV156" s="25">
        <v>2.5297058823529408</v>
      </c>
      <c r="AW156">
        <v>2.5297058823529408</v>
      </c>
      <c r="AX156">
        <v>5.7068163482352947</v>
      </c>
      <c r="AY156" s="75"/>
      <c r="AZ156" s="75"/>
      <c r="BA156" s="75"/>
      <c r="BB156">
        <v>4.4164404958841642E-2</v>
      </c>
      <c r="BF156">
        <v>8.8328809917683285E-2</v>
      </c>
      <c r="BG156">
        <v>4.4164404958841642E-2</v>
      </c>
      <c r="BH156">
        <v>0</v>
      </c>
      <c r="BI156" s="79" t="s">
        <v>1264</v>
      </c>
      <c r="BJ156" s="79">
        <f t="shared" si="17"/>
        <v>1323</v>
      </c>
      <c r="BK156" s="79">
        <v>48</v>
      </c>
      <c r="BM156" s="79" t="s">
        <v>464</v>
      </c>
      <c r="BN156" s="79" t="s">
        <v>464</v>
      </c>
      <c r="BO156" s="79">
        <v>0</v>
      </c>
      <c r="BQ156" s="79">
        <v>2</v>
      </c>
      <c r="BR156" s="79">
        <v>0</v>
      </c>
      <c r="BS156" s="79" t="s">
        <v>464</v>
      </c>
      <c r="BT156" s="79" t="s">
        <v>464</v>
      </c>
      <c r="BU156" s="79" t="s">
        <v>1271</v>
      </c>
      <c r="BV156" s="79">
        <v>500</v>
      </c>
      <c r="BW156" s="79">
        <v>300</v>
      </c>
      <c r="BX156" s="79" t="s">
        <v>1311</v>
      </c>
      <c r="BY156" s="79">
        <v>298</v>
      </c>
      <c r="BZ156" s="81">
        <v>0</v>
      </c>
      <c r="CA156" t="e">
        <f t="shared" si="15"/>
        <v>#NUM!</v>
      </c>
    </row>
    <row r="157" spans="1:79" x14ac:dyDescent="0.3">
      <c r="A157" s="2" t="s">
        <v>85</v>
      </c>
      <c r="B157" s="17" t="s">
        <v>911</v>
      </c>
      <c r="C157" s="13"/>
      <c r="D157" s="2">
        <v>3.06</v>
      </c>
      <c r="E157" s="2" t="s">
        <v>80</v>
      </c>
      <c r="F157" s="32" t="s">
        <v>549</v>
      </c>
      <c r="G157">
        <v>-1</v>
      </c>
      <c r="I157" s="2">
        <v>2</v>
      </c>
      <c r="J157" s="25">
        <v>0</v>
      </c>
      <c r="K157">
        <v>0</v>
      </c>
      <c r="L157">
        <v>0</v>
      </c>
      <c r="M157" s="2">
        <v>3.8660000000000001</v>
      </c>
      <c r="N157" s="2">
        <v>3.8660000000000001</v>
      </c>
      <c r="O157" s="2">
        <v>29.114000000000001</v>
      </c>
      <c r="P157" s="2"/>
      <c r="Q157" s="2"/>
      <c r="R157" s="25">
        <v>0</v>
      </c>
      <c r="S157" s="25"/>
      <c r="T157" s="25"/>
      <c r="U157">
        <v>0</v>
      </c>
      <c r="X157">
        <v>0</v>
      </c>
      <c r="AA157" s="2">
        <v>3</v>
      </c>
      <c r="AB157">
        <v>20</v>
      </c>
      <c r="AC157" s="55">
        <f t="shared" si="19"/>
        <v>435.13656298400002</v>
      </c>
      <c r="AD157" s="57">
        <v>0</v>
      </c>
      <c r="AE157" s="55">
        <v>0</v>
      </c>
      <c r="AF157" s="55">
        <v>0</v>
      </c>
      <c r="AG157" s="52">
        <f t="shared" si="20"/>
        <v>9.1925164196029197E-2</v>
      </c>
      <c r="AH157" s="51"/>
      <c r="AI157" s="52"/>
      <c r="AJ157" s="52"/>
      <c r="AK157" s="28">
        <v>1.882352941176471</v>
      </c>
      <c r="AL157" s="28">
        <v>2.3529411764705879</v>
      </c>
      <c r="AM157" s="28">
        <v>0.49411764705882361</v>
      </c>
      <c r="AN157" s="28">
        <v>0.1647058823529412</v>
      </c>
      <c r="AO157" s="28">
        <v>0.38461538461538458</v>
      </c>
      <c r="AP157" s="28">
        <v>0.48076923076923073</v>
      </c>
      <c r="AQ157" s="28">
        <v>0.10096153846153851</v>
      </c>
      <c r="AR157" s="28">
        <v>3.3653846153846159E-2</v>
      </c>
      <c r="AS157" s="25">
        <v>0.82</v>
      </c>
      <c r="AT157" s="25">
        <v>3.44</v>
      </c>
      <c r="AU157" s="25">
        <v>2.62</v>
      </c>
      <c r="AV157" s="25">
        <v>2.530823529411764</v>
      </c>
      <c r="AW157">
        <v>2.5308235294117649</v>
      </c>
      <c r="AX157">
        <v>5.7003253741176483</v>
      </c>
      <c r="AY157" s="75"/>
      <c r="AZ157" s="75"/>
      <c r="BA157" s="75"/>
      <c r="BB157">
        <v>4.5962582098014598E-2</v>
      </c>
      <c r="BF157">
        <v>9.1925164196029197E-2</v>
      </c>
      <c r="BG157">
        <v>4.5962582098014598E-2</v>
      </c>
      <c r="BH157">
        <v>0</v>
      </c>
      <c r="BI157" s="79" t="s">
        <v>1264</v>
      </c>
      <c r="BJ157" s="79">
        <f t="shared" si="17"/>
        <v>1323</v>
      </c>
      <c r="BK157" s="79">
        <v>48</v>
      </c>
      <c r="BM157" s="79" t="s">
        <v>464</v>
      </c>
      <c r="BN157" s="79" t="s">
        <v>464</v>
      </c>
      <c r="BO157" s="79">
        <v>0</v>
      </c>
      <c r="BQ157" s="79">
        <v>2</v>
      </c>
      <c r="BR157" s="79">
        <v>0</v>
      </c>
      <c r="BS157" s="79" t="s">
        <v>464</v>
      </c>
      <c r="BT157" s="79" t="s">
        <v>464</v>
      </c>
      <c r="BU157" s="79" t="s">
        <v>1271</v>
      </c>
      <c r="BV157" s="79">
        <v>500</v>
      </c>
      <c r="BW157" s="79">
        <v>300</v>
      </c>
      <c r="BX157" s="79" t="s">
        <v>1311</v>
      </c>
      <c r="BY157" s="79">
        <v>298</v>
      </c>
      <c r="BZ157" s="81">
        <v>6.25E-2</v>
      </c>
      <c r="CA157">
        <f t="shared" si="15"/>
        <v>-2.7725887222397811</v>
      </c>
    </row>
    <row r="158" spans="1:79" x14ac:dyDescent="0.3">
      <c r="A158" s="2" t="s">
        <v>86</v>
      </c>
      <c r="B158" s="17" t="s">
        <v>912</v>
      </c>
      <c r="C158" s="13"/>
      <c r="D158" s="2">
        <v>2.12</v>
      </c>
      <c r="E158" s="2" t="s">
        <v>80</v>
      </c>
      <c r="F158" s="32" t="s">
        <v>549</v>
      </c>
      <c r="G158">
        <v>-1</v>
      </c>
      <c r="I158" s="2">
        <v>2</v>
      </c>
      <c r="J158" s="25">
        <v>0</v>
      </c>
      <c r="K158">
        <v>0</v>
      </c>
      <c r="L158">
        <v>0</v>
      </c>
      <c r="M158" s="2">
        <v>3.8570000000000002</v>
      </c>
      <c r="N158" s="2">
        <v>3.8570000000000002</v>
      </c>
      <c r="O158" s="2">
        <v>29.533999999999999</v>
      </c>
      <c r="P158" s="2"/>
      <c r="Q158" s="2"/>
      <c r="R158" s="25">
        <v>0</v>
      </c>
      <c r="S158" s="25"/>
      <c r="T158" s="25"/>
      <c r="U158">
        <v>0</v>
      </c>
      <c r="X158">
        <v>0</v>
      </c>
      <c r="AA158" s="2">
        <v>3</v>
      </c>
      <c r="AB158">
        <v>20</v>
      </c>
      <c r="AC158" s="55">
        <f t="shared" si="19"/>
        <v>439.36104476600002</v>
      </c>
      <c r="AD158" s="57">
        <v>0</v>
      </c>
      <c r="AE158" s="55">
        <v>0</v>
      </c>
      <c r="AF158" s="55">
        <v>0</v>
      </c>
      <c r="AG158" s="52">
        <f t="shared" si="20"/>
        <v>9.1041298441248156E-2</v>
      </c>
      <c r="AH158" s="51"/>
      <c r="AI158" s="52"/>
      <c r="AJ158" s="52"/>
      <c r="AK158" s="28">
        <v>1.882352941176471</v>
      </c>
      <c r="AL158" s="28">
        <v>2.3529411764705879</v>
      </c>
      <c r="AM158" s="28">
        <v>0.54117647058823526</v>
      </c>
      <c r="AN158" s="28">
        <v>0</v>
      </c>
      <c r="AO158" s="28">
        <v>0.39408866995073888</v>
      </c>
      <c r="AP158" s="28">
        <v>0.49261083743842371</v>
      </c>
      <c r="AQ158" s="28">
        <v>0.1133004926108374</v>
      </c>
      <c r="AR158" s="28">
        <v>0</v>
      </c>
      <c r="AS158" s="25">
        <v>0.82</v>
      </c>
      <c r="AT158" s="25">
        <v>3.44</v>
      </c>
      <c r="AU158" s="25">
        <v>2.62</v>
      </c>
      <c r="AV158" s="25">
        <v>2.525529411764706</v>
      </c>
      <c r="AW158">
        <v>2.525529411764706</v>
      </c>
      <c r="AX158">
        <v>5.7010120870588246</v>
      </c>
      <c r="AY158" s="75"/>
      <c r="AZ158" s="75"/>
      <c r="BA158" s="75"/>
      <c r="BB158">
        <v>4.5520649220624078E-2</v>
      </c>
      <c r="BF158">
        <v>9.1041298441248156E-2</v>
      </c>
      <c r="BG158">
        <v>4.5520649220624078E-2</v>
      </c>
      <c r="BH158">
        <v>0</v>
      </c>
      <c r="BI158" s="79" t="s">
        <v>1264</v>
      </c>
      <c r="BJ158" s="79">
        <f t="shared" si="17"/>
        <v>1323</v>
      </c>
      <c r="BK158" s="79">
        <v>48</v>
      </c>
      <c r="BM158" s="79" t="s">
        <v>464</v>
      </c>
      <c r="BN158" s="79" t="s">
        <v>464</v>
      </c>
      <c r="BO158" s="79">
        <v>0</v>
      </c>
      <c r="BQ158" s="79">
        <v>2</v>
      </c>
      <c r="BR158" s="79">
        <v>0</v>
      </c>
      <c r="BS158" s="79" t="s">
        <v>464</v>
      </c>
      <c r="BT158" s="79" t="s">
        <v>464</v>
      </c>
      <c r="BU158" s="79" t="s">
        <v>1271</v>
      </c>
      <c r="BV158" s="79">
        <v>500</v>
      </c>
      <c r="BW158" s="79">
        <v>300</v>
      </c>
      <c r="BX158" s="79" t="s">
        <v>1311</v>
      </c>
      <c r="BY158" s="79">
        <v>298</v>
      </c>
      <c r="BZ158" s="81">
        <v>1.2500000000000001E-2</v>
      </c>
      <c r="CA158">
        <f t="shared" si="15"/>
        <v>-4.3820266346738812</v>
      </c>
    </row>
    <row r="159" spans="1:79" x14ac:dyDescent="0.3">
      <c r="A159" s="2" t="s">
        <v>87</v>
      </c>
      <c r="B159" s="17" t="s">
        <v>743</v>
      </c>
      <c r="C159" s="13"/>
      <c r="D159" s="2">
        <v>3.9</v>
      </c>
      <c r="E159" s="2" t="s">
        <v>89</v>
      </c>
      <c r="F159" s="9">
        <v>-1</v>
      </c>
      <c r="G159">
        <v>-1</v>
      </c>
      <c r="H159" t="s">
        <v>1162</v>
      </c>
      <c r="I159" s="2"/>
      <c r="J159" s="25">
        <v>0</v>
      </c>
      <c r="K159">
        <v>0</v>
      </c>
      <c r="L159">
        <v>2</v>
      </c>
      <c r="M159" s="2">
        <v>3.9037999999999999</v>
      </c>
      <c r="N159" s="2">
        <v>3.9037999999999999</v>
      </c>
      <c r="O159" s="2">
        <v>9.7742000000000004</v>
      </c>
      <c r="P159" s="2" t="s">
        <v>439</v>
      </c>
      <c r="Q159" s="2"/>
      <c r="R159" s="25">
        <v>0</v>
      </c>
      <c r="S159" s="25"/>
      <c r="T159" s="25"/>
      <c r="U159">
        <v>0</v>
      </c>
      <c r="X159">
        <v>3.93</v>
      </c>
      <c r="Y159">
        <v>3.93</v>
      </c>
      <c r="Z159">
        <v>18.515000000000001</v>
      </c>
      <c r="AA159" s="2">
        <v>3</v>
      </c>
      <c r="AB159">
        <v>14</v>
      </c>
      <c r="AC159" s="55">
        <f t="shared" si="11"/>
        <v>148.95543042744799</v>
      </c>
      <c r="AD159" s="57">
        <v>0</v>
      </c>
      <c r="AE159" s="55">
        <v>0</v>
      </c>
      <c r="AF159" s="55">
        <v>285.96232350000002</v>
      </c>
      <c r="AG159" s="52"/>
      <c r="AH159" s="51"/>
      <c r="AI159" s="52"/>
      <c r="AJ159" s="52">
        <v>9.7914996833490184E-2</v>
      </c>
      <c r="AK159" s="28">
        <v>1.833333333333333</v>
      </c>
      <c r="AL159" s="28">
        <v>2.333333333333333</v>
      </c>
      <c r="AM159" s="28">
        <v>0.5</v>
      </c>
      <c r="AN159" s="28">
        <v>2.333333333333333</v>
      </c>
      <c r="AO159" s="28">
        <v>0.26190476190476192</v>
      </c>
      <c r="AP159" s="28">
        <v>0.33333333333333343</v>
      </c>
      <c r="AQ159" s="28">
        <v>7.1428571428571425E-2</v>
      </c>
      <c r="AR159" s="28">
        <v>0.33333333333333343</v>
      </c>
      <c r="AS159" s="25">
        <v>0.95</v>
      </c>
      <c r="AT159" s="25">
        <v>3.44</v>
      </c>
      <c r="AU159" s="25">
        <v>2.4900000000000002</v>
      </c>
      <c r="AV159" s="25">
        <v>2.7024999999999988</v>
      </c>
      <c r="AW159">
        <v>2.7025000000000001</v>
      </c>
      <c r="AX159">
        <v>6.4896876145585001</v>
      </c>
      <c r="AY159" s="75"/>
      <c r="AZ159" s="75"/>
      <c r="BA159" s="75">
        <v>0.392702013826212</v>
      </c>
      <c r="BE159">
        <v>4.8957498416745092E-2</v>
      </c>
      <c r="BF159">
        <v>9.7914996833490184E-2</v>
      </c>
      <c r="BG159">
        <v>4.8957498416745092E-2</v>
      </c>
      <c r="BH159">
        <v>0.392702013826212</v>
      </c>
      <c r="BI159" s="79" t="s">
        <v>1264</v>
      </c>
      <c r="BJ159" s="79">
        <v>1173</v>
      </c>
      <c r="BK159" s="79">
        <v>24</v>
      </c>
      <c r="BM159" s="79" t="s">
        <v>464</v>
      </c>
      <c r="BN159" s="79" t="s">
        <v>464</v>
      </c>
      <c r="BO159" s="79">
        <v>0</v>
      </c>
      <c r="BP159" s="79">
        <v>4</v>
      </c>
      <c r="BQ159" s="79">
        <v>2.5</v>
      </c>
      <c r="BR159" s="79">
        <v>0</v>
      </c>
      <c r="BS159" s="79" t="s">
        <v>464</v>
      </c>
      <c r="BT159" s="79" t="s">
        <v>464</v>
      </c>
      <c r="BU159" s="79" t="s">
        <v>1266</v>
      </c>
      <c r="BV159" s="79">
        <v>400</v>
      </c>
      <c r="BX159" s="79" t="s">
        <v>1287</v>
      </c>
      <c r="BZ159" s="81">
        <f>2*385</f>
        <v>770</v>
      </c>
      <c r="CA159">
        <f t="shared" si="15"/>
        <v>6.6463905148477291</v>
      </c>
    </row>
    <row r="160" spans="1:79" x14ac:dyDescent="0.3">
      <c r="A160" s="2" t="s">
        <v>88</v>
      </c>
      <c r="B160" s="13" t="s">
        <v>741</v>
      </c>
      <c r="C160" s="13"/>
      <c r="D160" s="2">
        <v>3.9</v>
      </c>
      <c r="E160" s="2" t="s">
        <v>89</v>
      </c>
      <c r="F160" s="9" t="s">
        <v>562</v>
      </c>
      <c r="G160" t="s">
        <v>640</v>
      </c>
      <c r="I160" s="2"/>
      <c r="J160" s="25">
        <v>1</v>
      </c>
      <c r="K160">
        <v>2</v>
      </c>
      <c r="L160">
        <v>0</v>
      </c>
      <c r="M160" s="1">
        <v>3.847</v>
      </c>
      <c r="N160" s="1">
        <v>3.847</v>
      </c>
      <c r="O160" s="1">
        <v>18.109400000000001</v>
      </c>
      <c r="P160" s="1" t="s">
        <v>440</v>
      </c>
      <c r="Q160" s="1"/>
      <c r="R160" s="25">
        <v>3.9407006600000001</v>
      </c>
      <c r="S160" s="25">
        <v>3.94070016</v>
      </c>
      <c r="T160" s="25">
        <v>9.4498532300000004</v>
      </c>
      <c r="U160">
        <v>3.9499</v>
      </c>
      <c r="V160">
        <v>3.9499</v>
      </c>
      <c r="W160">
        <v>18.2</v>
      </c>
      <c r="X160">
        <v>0</v>
      </c>
      <c r="AA160" s="2">
        <v>3</v>
      </c>
      <c r="AB160">
        <v>14</v>
      </c>
      <c r="AC160" s="55">
        <f t="shared" si="11"/>
        <v>268.00841734459999</v>
      </c>
      <c r="AD160" s="57">
        <v>140.22301532111419</v>
      </c>
      <c r="AE160" s="55">
        <v>283.95112218200001</v>
      </c>
      <c r="AF160" s="55">
        <v>0</v>
      </c>
      <c r="AG160" s="52"/>
      <c r="AH160" s="51">
        <v>9.984095669273442E-2</v>
      </c>
      <c r="AI160" s="52">
        <v>9.8608520314468942E-2</v>
      </c>
      <c r="AJ160" s="52"/>
      <c r="AK160" s="28">
        <v>1.833333333333333</v>
      </c>
      <c r="AL160" s="28">
        <v>2.333333333333333</v>
      </c>
      <c r="AM160" s="28">
        <v>0.5</v>
      </c>
      <c r="AN160" s="28">
        <v>2.333333333333333</v>
      </c>
      <c r="AO160" s="28">
        <v>0.26190476190476192</v>
      </c>
      <c r="AP160" s="28">
        <v>0.33333333333333343</v>
      </c>
      <c r="AQ160" s="28">
        <v>7.1428571428571425E-2</v>
      </c>
      <c r="AR160" s="28">
        <v>0.33333333333333343</v>
      </c>
      <c r="AS160" s="25">
        <v>0.95</v>
      </c>
      <c r="AT160" s="25">
        <v>3.44</v>
      </c>
      <c r="AU160" s="25">
        <v>2.4900000000000002</v>
      </c>
      <c r="AV160" s="25">
        <v>2.499166666666667</v>
      </c>
      <c r="AW160">
        <v>2.499166666666667</v>
      </c>
      <c r="AX160">
        <v>5.7944152492500001</v>
      </c>
      <c r="AY160" s="75">
        <v>0.55890272128424257</v>
      </c>
      <c r="AZ160" s="75">
        <v>0.55200362828233795</v>
      </c>
      <c r="BA160" s="75"/>
      <c r="BC160">
        <v>4.9920478346367217E-2</v>
      </c>
      <c r="BD160">
        <v>4.9304260157234471E-2</v>
      </c>
      <c r="BF160">
        <v>9.9224738503601681E-2</v>
      </c>
      <c r="BG160">
        <v>4.9612369251800847E-2</v>
      </c>
      <c r="BH160">
        <v>0.55545317478329026</v>
      </c>
      <c r="BI160" s="79" t="s">
        <v>1264</v>
      </c>
      <c r="BJ160" s="79">
        <v>1523</v>
      </c>
      <c r="BK160" s="79">
        <v>24</v>
      </c>
      <c r="BM160" s="79" t="s">
        <v>464</v>
      </c>
      <c r="BN160" s="79" t="s">
        <v>464</v>
      </c>
      <c r="BO160" s="79">
        <v>0</v>
      </c>
      <c r="BP160" s="79">
        <v>0.2</v>
      </c>
      <c r="BQ160" s="79">
        <v>2.5</v>
      </c>
      <c r="BR160" s="79">
        <v>0</v>
      </c>
      <c r="BS160" s="79" t="s">
        <v>464</v>
      </c>
      <c r="BT160" s="79" t="s">
        <v>464</v>
      </c>
      <c r="BU160" s="79" t="s">
        <v>1266</v>
      </c>
      <c r="BV160" s="79">
        <v>400</v>
      </c>
      <c r="BX160" s="79" t="s">
        <v>1287</v>
      </c>
      <c r="BZ160" s="81">
        <f>14.9*2</f>
        <v>29.8</v>
      </c>
      <c r="CA160">
        <f t="shared" si="15"/>
        <v>3.3945083935113587</v>
      </c>
    </row>
    <row r="161" spans="1:79" x14ac:dyDescent="0.3">
      <c r="A161" s="2" t="s">
        <v>856</v>
      </c>
      <c r="B161" s="17" t="s">
        <v>913</v>
      </c>
      <c r="C161" s="13"/>
      <c r="D161" s="2">
        <v>3.9</v>
      </c>
      <c r="E161" s="2" t="s">
        <v>89</v>
      </c>
      <c r="F161" s="82" t="s">
        <v>1313</v>
      </c>
      <c r="G161">
        <v>-1</v>
      </c>
      <c r="I161" s="2">
        <v>1</v>
      </c>
      <c r="J161" s="25">
        <v>0</v>
      </c>
      <c r="K161">
        <v>0</v>
      </c>
      <c r="L161">
        <v>0</v>
      </c>
      <c r="M161" s="2">
        <v>3.9973999999999998</v>
      </c>
      <c r="N161" s="2">
        <v>3.9973999999999998</v>
      </c>
      <c r="O161" s="2">
        <v>12.132999999999999</v>
      </c>
      <c r="P161" s="2" t="s">
        <v>439</v>
      </c>
      <c r="Q161" s="2"/>
      <c r="R161" s="25">
        <v>0</v>
      </c>
      <c r="S161" s="25"/>
      <c r="T161" s="25"/>
      <c r="U161">
        <v>0</v>
      </c>
      <c r="X161">
        <v>0</v>
      </c>
      <c r="AA161" s="2">
        <v>3</v>
      </c>
      <c r="AB161">
        <v>14</v>
      </c>
      <c r="AC161" s="55">
        <f t="shared" si="11"/>
        <v>193.87571561907995</v>
      </c>
      <c r="AD161" s="57">
        <v>0</v>
      </c>
      <c r="AE161" s="55">
        <v>0</v>
      </c>
      <c r="AF161" s="55">
        <v>0</v>
      </c>
      <c r="AG161" s="52">
        <f t="shared" ref="AG161:AG168" si="21">I161*AB161/AC161</f>
        <v>7.2211209925366296E-2</v>
      </c>
      <c r="AH161" s="51"/>
      <c r="AI161" s="52"/>
      <c r="AJ161" s="52"/>
      <c r="AK161" s="28">
        <v>1.833333333333333</v>
      </c>
      <c r="AL161" s="28">
        <v>2.333333333333333</v>
      </c>
      <c r="AM161" s="28">
        <v>0.5</v>
      </c>
      <c r="AN161" s="28">
        <v>2.333333333333333</v>
      </c>
      <c r="AO161" s="28">
        <v>0.26190476190476192</v>
      </c>
      <c r="AP161" s="28">
        <v>0.33333333333333343</v>
      </c>
      <c r="AQ161" s="28">
        <v>7.1428571428571425E-2</v>
      </c>
      <c r="AR161" s="28">
        <v>0.33333333333333343</v>
      </c>
      <c r="AS161" s="25">
        <v>0.82</v>
      </c>
      <c r="AT161" s="25">
        <v>3.44</v>
      </c>
      <c r="AU161" s="25">
        <v>2.62</v>
      </c>
      <c r="AV161" s="25">
        <v>2.4725000000000001</v>
      </c>
      <c r="AW161">
        <v>2.4725000000000001</v>
      </c>
      <c r="AX161">
        <v>5.697111802916667</v>
      </c>
      <c r="AY161" s="75"/>
      <c r="AZ161" s="75"/>
      <c r="BA161" s="75"/>
      <c r="BB161">
        <v>3.6105604962683148E-2</v>
      </c>
      <c r="BF161">
        <v>7.2211209925366296E-2</v>
      </c>
      <c r="BG161">
        <v>3.6105604962683148E-2</v>
      </c>
      <c r="BH161">
        <v>0</v>
      </c>
      <c r="BI161" s="79" t="s">
        <v>1264</v>
      </c>
      <c r="BJ161" s="79">
        <v>1173</v>
      </c>
      <c r="BK161" s="79">
        <v>24</v>
      </c>
      <c r="BM161" s="79" t="s">
        <v>464</v>
      </c>
      <c r="BN161" s="79" t="s">
        <v>464</v>
      </c>
      <c r="BO161" s="79">
        <v>0</v>
      </c>
      <c r="BP161" s="79">
        <v>1.1000000000000001</v>
      </c>
      <c r="BQ161" s="79">
        <v>2.5</v>
      </c>
      <c r="BR161" s="79">
        <v>0</v>
      </c>
      <c r="BS161" s="79" t="s">
        <v>464</v>
      </c>
      <c r="BT161" s="79" t="s">
        <v>464</v>
      </c>
      <c r="BU161" s="79" t="s">
        <v>1266</v>
      </c>
      <c r="BV161" s="79">
        <v>400</v>
      </c>
      <c r="BX161" s="79" t="s">
        <v>1287</v>
      </c>
      <c r="BZ161" s="81">
        <f>374*2</f>
        <v>748</v>
      </c>
      <c r="CA161">
        <f t="shared" si="15"/>
        <v>6.6174029779744776</v>
      </c>
    </row>
    <row r="162" spans="1:79" x14ac:dyDescent="0.3">
      <c r="A162" s="2" t="s">
        <v>857</v>
      </c>
      <c r="B162" s="17" t="s">
        <v>914</v>
      </c>
      <c r="C162" s="13"/>
      <c r="D162" s="2">
        <v>3.9</v>
      </c>
      <c r="E162" s="2" t="s">
        <v>89</v>
      </c>
      <c r="F162" s="83" t="s">
        <v>1313</v>
      </c>
      <c r="G162">
        <v>-1</v>
      </c>
      <c r="I162" s="2">
        <v>1</v>
      </c>
      <c r="J162" s="25">
        <v>0</v>
      </c>
      <c r="K162">
        <v>0</v>
      </c>
      <c r="L162">
        <v>0</v>
      </c>
      <c r="M162" s="2">
        <v>3.9727000000000001</v>
      </c>
      <c r="N162" s="2">
        <v>3.9727000000000001</v>
      </c>
      <c r="O162" s="2">
        <v>12.763199999999999</v>
      </c>
      <c r="P162" s="2" t="s">
        <v>439</v>
      </c>
      <c r="Q162" s="2"/>
      <c r="R162" s="25">
        <v>0</v>
      </c>
      <c r="S162" s="25"/>
      <c r="T162" s="25"/>
      <c r="U162">
        <v>0</v>
      </c>
      <c r="X162">
        <v>0</v>
      </c>
      <c r="AA162" s="2">
        <v>3</v>
      </c>
      <c r="AB162">
        <v>14</v>
      </c>
      <c r="AC162" s="55">
        <f t="shared" si="11"/>
        <v>201.43322940532801</v>
      </c>
      <c r="AD162" s="57">
        <v>0</v>
      </c>
      <c r="AE162" s="55">
        <v>0</v>
      </c>
      <c r="AF162" s="55">
        <v>0</v>
      </c>
      <c r="AG162" s="52">
        <f t="shared" si="21"/>
        <v>6.9501938887297082E-2</v>
      </c>
      <c r="AH162" s="51"/>
      <c r="AI162" s="52"/>
      <c r="AJ162" s="52"/>
      <c r="AK162" s="28">
        <v>1.833333333333333</v>
      </c>
      <c r="AL162" s="28">
        <v>2.333333333333333</v>
      </c>
      <c r="AM162" s="28">
        <v>0.5</v>
      </c>
      <c r="AN162" s="28">
        <v>2.333333333333333</v>
      </c>
      <c r="AO162" s="28">
        <v>0.26190476190476192</v>
      </c>
      <c r="AP162" s="28">
        <v>0.33333333333333343</v>
      </c>
      <c r="AQ162" s="28">
        <v>7.1428571428571425E-2</v>
      </c>
      <c r="AR162" s="28">
        <v>0.33333333333333343</v>
      </c>
      <c r="AS162" s="25">
        <v>0.82</v>
      </c>
      <c r="AT162" s="25">
        <v>3.44</v>
      </c>
      <c r="AU162" s="25">
        <v>2.62</v>
      </c>
      <c r="AV162" s="25">
        <v>2.4725000000000001</v>
      </c>
      <c r="AW162">
        <v>2.4725000000000001</v>
      </c>
      <c r="AX162">
        <v>5.6821885904166667</v>
      </c>
      <c r="AY162" s="75"/>
      <c r="AZ162" s="75"/>
      <c r="BA162" s="75"/>
      <c r="BB162">
        <v>3.4750969443648541E-2</v>
      </c>
      <c r="BF162">
        <v>6.9501938887297082E-2</v>
      </c>
      <c r="BG162">
        <v>3.4750969443648541E-2</v>
      </c>
      <c r="BH162">
        <v>0</v>
      </c>
      <c r="BI162" s="79" t="s">
        <v>1264</v>
      </c>
      <c r="BJ162" s="79">
        <v>1173</v>
      </c>
      <c r="BK162" s="79">
        <v>24</v>
      </c>
      <c r="BM162" s="79" t="s">
        <v>464</v>
      </c>
      <c r="BN162" s="79" t="s">
        <v>464</v>
      </c>
      <c r="BO162" s="79">
        <v>0</v>
      </c>
      <c r="BP162" s="79">
        <v>1.6</v>
      </c>
      <c r="BQ162" s="79">
        <v>2.5</v>
      </c>
      <c r="BR162" s="79">
        <v>0</v>
      </c>
      <c r="BS162" s="79" t="s">
        <v>464</v>
      </c>
      <c r="BT162" s="79" t="s">
        <v>464</v>
      </c>
      <c r="BU162" s="79" t="s">
        <v>1266</v>
      </c>
      <c r="BV162" s="79">
        <v>400</v>
      </c>
      <c r="BX162" s="79" t="s">
        <v>1287</v>
      </c>
      <c r="BZ162" s="81">
        <f>88*2</f>
        <v>176</v>
      </c>
      <c r="CA162">
        <f t="shared" si="15"/>
        <v>5.1704839950381514</v>
      </c>
    </row>
    <row r="163" spans="1:79" x14ac:dyDescent="0.3">
      <c r="A163" s="2" t="s">
        <v>27</v>
      </c>
      <c r="B163" s="13" t="s">
        <v>742</v>
      </c>
      <c r="C163" s="13"/>
      <c r="D163" s="2">
        <v>3.6</v>
      </c>
      <c r="E163" s="2" t="s">
        <v>89</v>
      </c>
      <c r="F163" s="9" t="s">
        <v>563</v>
      </c>
      <c r="G163" t="s">
        <v>641</v>
      </c>
      <c r="I163" s="2"/>
      <c r="J163" s="25">
        <v>1</v>
      </c>
      <c r="K163">
        <v>1</v>
      </c>
      <c r="L163">
        <v>0</v>
      </c>
      <c r="M163" s="2"/>
      <c r="N163" s="2"/>
      <c r="P163" s="2"/>
      <c r="Q163" s="2"/>
      <c r="R163" s="25">
        <v>3.9948813699999999</v>
      </c>
      <c r="S163" s="25">
        <v>3.9948813699999999</v>
      </c>
      <c r="T163" s="25">
        <v>3.9948813699999999</v>
      </c>
      <c r="U163">
        <v>3.9883000000000002</v>
      </c>
      <c r="V163">
        <v>3.9883000000000002</v>
      </c>
      <c r="W163">
        <v>3.9883000000000002</v>
      </c>
      <c r="X163">
        <v>0</v>
      </c>
      <c r="AA163" s="2"/>
      <c r="AB163">
        <v>6</v>
      </c>
      <c r="AC163" s="55">
        <f t="shared" si="11"/>
        <v>0</v>
      </c>
      <c r="AD163" s="57">
        <v>63.754620030366901</v>
      </c>
      <c r="AE163" s="55">
        <v>63.440041078387011</v>
      </c>
      <c r="AF163" s="55">
        <v>0</v>
      </c>
      <c r="AG163" s="52"/>
      <c r="AH163" s="51">
        <v>9.4110826747020773E-2</v>
      </c>
      <c r="AI163" s="52">
        <v>9.4577492353549286E-2</v>
      </c>
      <c r="AJ163" s="52"/>
      <c r="AK163" s="28">
        <v>1.8</v>
      </c>
      <c r="AL163" s="28">
        <v>2.4</v>
      </c>
      <c r="AM163" s="28">
        <v>0.6</v>
      </c>
      <c r="AN163" s="28">
        <v>2.8</v>
      </c>
      <c r="AO163" s="28">
        <v>0.23684210526315791</v>
      </c>
      <c r="AP163" s="28">
        <v>0.31578947368421051</v>
      </c>
      <c r="AQ163" s="28">
        <v>7.8947368421052627E-2</v>
      </c>
      <c r="AR163" s="28">
        <v>0.36842105263157893</v>
      </c>
      <c r="AS163" s="25">
        <v>0.82</v>
      </c>
      <c r="AT163" s="25">
        <v>3.44</v>
      </c>
      <c r="AU163" s="25">
        <v>2.62</v>
      </c>
      <c r="AV163" s="25">
        <v>2.528</v>
      </c>
      <c r="AW163">
        <v>2.528</v>
      </c>
      <c r="AX163">
        <v>5.7952294759999994</v>
      </c>
      <c r="AY163" s="75">
        <v>0.65619545508850963</v>
      </c>
      <c r="AZ163" s="75">
        <v>0.65944931928920669</v>
      </c>
      <c r="BA163" s="75"/>
      <c r="BC163">
        <v>4.7055413373510387E-2</v>
      </c>
      <c r="BD163">
        <v>4.7288746176774643E-2</v>
      </c>
      <c r="BF163">
        <v>9.4344159550285023E-2</v>
      </c>
      <c r="BG163">
        <v>4.7172079775142511E-2</v>
      </c>
      <c r="BH163">
        <v>0.65782238718885822</v>
      </c>
      <c r="BI163" s="79" t="s">
        <v>1264</v>
      </c>
      <c r="BJ163" s="79">
        <v>1173</v>
      </c>
      <c r="BK163" s="79">
        <v>24</v>
      </c>
      <c r="BM163" s="79" t="s">
        <v>464</v>
      </c>
      <c r="BN163" s="79" t="s">
        <v>464</v>
      </c>
      <c r="BO163" s="79">
        <v>0</v>
      </c>
      <c r="BP163" s="79">
        <v>1.5</v>
      </c>
      <c r="BQ163" s="79">
        <v>2.5</v>
      </c>
      <c r="BR163" s="79">
        <v>0</v>
      </c>
      <c r="BS163" s="79" t="s">
        <v>464</v>
      </c>
      <c r="BT163" s="79" t="s">
        <v>464</v>
      </c>
      <c r="BU163" s="79" t="s">
        <v>1266</v>
      </c>
      <c r="BV163" s="79">
        <v>400</v>
      </c>
      <c r="BX163" s="79" t="s">
        <v>1287</v>
      </c>
      <c r="BZ163" s="81">
        <f>24.7*2</f>
        <v>49.4</v>
      </c>
      <c r="CA163">
        <f t="shared" si="15"/>
        <v>3.8999504241938769</v>
      </c>
    </row>
    <row r="164" spans="1:79" x14ac:dyDescent="0.3">
      <c r="A164" s="2" t="s">
        <v>87</v>
      </c>
      <c r="B164" s="17" t="s">
        <v>743</v>
      </c>
      <c r="C164" s="13"/>
      <c r="D164" s="2">
        <v>3.9</v>
      </c>
      <c r="E164" s="2" t="s">
        <v>89</v>
      </c>
      <c r="F164" s="9">
        <v>-1</v>
      </c>
      <c r="G164">
        <v>-1</v>
      </c>
      <c r="H164" t="s">
        <v>1162</v>
      </c>
      <c r="I164" s="2"/>
      <c r="J164" s="25">
        <v>0</v>
      </c>
      <c r="K164">
        <v>0</v>
      </c>
      <c r="L164">
        <v>2</v>
      </c>
      <c r="M164" s="2">
        <v>3.9037999999999999</v>
      </c>
      <c r="N164" s="2">
        <v>3.9037999999999999</v>
      </c>
      <c r="O164" s="2">
        <v>9.7742000000000004</v>
      </c>
      <c r="P164" s="2" t="s">
        <v>439</v>
      </c>
      <c r="Q164" s="2"/>
      <c r="R164" s="25">
        <v>0</v>
      </c>
      <c r="S164" s="25"/>
      <c r="T164" s="25"/>
      <c r="U164">
        <v>0</v>
      </c>
      <c r="X164">
        <v>3.93</v>
      </c>
      <c r="Y164">
        <v>3.93</v>
      </c>
      <c r="Z164">
        <v>18.515000000000001</v>
      </c>
      <c r="AA164" s="2">
        <v>3</v>
      </c>
      <c r="AB164">
        <v>14</v>
      </c>
      <c r="AC164" s="55">
        <f t="shared" ref="AC164:AC166" si="22">M164*N164*O164</f>
        <v>148.95543042744799</v>
      </c>
      <c r="AD164" s="57">
        <v>0</v>
      </c>
      <c r="AE164" s="55">
        <v>0</v>
      </c>
      <c r="AF164" s="55">
        <v>285.96232350000002</v>
      </c>
      <c r="AG164" s="52"/>
      <c r="AH164" s="51"/>
      <c r="AI164" s="52"/>
      <c r="AJ164" s="52">
        <v>9.7914996833490184E-2</v>
      </c>
      <c r="AK164" s="28">
        <v>1.833333333333333</v>
      </c>
      <c r="AL164" s="28">
        <v>2.333333333333333</v>
      </c>
      <c r="AM164" s="28">
        <v>0.5</v>
      </c>
      <c r="AN164" s="28">
        <v>2.333333333333333</v>
      </c>
      <c r="AO164" s="28">
        <v>0.26190476190476192</v>
      </c>
      <c r="AP164" s="28">
        <v>0.33333333333333343</v>
      </c>
      <c r="AQ164" s="28">
        <v>7.1428571428571425E-2</v>
      </c>
      <c r="AR164" s="28">
        <v>0.33333333333333343</v>
      </c>
      <c r="AS164" s="25">
        <v>0.95</v>
      </c>
      <c r="AT164" s="25">
        <v>3.44</v>
      </c>
      <c r="AU164" s="25">
        <v>2.4900000000000002</v>
      </c>
      <c r="AV164" s="25">
        <v>2.7024999999999988</v>
      </c>
      <c r="AW164">
        <v>2.7025000000000001</v>
      </c>
      <c r="AX164">
        <v>6.4896876145585001</v>
      </c>
      <c r="AY164" s="75"/>
      <c r="AZ164" s="75"/>
      <c r="BA164" s="75">
        <v>0.392702013826212</v>
      </c>
      <c r="BE164">
        <v>4.8957498416745092E-2</v>
      </c>
      <c r="BF164">
        <v>9.7914996833490184E-2</v>
      </c>
      <c r="BG164">
        <v>4.8957498416745092E-2</v>
      </c>
      <c r="BH164">
        <v>0.392702013826212</v>
      </c>
      <c r="BI164" s="79" t="s">
        <v>1264</v>
      </c>
      <c r="BJ164" s="79">
        <v>1173</v>
      </c>
      <c r="BK164" s="79">
        <v>24</v>
      </c>
      <c r="BM164" s="79" t="s">
        <v>464</v>
      </c>
      <c r="BN164" s="79" t="s">
        <v>464</v>
      </c>
      <c r="BO164" s="79">
        <v>0</v>
      </c>
      <c r="BP164" s="79">
        <v>4</v>
      </c>
      <c r="BQ164" s="79">
        <v>2.5</v>
      </c>
      <c r="BR164" s="79">
        <v>0</v>
      </c>
      <c r="BS164" s="79" t="s">
        <v>1312</v>
      </c>
      <c r="BT164" s="79" t="s">
        <v>464</v>
      </c>
      <c r="BU164" s="79" t="s">
        <v>1266</v>
      </c>
      <c r="BV164" s="79">
        <v>400</v>
      </c>
      <c r="BX164" s="79" t="s">
        <v>1287</v>
      </c>
      <c r="BZ164" s="81">
        <f>1490*2</f>
        <v>2980</v>
      </c>
      <c r="CA164">
        <f t="shared" si="15"/>
        <v>7.9996785794994505</v>
      </c>
    </row>
    <row r="165" spans="1:79" x14ac:dyDescent="0.3">
      <c r="A165" s="2" t="s">
        <v>856</v>
      </c>
      <c r="B165" s="17" t="s">
        <v>913</v>
      </c>
      <c r="C165" s="13"/>
      <c r="D165" s="2">
        <v>3.9</v>
      </c>
      <c r="E165" s="2" t="s">
        <v>89</v>
      </c>
      <c r="F165" s="82" t="s">
        <v>1313</v>
      </c>
      <c r="G165">
        <v>-1</v>
      </c>
      <c r="I165" s="2">
        <v>1</v>
      </c>
      <c r="J165" s="25">
        <v>0</v>
      </c>
      <c r="K165">
        <v>0</v>
      </c>
      <c r="L165">
        <v>0</v>
      </c>
      <c r="M165" s="2">
        <v>3.9973999999999998</v>
      </c>
      <c r="N165" s="2">
        <v>3.9973999999999998</v>
      </c>
      <c r="O165" s="2">
        <v>12.132999999999999</v>
      </c>
      <c r="P165" s="2" t="s">
        <v>439</v>
      </c>
      <c r="Q165" s="2"/>
      <c r="R165" s="25">
        <v>0</v>
      </c>
      <c r="S165" s="25"/>
      <c r="T165" s="25"/>
      <c r="U165">
        <v>0</v>
      </c>
      <c r="X165">
        <v>0</v>
      </c>
      <c r="AA165" s="2">
        <v>3</v>
      </c>
      <c r="AB165">
        <v>14</v>
      </c>
      <c r="AC165" s="55">
        <f t="shared" si="22"/>
        <v>193.87571561907995</v>
      </c>
      <c r="AD165" s="57">
        <v>0</v>
      </c>
      <c r="AE165" s="55">
        <v>0</v>
      </c>
      <c r="AF165" s="55">
        <v>0</v>
      </c>
      <c r="AG165" s="52">
        <f t="shared" ref="AG165" si="23">I165*AB165/AC165</f>
        <v>7.2211209925366296E-2</v>
      </c>
      <c r="AH165" s="51"/>
      <c r="AI165" s="52"/>
      <c r="AJ165" s="52"/>
      <c r="AK165" s="28">
        <v>1.833333333333333</v>
      </c>
      <c r="AL165" s="28">
        <v>2.333333333333333</v>
      </c>
      <c r="AM165" s="28">
        <v>0.5</v>
      </c>
      <c r="AN165" s="28">
        <v>2.333333333333333</v>
      </c>
      <c r="AO165" s="28">
        <v>0.26190476190476192</v>
      </c>
      <c r="AP165" s="28">
        <v>0.33333333333333343</v>
      </c>
      <c r="AQ165" s="28">
        <v>7.1428571428571425E-2</v>
      </c>
      <c r="AR165" s="28">
        <v>0.33333333333333343</v>
      </c>
      <c r="AS165" s="25">
        <v>0.82</v>
      </c>
      <c r="AT165" s="25">
        <v>3.44</v>
      </c>
      <c r="AU165" s="25">
        <v>2.62</v>
      </c>
      <c r="AV165" s="25">
        <v>2.4725000000000001</v>
      </c>
      <c r="AW165">
        <v>2.4725000000000001</v>
      </c>
      <c r="AX165">
        <v>5.697111802916667</v>
      </c>
      <c r="AY165" s="75"/>
      <c r="AZ165" s="75"/>
      <c r="BA165" s="75"/>
      <c r="BB165">
        <v>3.6105604962683148E-2</v>
      </c>
      <c r="BF165">
        <v>7.2211209925366296E-2</v>
      </c>
      <c r="BG165">
        <v>3.6105604962683148E-2</v>
      </c>
      <c r="BH165">
        <v>0</v>
      </c>
      <c r="BI165" s="79" t="s">
        <v>1264</v>
      </c>
      <c r="BJ165" s="79">
        <v>1173</v>
      </c>
      <c r="BK165" s="79">
        <v>24</v>
      </c>
      <c r="BM165" s="79" t="s">
        <v>464</v>
      </c>
      <c r="BN165" s="79" t="s">
        <v>464</v>
      </c>
      <c r="BO165" s="79">
        <v>0</v>
      </c>
      <c r="BP165" s="79">
        <v>1.1000000000000001</v>
      </c>
      <c r="BQ165" s="79">
        <v>2.5</v>
      </c>
      <c r="BR165" s="79">
        <v>0</v>
      </c>
      <c r="BS165" s="79" t="s">
        <v>1312</v>
      </c>
      <c r="BT165" s="79" t="s">
        <v>464</v>
      </c>
      <c r="BU165" s="79" t="s">
        <v>1266</v>
      </c>
      <c r="BV165" s="79">
        <v>400</v>
      </c>
      <c r="BX165" s="79" t="s">
        <v>1287</v>
      </c>
      <c r="BZ165" s="81">
        <f>375*2</f>
        <v>750</v>
      </c>
      <c r="CA165">
        <f t="shared" si="15"/>
        <v>6.620073206530356</v>
      </c>
    </row>
    <row r="166" spans="1:79" x14ac:dyDescent="0.3">
      <c r="A166" s="2" t="s">
        <v>27</v>
      </c>
      <c r="B166" s="13" t="s">
        <v>742</v>
      </c>
      <c r="C166" s="13"/>
      <c r="D166" s="2">
        <v>3.6</v>
      </c>
      <c r="E166" s="2" t="s">
        <v>89</v>
      </c>
      <c r="F166" s="9" t="s">
        <v>563</v>
      </c>
      <c r="G166" t="s">
        <v>641</v>
      </c>
      <c r="I166" s="2"/>
      <c r="J166" s="25">
        <v>1</v>
      </c>
      <c r="K166">
        <v>1</v>
      </c>
      <c r="L166">
        <v>0</v>
      </c>
      <c r="M166" s="2"/>
      <c r="N166" s="2"/>
      <c r="P166" s="2"/>
      <c r="Q166" s="2"/>
      <c r="R166" s="25">
        <v>3.9948813699999999</v>
      </c>
      <c r="S166" s="25">
        <v>3.9948813699999999</v>
      </c>
      <c r="T166" s="25">
        <v>3.9948813699999999</v>
      </c>
      <c r="U166">
        <v>3.9883000000000002</v>
      </c>
      <c r="V166">
        <v>3.9883000000000002</v>
      </c>
      <c r="W166">
        <v>3.9883000000000002</v>
      </c>
      <c r="X166">
        <v>0</v>
      </c>
      <c r="AA166" s="2"/>
      <c r="AB166">
        <v>6</v>
      </c>
      <c r="AC166" s="55">
        <f t="shared" si="22"/>
        <v>0</v>
      </c>
      <c r="AD166" s="57">
        <v>63.754620030366901</v>
      </c>
      <c r="AE166" s="55">
        <v>63.440041078387011</v>
      </c>
      <c r="AF166" s="55">
        <v>0</v>
      </c>
      <c r="AG166" s="52"/>
      <c r="AH166" s="51">
        <v>9.4110826747020773E-2</v>
      </c>
      <c r="AI166" s="52">
        <v>9.4577492353549286E-2</v>
      </c>
      <c r="AJ166" s="52"/>
      <c r="AK166" s="28">
        <v>1.8</v>
      </c>
      <c r="AL166" s="28">
        <v>2.4</v>
      </c>
      <c r="AM166" s="28">
        <v>0.6</v>
      </c>
      <c r="AN166" s="28">
        <v>2.8</v>
      </c>
      <c r="AO166" s="28">
        <v>0.23684210526315791</v>
      </c>
      <c r="AP166" s="28">
        <v>0.31578947368421051</v>
      </c>
      <c r="AQ166" s="28">
        <v>7.8947368421052627E-2</v>
      </c>
      <c r="AR166" s="28">
        <v>0.36842105263157893</v>
      </c>
      <c r="AS166" s="25">
        <v>0.82</v>
      </c>
      <c r="AT166" s="25">
        <v>3.44</v>
      </c>
      <c r="AU166" s="25">
        <v>2.62</v>
      </c>
      <c r="AV166" s="25">
        <v>2.528</v>
      </c>
      <c r="AW166">
        <v>2.528</v>
      </c>
      <c r="AX166">
        <v>5.7952294759999994</v>
      </c>
      <c r="AY166" s="75">
        <v>0.65619545508850963</v>
      </c>
      <c r="AZ166" s="75">
        <v>0.65944931928920669</v>
      </c>
      <c r="BA166" s="75"/>
      <c r="BC166">
        <v>4.7055413373510387E-2</v>
      </c>
      <c r="BD166">
        <v>4.7288746176774643E-2</v>
      </c>
      <c r="BF166">
        <v>9.4344159550285023E-2</v>
      </c>
      <c r="BG166">
        <v>4.7172079775142511E-2</v>
      </c>
      <c r="BH166">
        <v>0.65782238718885822</v>
      </c>
      <c r="BI166" s="79" t="s">
        <v>1264</v>
      </c>
      <c r="BJ166" s="79">
        <v>1173</v>
      </c>
      <c r="BK166" s="79">
        <v>24</v>
      </c>
      <c r="BM166" s="79" t="s">
        <v>464</v>
      </c>
      <c r="BN166" s="79" t="s">
        <v>464</v>
      </c>
      <c r="BO166" s="79">
        <v>0</v>
      </c>
      <c r="BP166" s="79">
        <v>1.5</v>
      </c>
      <c r="BQ166" s="79">
        <v>2.5</v>
      </c>
      <c r="BR166" s="79">
        <v>0</v>
      </c>
      <c r="BS166" s="79" t="s">
        <v>1312</v>
      </c>
      <c r="BT166" s="79" t="s">
        <v>464</v>
      </c>
      <c r="BU166" s="79" t="s">
        <v>1266</v>
      </c>
      <c r="BV166" s="79">
        <v>400</v>
      </c>
      <c r="BX166" s="79" t="s">
        <v>1287</v>
      </c>
      <c r="BZ166" s="81">
        <f>270*2</f>
        <v>540</v>
      </c>
      <c r="CA166">
        <f t="shared" si="15"/>
        <v>6.2915691395583204</v>
      </c>
    </row>
    <row r="167" spans="1:79" x14ac:dyDescent="0.3">
      <c r="A167" s="2" t="s">
        <v>864</v>
      </c>
      <c r="B167" s="13" t="s">
        <v>861</v>
      </c>
      <c r="C167" s="13"/>
      <c r="D167" s="2">
        <v>4</v>
      </c>
      <c r="E167" s="2" t="s">
        <v>91</v>
      </c>
      <c r="F167" s="9">
        <v>-1</v>
      </c>
      <c r="G167">
        <v>-1</v>
      </c>
      <c r="H167" t="s">
        <v>1212</v>
      </c>
      <c r="I167" s="2">
        <v>0.66666666699999999</v>
      </c>
      <c r="J167" s="25">
        <v>0</v>
      </c>
      <c r="K167">
        <v>0</v>
      </c>
      <c r="L167">
        <f>2/3</f>
        <v>0.66666666666666663</v>
      </c>
      <c r="M167" s="2">
        <v>3.9607999999999999</v>
      </c>
      <c r="N167" s="2">
        <v>3.9607999999999999</v>
      </c>
      <c r="O167" s="2">
        <v>21.8126</v>
      </c>
      <c r="P167" s="2" t="s">
        <v>440</v>
      </c>
      <c r="Q167" s="2"/>
      <c r="R167" s="25">
        <v>0</v>
      </c>
      <c r="S167" s="25"/>
      <c r="T167" s="25"/>
      <c r="U167">
        <v>0</v>
      </c>
      <c r="X167">
        <v>0</v>
      </c>
      <c r="AA167" s="2"/>
      <c r="AB167">
        <v>42</v>
      </c>
      <c r="AC167" s="55">
        <f t="shared" si="11"/>
        <v>342.19468675366397</v>
      </c>
      <c r="AD167" s="57">
        <v>0</v>
      </c>
      <c r="AE167" s="55">
        <v>0</v>
      </c>
      <c r="AF167" s="55">
        <v>347.6</v>
      </c>
      <c r="AG167" s="52">
        <f t="shared" si="21"/>
        <v>8.1824765543938416E-2</v>
      </c>
      <c r="AH167" s="51"/>
      <c r="AI167" s="52"/>
      <c r="AJ167" s="52">
        <f>L167*AB167/AF167</f>
        <v>8.0552359033371684E-2</v>
      </c>
      <c r="AK167" s="28">
        <v>1.828571428571429</v>
      </c>
      <c r="AL167" s="28">
        <v>2.4</v>
      </c>
      <c r="AM167" s="28">
        <v>0.5714285714285714</v>
      </c>
      <c r="AN167" s="28">
        <v>2.4</v>
      </c>
      <c r="AO167" s="28">
        <v>0.25396825396825401</v>
      </c>
      <c r="AP167" s="28">
        <v>0.33333333333333331</v>
      </c>
      <c r="AQ167" s="28">
        <v>7.9365079365079361E-2</v>
      </c>
      <c r="AR167" s="28">
        <v>0.33333333333333331</v>
      </c>
      <c r="AS167" s="25">
        <v>0.82</v>
      </c>
      <c r="AT167" s="25">
        <v>3.44</v>
      </c>
      <c r="AU167" s="25">
        <v>2.62</v>
      </c>
      <c r="AV167" s="25">
        <v>2.524571428571428</v>
      </c>
      <c r="AW167">
        <v>2.524571428571428</v>
      </c>
      <c r="AX167">
        <v>5.7888591694285711</v>
      </c>
      <c r="AY167" s="75"/>
      <c r="AZ167" s="75"/>
      <c r="BA167" s="75"/>
      <c r="BB167">
        <v>4.0912382771969208E-2</v>
      </c>
      <c r="BE167">
        <v>4.0276179516685842E-2</v>
      </c>
      <c r="BF167">
        <v>8.118856228865505E-2</v>
      </c>
      <c r="BG167">
        <v>4.0594281144327532E-2</v>
      </c>
      <c r="BH167">
        <v>0</v>
      </c>
      <c r="BI167" s="79" t="s">
        <v>1264</v>
      </c>
      <c r="BJ167" s="79">
        <v>1498</v>
      </c>
      <c r="BK167" s="79">
        <f>15</f>
        <v>15</v>
      </c>
      <c r="BM167" s="79" t="s">
        <v>464</v>
      </c>
      <c r="BN167" s="79" t="s">
        <v>464</v>
      </c>
      <c r="BO167" s="79">
        <v>0</v>
      </c>
      <c r="BP167" s="79">
        <v>3.7</v>
      </c>
      <c r="BQ167" s="79">
        <v>2.5</v>
      </c>
      <c r="BR167" s="79">
        <v>0</v>
      </c>
      <c r="BS167" s="79" t="s">
        <v>464</v>
      </c>
      <c r="BT167" s="79" t="s">
        <v>464</v>
      </c>
      <c r="BU167" s="79" t="s">
        <v>1266</v>
      </c>
      <c r="BV167" s="79">
        <v>400</v>
      </c>
      <c r="BZ167" s="81">
        <f>146*2</f>
        <v>292</v>
      </c>
      <c r="CA167">
        <f t="shared" si="15"/>
        <v>5.6767538022682817</v>
      </c>
    </row>
    <row r="168" spans="1:79" x14ac:dyDescent="0.3">
      <c r="A168" s="2" t="s">
        <v>865</v>
      </c>
      <c r="B168" s="13" t="s">
        <v>862</v>
      </c>
      <c r="C168" s="13"/>
      <c r="D168" s="2">
        <v>4</v>
      </c>
      <c r="E168" s="2" t="s">
        <v>91</v>
      </c>
      <c r="F168" s="9">
        <v>-1</v>
      </c>
      <c r="G168">
        <v>-1</v>
      </c>
      <c r="H168" s="1" t="s">
        <v>1212</v>
      </c>
      <c r="I168" s="2">
        <f>0.666666667/2</f>
        <v>0.3333333335</v>
      </c>
      <c r="J168" s="25">
        <v>0</v>
      </c>
      <c r="K168">
        <v>0</v>
      </c>
      <c r="L168">
        <v>2</v>
      </c>
      <c r="M168" s="2">
        <v>3.9483999999999999</v>
      </c>
      <c r="N168" s="2">
        <v>3.9483999999999999</v>
      </c>
      <c r="O168" s="2">
        <v>9.7742000000000004</v>
      </c>
      <c r="P168" s="2" t="s">
        <v>439</v>
      </c>
      <c r="Q168" s="2"/>
      <c r="R168" s="25">
        <v>0</v>
      </c>
      <c r="S168" s="25"/>
      <c r="T168" s="25"/>
      <c r="U168">
        <v>0</v>
      </c>
      <c r="X168">
        <v>0</v>
      </c>
      <c r="AA168" s="2"/>
      <c r="AB168">
        <v>42</v>
      </c>
      <c r="AC168" s="55">
        <f t="shared" si="11"/>
        <v>152.378434633952</v>
      </c>
      <c r="AD168" s="57">
        <v>0</v>
      </c>
      <c r="AE168" s="55">
        <v>0</v>
      </c>
      <c r="AF168" s="55">
        <v>0</v>
      </c>
      <c r="AG168" s="52">
        <f t="shared" si="21"/>
        <v>9.1876518095432708E-2</v>
      </c>
      <c r="AH168" s="51"/>
      <c r="AI168" s="52"/>
      <c r="AJ168" s="52"/>
      <c r="AK168" s="28">
        <v>1.828571428571429</v>
      </c>
      <c r="AL168" s="28">
        <v>2.4</v>
      </c>
      <c r="AM168" s="28">
        <v>0.5714285714285714</v>
      </c>
      <c r="AN168" s="28">
        <v>2.4</v>
      </c>
      <c r="AO168" s="28">
        <v>0.25396825396825401</v>
      </c>
      <c r="AP168" s="28">
        <v>0.33333333333333331</v>
      </c>
      <c r="AQ168" s="28">
        <v>7.9365079365079361E-2</v>
      </c>
      <c r="AR168" s="28">
        <v>0.33333333333333331</v>
      </c>
      <c r="AS168" s="25">
        <v>1.1000000000000001</v>
      </c>
      <c r="AT168" s="25">
        <v>3.44</v>
      </c>
      <c r="AU168" s="25">
        <v>2.34</v>
      </c>
      <c r="AV168" s="25">
        <v>2.7611428571428571</v>
      </c>
      <c r="AW168">
        <v>2.7611428571428571</v>
      </c>
      <c r="AX168">
        <v>6.6040800042601706</v>
      </c>
      <c r="AY168" s="75"/>
      <c r="AZ168" s="75"/>
      <c r="BA168" s="75"/>
      <c r="BB168">
        <v>4.5938259047716347E-2</v>
      </c>
      <c r="BE168" t="s">
        <v>459</v>
      </c>
      <c r="BF168">
        <v>9.1876518095432708E-2</v>
      </c>
      <c r="BG168" t="s">
        <v>459</v>
      </c>
      <c r="BH168">
        <v>0</v>
      </c>
      <c r="BI168" s="79" t="s">
        <v>1264</v>
      </c>
      <c r="BJ168" s="79">
        <v>1498</v>
      </c>
      <c r="BK168" s="79">
        <f>15</f>
        <v>15</v>
      </c>
      <c r="BM168" s="79" t="s">
        <v>464</v>
      </c>
      <c r="BN168" s="79" t="s">
        <v>464</v>
      </c>
      <c r="BO168" s="79">
        <v>0</v>
      </c>
      <c r="BP168" s="79">
        <v>7.8</v>
      </c>
      <c r="BQ168" s="79">
        <v>2.5</v>
      </c>
      <c r="BR168" s="79">
        <v>0</v>
      </c>
      <c r="BS168" s="79" t="s">
        <v>464</v>
      </c>
      <c r="BT168" s="79" t="s">
        <v>464</v>
      </c>
      <c r="BU168" s="79" t="s">
        <v>1266</v>
      </c>
      <c r="BV168" s="79">
        <v>400</v>
      </c>
      <c r="BZ168" s="81">
        <f>158*2</f>
        <v>316</v>
      </c>
      <c r="CA168">
        <f t="shared" si="15"/>
        <v>5.7557422135869123</v>
      </c>
    </row>
    <row r="169" spans="1:79" x14ac:dyDescent="0.3">
      <c r="A169" s="2" t="s">
        <v>858</v>
      </c>
      <c r="B169" s="13" t="s">
        <v>859</v>
      </c>
      <c r="C169" s="13"/>
      <c r="D169" s="2">
        <v>4</v>
      </c>
      <c r="E169" s="2" t="s">
        <v>91</v>
      </c>
      <c r="F169" s="9" t="s">
        <v>860</v>
      </c>
      <c r="G169">
        <v>1540895</v>
      </c>
      <c r="I169" s="2"/>
      <c r="J169" s="25">
        <v>0</v>
      </c>
      <c r="K169">
        <v>4</v>
      </c>
      <c r="L169">
        <v>0</v>
      </c>
      <c r="M169" s="2"/>
      <c r="N169" s="2"/>
      <c r="O169" s="2"/>
      <c r="P169" s="2"/>
      <c r="Q169" s="2"/>
      <c r="R169" s="25">
        <v>0</v>
      </c>
      <c r="S169" s="25"/>
      <c r="T169" s="25"/>
      <c r="U169">
        <v>6.5429000000000004</v>
      </c>
      <c r="V169">
        <v>7.6490999999999998</v>
      </c>
      <c r="W169">
        <v>12.583</v>
      </c>
      <c r="X169">
        <v>0</v>
      </c>
      <c r="AA169" s="2"/>
      <c r="AB169">
        <v>18</v>
      </c>
      <c r="AC169" s="55">
        <f t="shared" si="11"/>
        <v>0</v>
      </c>
      <c r="AD169" s="57">
        <v>0</v>
      </c>
      <c r="AE169" s="55">
        <v>629.74513047537005</v>
      </c>
      <c r="AF169" s="55">
        <v>0</v>
      </c>
      <c r="AG169" s="52"/>
      <c r="AH169" s="51"/>
      <c r="AI169" s="52">
        <v>0.1143319678322086</v>
      </c>
      <c r="AJ169" s="52"/>
      <c r="AK169" s="28">
        <v>2</v>
      </c>
      <c r="AL169" s="28">
        <v>2.7692307692307692</v>
      </c>
      <c r="AM169" s="28">
        <v>0.76923076923076927</v>
      </c>
      <c r="AN169" s="28">
        <v>3.2307692307692308</v>
      </c>
      <c r="AO169" s="28">
        <v>0.22807017543859651</v>
      </c>
      <c r="AP169" s="28">
        <v>0.31578947368421051</v>
      </c>
      <c r="AQ169" s="28">
        <v>8.771929824561403E-2</v>
      </c>
      <c r="AR169" s="28">
        <v>0.36842105263157893</v>
      </c>
      <c r="AS169" s="25">
        <v>1.1000000000000001</v>
      </c>
      <c r="AT169" s="25">
        <v>3.44</v>
      </c>
      <c r="AU169" s="25">
        <v>2.34</v>
      </c>
      <c r="AV169" s="25">
        <v>2.8123076923076931</v>
      </c>
      <c r="AW169">
        <v>2.8123076923076931</v>
      </c>
      <c r="AX169">
        <v>6.3640369961538461</v>
      </c>
      <c r="AY169" s="75"/>
      <c r="AZ169" s="75">
        <v>0.55971264878746807</v>
      </c>
      <c r="BA169" s="75"/>
      <c r="BD169">
        <v>5.7165983916104293E-2</v>
      </c>
      <c r="BF169">
        <v>0.1143319678322086</v>
      </c>
      <c r="BG169">
        <v>5.7165983916104293E-2</v>
      </c>
      <c r="BH169">
        <v>0.55971264878746807</v>
      </c>
      <c r="BI169" s="79" t="s">
        <v>1264</v>
      </c>
      <c r="BJ169" s="79">
        <v>1498</v>
      </c>
      <c r="BK169" s="79">
        <f>15</f>
        <v>15</v>
      </c>
      <c r="BM169" s="79" t="s">
        <v>464</v>
      </c>
      <c r="BN169" s="79" t="s">
        <v>464</v>
      </c>
      <c r="BO169" s="79">
        <v>0</v>
      </c>
      <c r="BP169" s="79">
        <v>3.3</v>
      </c>
      <c r="BQ169" s="79">
        <v>2.5</v>
      </c>
      <c r="BR169" s="79">
        <v>0</v>
      </c>
      <c r="BS169" s="79" t="s">
        <v>464</v>
      </c>
      <c r="BT169" s="79" t="s">
        <v>464</v>
      </c>
      <c r="BU169" s="79" t="s">
        <v>1266</v>
      </c>
      <c r="BV169" s="79">
        <v>400</v>
      </c>
      <c r="BZ169" s="81">
        <f>35*2</f>
        <v>70</v>
      </c>
      <c r="CA169">
        <f t="shared" si="15"/>
        <v>4.2484952420493594</v>
      </c>
    </row>
    <row r="170" spans="1:79" x14ac:dyDescent="0.3">
      <c r="A170" s="2" t="s">
        <v>87</v>
      </c>
      <c r="B170" s="13" t="s">
        <v>743</v>
      </c>
      <c r="C170" s="13"/>
      <c r="D170" s="2">
        <v>3.9</v>
      </c>
      <c r="E170" s="2" t="s">
        <v>91</v>
      </c>
      <c r="F170" s="9" t="s">
        <v>564</v>
      </c>
      <c r="G170">
        <v>-1</v>
      </c>
      <c r="I170" s="2"/>
      <c r="J170" s="25">
        <v>1</v>
      </c>
      <c r="K170">
        <v>0</v>
      </c>
      <c r="L170">
        <v>0</v>
      </c>
      <c r="M170" s="2"/>
      <c r="N170" s="2"/>
      <c r="P170" s="2"/>
      <c r="Q170" s="2"/>
      <c r="R170" s="25">
        <v>9.9051542599999998</v>
      </c>
      <c r="S170" s="25">
        <v>9.9051542599999998</v>
      </c>
      <c r="T170" s="25">
        <v>9.9051542599999998</v>
      </c>
      <c r="U170">
        <v>0</v>
      </c>
      <c r="X170">
        <v>0</v>
      </c>
      <c r="AA170" s="2"/>
      <c r="AB170">
        <v>14</v>
      </c>
      <c r="AC170" s="55">
        <f t="shared" si="11"/>
        <v>0</v>
      </c>
      <c r="AD170" s="57">
        <v>150.75696951344321</v>
      </c>
      <c r="AE170" s="55">
        <v>0</v>
      </c>
      <c r="AF170" s="55">
        <v>0</v>
      </c>
      <c r="AG170" s="52"/>
      <c r="AH170" s="51">
        <v>9.2864695046497372E-2</v>
      </c>
      <c r="AI170" s="52"/>
      <c r="AJ170" s="52"/>
      <c r="AK170" s="28">
        <v>1.833333333333333</v>
      </c>
      <c r="AL170" s="28">
        <v>2.333333333333333</v>
      </c>
      <c r="AM170" s="28">
        <v>0.5</v>
      </c>
      <c r="AN170" s="28">
        <v>2.333333333333333</v>
      </c>
      <c r="AO170" s="28">
        <v>0.26190476190476192</v>
      </c>
      <c r="AP170" s="28">
        <v>0.33333333333333343</v>
      </c>
      <c r="AQ170" s="28">
        <v>7.1428571428571425E-2</v>
      </c>
      <c r="AR170" s="28">
        <v>0.33333333333333343</v>
      </c>
      <c r="AS170" s="25">
        <v>0.95</v>
      </c>
      <c r="AT170" s="25">
        <v>3.44</v>
      </c>
      <c r="AU170" s="25">
        <v>2.4900000000000002</v>
      </c>
      <c r="AV170" s="25">
        <v>2.7024999999999988</v>
      </c>
      <c r="AW170">
        <v>2.7025000000000001</v>
      </c>
      <c r="AX170">
        <v>6.4896876145585001</v>
      </c>
      <c r="AY170" s="75">
        <v>0.47933948900870132</v>
      </c>
      <c r="AZ170" s="75"/>
      <c r="BA170" s="75"/>
      <c r="BC170">
        <v>4.6432347523248672E-2</v>
      </c>
      <c r="BF170">
        <v>9.2864695046497372E-2</v>
      </c>
      <c r="BG170">
        <v>4.6432347523248672E-2</v>
      </c>
      <c r="BH170">
        <v>0.47933948900870132</v>
      </c>
      <c r="BI170" s="79" t="s">
        <v>1264</v>
      </c>
      <c r="BJ170" s="79">
        <v>1498</v>
      </c>
      <c r="BK170" s="79">
        <f>15</f>
        <v>15</v>
      </c>
      <c r="BM170" s="79" t="s">
        <v>464</v>
      </c>
      <c r="BN170" s="79" t="s">
        <v>464</v>
      </c>
      <c r="BO170" s="79">
        <v>0</v>
      </c>
      <c r="BP170" s="79">
        <v>4</v>
      </c>
      <c r="BQ170" s="79">
        <v>2.5</v>
      </c>
      <c r="BR170" s="79">
        <v>0</v>
      </c>
      <c r="BS170" s="79" t="s">
        <v>464</v>
      </c>
      <c r="BT170" s="79" t="s">
        <v>464</v>
      </c>
      <c r="BU170" s="79" t="s">
        <v>1266</v>
      </c>
      <c r="BV170" s="79">
        <v>400</v>
      </c>
      <c r="BZ170" s="81">
        <f>385*2</f>
        <v>770</v>
      </c>
      <c r="CA170">
        <f t="shared" si="15"/>
        <v>6.6463905148477291</v>
      </c>
    </row>
    <row r="171" spans="1:79" x14ac:dyDescent="0.3">
      <c r="A171" s="2" t="s">
        <v>27</v>
      </c>
      <c r="B171" s="13" t="s">
        <v>742</v>
      </c>
      <c r="C171" s="13"/>
      <c r="D171" s="2">
        <v>3.6</v>
      </c>
      <c r="E171" s="2" t="s">
        <v>91</v>
      </c>
      <c r="F171" s="9" t="s">
        <v>563</v>
      </c>
      <c r="G171" t="s">
        <v>641</v>
      </c>
      <c r="I171" s="2"/>
      <c r="J171" s="25"/>
      <c r="M171" s="2"/>
      <c r="N171" s="2"/>
      <c r="P171" s="2"/>
      <c r="Q171" s="2"/>
      <c r="R171" s="25"/>
      <c r="S171" s="25"/>
      <c r="T171" s="25"/>
      <c r="AA171" s="2"/>
      <c r="AC171" s="55"/>
      <c r="AD171" s="57"/>
      <c r="AE171" s="55"/>
      <c r="AF171" s="55"/>
      <c r="AG171" s="52"/>
      <c r="AH171" s="51"/>
      <c r="AI171" s="52"/>
      <c r="AJ171" s="52"/>
      <c r="AK171" s="28"/>
      <c r="AL171" s="28"/>
      <c r="AM171" s="28"/>
      <c r="AN171" s="28"/>
      <c r="AO171" s="28"/>
      <c r="AP171" s="28"/>
      <c r="AQ171" s="28"/>
      <c r="AR171" s="28"/>
      <c r="AS171" s="25"/>
      <c r="AT171" s="25"/>
      <c r="AU171" s="25"/>
      <c r="AV171" s="25"/>
      <c r="AY171" s="75"/>
      <c r="AZ171" s="75"/>
      <c r="BA171" s="75"/>
      <c r="BI171" s="79" t="s">
        <v>1264</v>
      </c>
      <c r="BJ171" s="79">
        <v>1498</v>
      </c>
      <c r="BK171" s="79">
        <f>15</f>
        <v>15</v>
      </c>
      <c r="BM171" s="79" t="s">
        <v>464</v>
      </c>
      <c r="BN171" s="79" t="s">
        <v>464</v>
      </c>
      <c r="BO171" s="79">
        <v>0</v>
      </c>
      <c r="BP171" s="79">
        <v>4</v>
      </c>
      <c r="BQ171" s="79">
        <v>2.5</v>
      </c>
      <c r="BR171" s="79">
        <v>0</v>
      </c>
      <c r="BS171" s="79" t="s">
        <v>464</v>
      </c>
      <c r="BT171" s="79" t="s">
        <v>464</v>
      </c>
      <c r="BU171" s="79" t="s">
        <v>1266</v>
      </c>
      <c r="BV171" s="79">
        <v>400</v>
      </c>
      <c r="BZ171" s="81">
        <f>25*2</f>
        <v>50</v>
      </c>
      <c r="CA171">
        <f t="shared" si="15"/>
        <v>3.912023005428146</v>
      </c>
    </row>
    <row r="172" spans="1:79" x14ac:dyDescent="0.3">
      <c r="A172" s="2" t="s">
        <v>864</v>
      </c>
      <c r="B172" s="13" t="s">
        <v>861</v>
      </c>
      <c r="C172" s="13"/>
      <c r="D172" s="2">
        <v>4</v>
      </c>
      <c r="E172" s="2" t="s">
        <v>91</v>
      </c>
      <c r="F172" s="9">
        <v>-1</v>
      </c>
      <c r="G172">
        <v>-1</v>
      </c>
      <c r="H172" t="s">
        <v>1212</v>
      </c>
      <c r="I172" s="2">
        <v>0.66666666699999999</v>
      </c>
      <c r="J172" s="25">
        <v>0</v>
      </c>
      <c r="K172">
        <v>0</v>
      </c>
      <c r="L172">
        <f>2/3</f>
        <v>0.66666666666666663</v>
      </c>
      <c r="M172" s="2">
        <v>3.9607999999999999</v>
      </c>
      <c r="N172" s="2">
        <v>3.9607999999999999</v>
      </c>
      <c r="O172" s="2">
        <v>21.8126</v>
      </c>
      <c r="P172" s="2" t="s">
        <v>440</v>
      </c>
      <c r="Q172" s="2"/>
      <c r="R172" s="25">
        <v>0</v>
      </c>
      <c r="S172" s="25"/>
      <c r="T172" s="25"/>
      <c r="U172">
        <v>0</v>
      </c>
      <c r="X172">
        <v>0</v>
      </c>
      <c r="AA172" s="2"/>
      <c r="AB172">
        <v>42</v>
      </c>
      <c r="AC172" s="55">
        <f t="shared" ref="AC172:AC175" si="24">M172*N172*O172</f>
        <v>342.19468675366397</v>
      </c>
      <c r="AD172" s="57">
        <v>0</v>
      </c>
      <c r="AE172" s="55">
        <v>0</v>
      </c>
      <c r="AF172" s="55">
        <v>347.6</v>
      </c>
      <c r="AG172" s="52">
        <f t="shared" ref="AG172:AG173" si="25">I172*AB172/AC172</f>
        <v>8.1824765543938416E-2</v>
      </c>
      <c r="AH172" s="51"/>
      <c r="AI172" s="52"/>
      <c r="AJ172" s="52">
        <f>L172*AB172/AF172</f>
        <v>8.0552359033371684E-2</v>
      </c>
      <c r="AK172" s="28">
        <v>1.828571428571429</v>
      </c>
      <c r="AL172" s="28">
        <v>2.4</v>
      </c>
      <c r="AM172" s="28">
        <v>0.5714285714285714</v>
      </c>
      <c r="AN172" s="28">
        <v>2.4</v>
      </c>
      <c r="AO172" s="28">
        <v>0.25396825396825401</v>
      </c>
      <c r="AP172" s="28">
        <v>0.33333333333333331</v>
      </c>
      <c r="AQ172" s="28">
        <v>7.9365079365079361E-2</v>
      </c>
      <c r="AR172" s="28">
        <v>0.33333333333333331</v>
      </c>
      <c r="AS172" s="25">
        <v>0.82</v>
      </c>
      <c r="AT172" s="25">
        <v>3.44</v>
      </c>
      <c r="AU172" s="25">
        <v>2.62</v>
      </c>
      <c r="AV172" s="25">
        <v>2.524571428571428</v>
      </c>
      <c r="AW172">
        <v>2.524571428571428</v>
      </c>
      <c r="AX172">
        <v>5.7888591694285711</v>
      </c>
      <c r="AY172" s="75"/>
      <c r="AZ172" s="75"/>
      <c r="BA172" s="75"/>
      <c r="BB172">
        <v>4.0912382771969208E-2</v>
      </c>
      <c r="BE172">
        <v>4.0276179516685842E-2</v>
      </c>
      <c r="BF172">
        <v>8.118856228865505E-2</v>
      </c>
      <c r="BG172">
        <v>4.0594281144327532E-2</v>
      </c>
      <c r="BH172">
        <v>0</v>
      </c>
      <c r="BI172" s="79" t="s">
        <v>1264</v>
      </c>
      <c r="BJ172" s="79">
        <v>1498</v>
      </c>
      <c r="BK172" s="79">
        <f>15</f>
        <v>15</v>
      </c>
      <c r="BM172" s="79" t="s">
        <v>464</v>
      </c>
      <c r="BN172" s="79" t="s">
        <v>464</v>
      </c>
      <c r="BO172" s="79">
        <v>0</v>
      </c>
      <c r="BP172" s="79">
        <v>3.7</v>
      </c>
      <c r="BQ172" s="79">
        <v>2.5</v>
      </c>
      <c r="BR172" s="79">
        <v>0</v>
      </c>
      <c r="BS172" s="79" t="s">
        <v>1312</v>
      </c>
      <c r="BT172" s="79" t="s">
        <v>464</v>
      </c>
      <c r="BU172" s="79" t="s">
        <v>1266</v>
      </c>
      <c r="BV172" s="79">
        <v>400</v>
      </c>
      <c r="BZ172" s="81">
        <f>918*10</f>
        <v>9180</v>
      </c>
      <c r="CA172">
        <f t="shared" si="15"/>
        <v>9.1247824836145366</v>
      </c>
    </row>
    <row r="173" spans="1:79" x14ac:dyDescent="0.3">
      <c r="A173" s="2" t="s">
        <v>865</v>
      </c>
      <c r="B173" s="13" t="s">
        <v>862</v>
      </c>
      <c r="C173" s="13"/>
      <c r="D173" s="2">
        <v>4</v>
      </c>
      <c r="E173" s="2" t="s">
        <v>91</v>
      </c>
      <c r="F173" s="9">
        <v>-1</v>
      </c>
      <c r="G173">
        <v>-1</v>
      </c>
      <c r="H173" s="1" t="s">
        <v>1212</v>
      </c>
      <c r="I173" s="2">
        <f>0.666666667/2</f>
        <v>0.3333333335</v>
      </c>
      <c r="J173" s="25">
        <v>0</v>
      </c>
      <c r="K173">
        <v>0</v>
      </c>
      <c r="L173">
        <v>2</v>
      </c>
      <c r="M173" s="2">
        <v>3.9483999999999999</v>
      </c>
      <c r="N173" s="2">
        <v>3.9483999999999999</v>
      </c>
      <c r="O173" s="2">
        <v>9.7742000000000004</v>
      </c>
      <c r="P173" s="2" t="s">
        <v>439</v>
      </c>
      <c r="Q173" s="2"/>
      <c r="R173" s="25">
        <v>0</v>
      </c>
      <c r="S173" s="25"/>
      <c r="T173" s="25"/>
      <c r="U173">
        <v>0</v>
      </c>
      <c r="X173">
        <v>0</v>
      </c>
      <c r="AA173" s="2"/>
      <c r="AB173">
        <v>42</v>
      </c>
      <c r="AC173" s="55">
        <f t="shared" si="24"/>
        <v>152.378434633952</v>
      </c>
      <c r="AD173" s="57">
        <v>0</v>
      </c>
      <c r="AE173" s="55">
        <v>0</v>
      </c>
      <c r="AF173" s="55">
        <v>0</v>
      </c>
      <c r="AG173" s="52">
        <f t="shared" si="25"/>
        <v>9.1876518095432708E-2</v>
      </c>
      <c r="AH173" s="51"/>
      <c r="AI173" s="52"/>
      <c r="AJ173" s="52"/>
      <c r="AK173" s="28">
        <v>1.828571428571429</v>
      </c>
      <c r="AL173" s="28">
        <v>2.4</v>
      </c>
      <c r="AM173" s="28">
        <v>0.5714285714285714</v>
      </c>
      <c r="AN173" s="28">
        <v>2.4</v>
      </c>
      <c r="AO173" s="28">
        <v>0.25396825396825401</v>
      </c>
      <c r="AP173" s="28">
        <v>0.33333333333333331</v>
      </c>
      <c r="AQ173" s="28">
        <v>7.9365079365079361E-2</v>
      </c>
      <c r="AR173" s="28">
        <v>0.33333333333333331</v>
      </c>
      <c r="AS173" s="25">
        <v>1.1000000000000001</v>
      </c>
      <c r="AT173" s="25">
        <v>3.44</v>
      </c>
      <c r="AU173" s="25">
        <v>2.34</v>
      </c>
      <c r="AV173" s="25">
        <v>2.7611428571428571</v>
      </c>
      <c r="AW173">
        <v>2.7611428571428571</v>
      </c>
      <c r="AX173">
        <v>6.6040800042601706</v>
      </c>
      <c r="AY173" s="75"/>
      <c r="AZ173" s="75"/>
      <c r="BA173" s="75"/>
      <c r="BB173">
        <v>4.5938259047716347E-2</v>
      </c>
      <c r="BE173" t="s">
        <v>459</v>
      </c>
      <c r="BF173">
        <v>9.1876518095432708E-2</v>
      </c>
      <c r="BG173" t="s">
        <v>459</v>
      </c>
      <c r="BH173">
        <v>0</v>
      </c>
      <c r="BI173" s="79" t="s">
        <v>1264</v>
      </c>
      <c r="BJ173" s="79">
        <v>1498</v>
      </c>
      <c r="BK173" s="79">
        <f>15</f>
        <v>15</v>
      </c>
      <c r="BM173" s="79" t="s">
        <v>464</v>
      </c>
      <c r="BN173" s="79" t="s">
        <v>464</v>
      </c>
      <c r="BO173" s="79">
        <v>0</v>
      </c>
      <c r="BP173" s="79">
        <v>7.8</v>
      </c>
      <c r="BQ173" s="79">
        <v>2.5</v>
      </c>
      <c r="BR173" s="79">
        <v>0</v>
      </c>
      <c r="BS173" s="79" t="s">
        <v>1312</v>
      </c>
      <c r="BT173" s="79" t="s">
        <v>464</v>
      </c>
      <c r="BU173" s="79" t="s">
        <v>1266</v>
      </c>
      <c r="BV173" s="79">
        <v>400</v>
      </c>
      <c r="BZ173" s="81">
        <f>2654*10</f>
        <v>26540</v>
      </c>
      <c r="CA173">
        <f t="shared" si="15"/>
        <v>10.186408307886198</v>
      </c>
    </row>
    <row r="174" spans="1:79" x14ac:dyDescent="0.3">
      <c r="A174" s="2" t="s">
        <v>858</v>
      </c>
      <c r="B174" s="13" t="s">
        <v>859</v>
      </c>
      <c r="C174" s="13"/>
      <c r="D174" s="2">
        <v>4</v>
      </c>
      <c r="E174" s="2" t="s">
        <v>91</v>
      </c>
      <c r="F174" s="9" t="s">
        <v>860</v>
      </c>
      <c r="G174">
        <v>1540895</v>
      </c>
      <c r="I174" s="2"/>
      <c r="J174" s="25">
        <v>0</v>
      </c>
      <c r="K174">
        <v>4</v>
      </c>
      <c r="L174">
        <v>0</v>
      </c>
      <c r="M174" s="2"/>
      <c r="N174" s="2"/>
      <c r="O174" s="2"/>
      <c r="P174" s="2"/>
      <c r="Q174" s="2"/>
      <c r="R174" s="25">
        <v>0</v>
      </c>
      <c r="S174" s="25"/>
      <c r="T174" s="25"/>
      <c r="U174">
        <v>6.5429000000000004</v>
      </c>
      <c r="V174">
        <v>7.6490999999999998</v>
      </c>
      <c r="W174">
        <v>12.583</v>
      </c>
      <c r="X174">
        <v>0</v>
      </c>
      <c r="AA174" s="2"/>
      <c r="AB174">
        <v>18</v>
      </c>
      <c r="AC174" s="55">
        <f t="shared" si="24"/>
        <v>0</v>
      </c>
      <c r="AD174" s="57">
        <v>0</v>
      </c>
      <c r="AE174" s="55">
        <v>629.74513047537005</v>
      </c>
      <c r="AF174" s="55">
        <v>0</v>
      </c>
      <c r="AG174" s="52"/>
      <c r="AH174" s="51"/>
      <c r="AI174" s="52">
        <v>0.1143319678322086</v>
      </c>
      <c r="AJ174" s="52"/>
      <c r="AK174" s="28">
        <v>2</v>
      </c>
      <c r="AL174" s="28">
        <v>2.7692307692307692</v>
      </c>
      <c r="AM174" s="28">
        <v>0.76923076923076927</v>
      </c>
      <c r="AN174" s="28">
        <v>3.2307692307692308</v>
      </c>
      <c r="AO174" s="28">
        <v>0.22807017543859651</v>
      </c>
      <c r="AP174" s="28">
        <v>0.31578947368421051</v>
      </c>
      <c r="AQ174" s="28">
        <v>8.771929824561403E-2</v>
      </c>
      <c r="AR174" s="28">
        <v>0.36842105263157893</v>
      </c>
      <c r="AS174" s="25">
        <v>1.1000000000000001</v>
      </c>
      <c r="AT174" s="25">
        <v>3.44</v>
      </c>
      <c r="AU174" s="25">
        <v>2.34</v>
      </c>
      <c r="AV174" s="25">
        <v>2.8123076923076931</v>
      </c>
      <c r="AW174">
        <v>2.8123076923076931</v>
      </c>
      <c r="AX174">
        <v>6.3640369961538461</v>
      </c>
      <c r="AY174" s="75"/>
      <c r="AZ174" s="75">
        <v>0.55971264878746807</v>
      </c>
      <c r="BA174" s="75"/>
      <c r="BD174">
        <v>5.7165983916104293E-2</v>
      </c>
      <c r="BF174">
        <v>0.1143319678322086</v>
      </c>
      <c r="BG174">
        <v>5.7165983916104293E-2</v>
      </c>
      <c r="BH174">
        <v>0.55971264878746807</v>
      </c>
      <c r="BI174" s="79" t="s">
        <v>1264</v>
      </c>
      <c r="BJ174" s="79">
        <v>1498</v>
      </c>
      <c r="BK174" s="79">
        <f>15</f>
        <v>15</v>
      </c>
      <c r="BM174" s="79" t="s">
        <v>464</v>
      </c>
      <c r="BN174" s="79" t="s">
        <v>464</v>
      </c>
      <c r="BO174" s="79">
        <v>0</v>
      </c>
      <c r="BP174" s="79">
        <v>3.3</v>
      </c>
      <c r="BQ174" s="79">
        <v>2.5</v>
      </c>
      <c r="BR174" s="79">
        <v>0</v>
      </c>
      <c r="BS174" s="79" t="s">
        <v>1312</v>
      </c>
      <c r="BT174" s="79" t="s">
        <v>464</v>
      </c>
      <c r="BU174" s="79" t="s">
        <v>1266</v>
      </c>
      <c r="BV174" s="79">
        <v>400</v>
      </c>
      <c r="BZ174" s="81">
        <f>4240</f>
        <v>4240</v>
      </c>
      <c r="CA174">
        <f t="shared" si="15"/>
        <v>8.3523185482260036</v>
      </c>
    </row>
    <row r="175" spans="1:79" x14ac:dyDescent="0.3">
      <c r="A175" s="2" t="s">
        <v>87</v>
      </c>
      <c r="B175" s="13" t="s">
        <v>743</v>
      </c>
      <c r="C175" s="13"/>
      <c r="D175" s="2">
        <v>3.9</v>
      </c>
      <c r="E175" s="2" t="s">
        <v>91</v>
      </c>
      <c r="F175" s="9" t="s">
        <v>564</v>
      </c>
      <c r="G175">
        <v>-1</v>
      </c>
      <c r="I175" s="2"/>
      <c r="J175" s="25">
        <v>1</v>
      </c>
      <c r="K175">
        <v>0</v>
      </c>
      <c r="L175">
        <v>0</v>
      </c>
      <c r="M175" s="2"/>
      <c r="N175" s="2"/>
      <c r="P175" s="2"/>
      <c r="Q175" s="2"/>
      <c r="R175" s="25">
        <v>9.9051542599999998</v>
      </c>
      <c r="S175" s="25">
        <v>9.9051542599999998</v>
      </c>
      <c r="T175" s="25">
        <v>9.9051542599999998</v>
      </c>
      <c r="U175">
        <v>0</v>
      </c>
      <c r="X175">
        <v>0</v>
      </c>
      <c r="AA175" s="2"/>
      <c r="AB175">
        <v>14</v>
      </c>
      <c r="AC175" s="55">
        <f t="shared" si="24"/>
        <v>0</v>
      </c>
      <c r="AD175" s="57">
        <v>150.75696951344321</v>
      </c>
      <c r="AE175" s="55">
        <v>0</v>
      </c>
      <c r="AF175" s="55">
        <v>0</v>
      </c>
      <c r="AG175" s="52"/>
      <c r="AH175" s="51">
        <v>9.2864695046497372E-2</v>
      </c>
      <c r="AI175" s="52"/>
      <c r="AJ175" s="52"/>
      <c r="AK175" s="28">
        <v>1.833333333333333</v>
      </c>
      <c r="AL175" s="28">
        <v>2.333333333333333</v>
      </c>
      <c r="AM175" s="28">
        <v>0.5</v>
      </c>
      <c r="AN175" s="28">
        <v>2.333333333333333</v>
      </c>
      <c r="AO175" s="28">
        <v>0.26190476190476192</v>
      </c>
      <c r="AP175" s="28">
        <v>0.33333333333333343</v>
      </c>
      <c r="AQ175" s="28">
        <v>7.1428571428571425E-2</v>
      </c>
      <c r="AR175" s="28">
        <v>0.33333333333333343</v>
      </c>
      <c r="AS175" s="25">
        <v>0.95</v>
      </c>
      <c r="AT175" s="25">
        <v>3.44</v>
      </c>
      <c r="AU175" s="25">
        <v>2.4900000000000002</v>
      </c>
      <c r="AV175" s="25">
        <v>2.7024999999999988</v>
      </c>
      <c r="AW175">
        <v>2.7025000000000001</v>
      </c>
      <c r="AX175">
        <v>6.4896876145585001</v>
      </c>
      <c r="AY175" s="75">
        <v>0.47933948900870132</v>
      </c>
      <c r="AZ175" s="75"/>
      <c r="BA175" s="75"/>
      <c r="BC175">
        <v>4.6432347523248672E-2</v>
      </c>
      <c r="BF175">
        <v>9.2864695046497372E-2</v>
      </c>
      <c r="BG175">
        <v>4.6432347523248672E-2</v>
      </c>
      <c r="BH175">
        <v>0.47933948900870132</v>
      </c>
      <c r="BI175" s="79" t="s">
        <v>1264</v>
      </c>
      <c r="BJ175" s="79">
        <v>1498</v>
      </c>
      <c r="BK175" s="79">
        <f>15</f>
        <v>15</v>
      </c>
      <c r="BM175" s="79" t="s">
        <v>464</v>
      </c>
      <c r="BN175" s="79" t="s">
        <v>464</v>
      </c>
      <c r="BO175" s="79">
        <v>0</v>
      </c>
      <c r="BP175" s="79">
        <v>4</v>
      </c>
      <c r="BQ175" s="79">
        <v>2.5</v>
      </c>
      <c r="BR175" s="79">
        <v>0</v>
      </c>
      <c r="BS175" s="79" t="s">
        <v>1312</v>
      </c>
      <c r="BT175" s="79" t="s">
        <v>464</v>
      </c>
      <c r="BU175" s="79" t="s">
        <v>1266</v>
      </c>
      <c r="BV175" s="79">
        <v>400</v>
      </c>
      <c r="BZ175" s="81">
        <f>14900</f>
        <v>14900</v>
      </c>
      <c r="CA175">
        <f t="shared" si="15"/>
        <v>9.6091164919335501</v>
      </c>
    </row>
    <row r="176" spans="1:79" x14ac:dyDescent="0.3">
      <c r="A176" s="2" t="s">
        <v>27</v>
      </c>
      <c r="B176" s="13" t="s">
        <v>742</v>
      </c>
      <c r="C176" s="13"/>
      <c r="D176" s="2">
        <v>3.6</v>
      </c>
      <c r="E176" s="2" t="s">
        <v>91</v>
      </c>
      <c r="F176" s="9" t="s">
        <v>563</v>
      </c>
      <c r="G176" t="s">
        <v>641</v>
      </c>
      <c r="I176" s="2"/>
      <c r="J176" s="25"/>
      <c r="M176" s="2"/>
      <c r="N176" s="2"/>
      <c r="P176" s="2"/>
      <c r="Q176" s="2"/>
      <c r="R176" s="25"/>
      <c r="S176" s="25"/>
      <c r="T176" s="25"/>
      <c r="AA176" s="2"/>
      <c r="AC176" s="55"/>
      <c r="AD176" s="57"/>
      <c r="AE176" s="55"/>
      <c r="AF176" s="55"/>
      <c r="AG176" s="52"/>
      <c r="AH176" s="51"/>
      <c r="AI176" s="52"/>
      <c r="AJ176" s="52"/>
      <c r="AK176" s="28"/>
      <c r="AL176" s="28"/>
      <c r="AM176" s="28"/>
      <c r="AN176" s="28"/>
      <c r="AO176" s="28"/>
      <c r="AP176" s="28"/>
      <c r="AQ176" s="28"/>
      <c r="AR176" s="28"/>
      <c r="AS176" s="25"/>
      <c r="AT176" s="25"/>
      <c r="AU176" s="25"/>
      <c r="AV176" s="25"/>
      <c r="AY176" s="75"/>
      <c r="AZ176" s="75"/>
      <c r="BA176" s="75"/>
      <c r="BI176" s="79" t="s">
        <v>1264</v>
      </c>
      <c r="BJ176" s="79">
        <v>1498</v>
      </c>
      <c r="BK176" s="79">
        <f>15</f>
        <v>15</v>
      </c>
      <c r="BM176" s="79" t="s">
        <v>464</v>
      </c>
      <c r="BN176" s="79" t="s">
        <v>464</v>
      </c>
      <c r="BO176" s="79">
        <v>0</v>
      </c>
      <c r="BP176" s="79">
        <v>4</v>
      </c>
      <c r="BQ176" s="79">
        <v>2.5</v>
      </c>
      <c r="BR176" s="79">
        <v>0</v>
      </c>
      <c r="BS176" s="79" t="s">
        <v>1312</v>
      </c>
      <c r="BT176" s="79" t="s">
        <v>464</v>
      </c>
      <c r="BU176" s="79" t="s">
        <v>1266</v>
      </c>
      <c r="BV176" s="79">
        <v>400</v>
      </c>
      <c r="BZ176" s="81">
        <f>2700</f>
        <v>2700</v>
      </c>
      <c r="CA176">
        <f t="shared" si="15"/>
        <v>7.90100705199242</v>
      </c>
    </row>
    <row r="177" spans="1:79" x14ac:dyDescent="0.3">
      <c r="A177" s="2" t="s">
        <v>865</v>
      </c>
      <c r="B177" s="13"/>
      <c r="C177" s="13"/>
      <c r="D177" s="2"/>
      <c r="E177" s="2" t="s">
        <v>91</v>
      </c>
      <c r="F177" s="9"/>
      <c r="H177" s="1" t="s">
        <v>1212</v>
      </c>
      <c r="I177" s="2"/>
      <c r="J177" s="25"/>
      <c r="M177" s="2"/>
      <c r="N177" s="2"/>
      <c r="P177" s="2"/>
      <c r="Q177" s="2"/>
      <c r="R177" s="25"/>
      <c r="S177" s="25"/>
      <c r="T177" s="25"/>
      <c r="AA177" s="2"/>
      <c r="AC177" s="55"/>
      <c r="AD177" s="57"/>
      <c r="AE177" s="55"/>
      <c r="AF177" s="55"/>
      <c r="AG177" s="52"/>
      <c r="AH177" s="51"/>
      <c r="AI177" s="52"/>
      <c r="AJ177" s="52"/>
      <c r="AK177" s="28"/>
      <c r="AL177" s="28"/>
      <c r="AM177" s="28"/>
      <c r="AN177" s="28"/>
      <c r="AO177" s="28"/>
      <c r="AP177" s="28"/>
      <c r="AQ177" s="28"/>
      <c r="AR177" s="28"/>
      <c r="AS177" s="25"/>
      <c r="AT177" s="25"/>
      <c r="AU177" s="25"/>
      <c r="AV177" s="25"/>
      <c r="AY177" s="75"/>
      <c r="AZ177" s="75"/>
      <c r="BA177" s="75"/>
      <c r="BI177" s="79" t="s">
        <v>1264</v>
      </c>
      <c r="BJ177" s="79">
        <v>1498</v>
      </c>
      <c r="BK177" s="79">
        <f>15</f>
        <v>15</v>
      </c>
      <c r="BM177" s="79" t="s">
        <v>1275</v>
      </c>
      <c r="BN177" s="79" t="s">
        <v>56</v>
      </c>
      <c r="BO177" s="79">
        <v>2</v>
      </c>
      <c r="BP177" s="79">
        <v>16.7</v>
      </c>
      <c r="BQ177" s="79">
        <v>2.5</v>
      </c>
      <c r="BR177" s="79">
        <v>0</v>
      </c>
      <c r="BS177" s="79" t="s">
        <v>1312</v>
      </c>
      <c r="BT177" s="79" t="s">
        <v>464</v>
      </c>
      <c r="BU177" s="79" t="s">
        <v>1266</v>
      </c>
      <c r="BV177" s="79">
        <v>400</v>
      </c>
      <c r="BZ177" s="81">
        <f>940*2</f>
        <v>1880</v>
      </c>
      <c r="CA177">
        <f t="shared" si="15"/>
        <v>7.5390270558239951</v>
      </c>
    </row>
    <row r="178" spans="1:79" x14ac:dyDescent="0.3">
      <c r="A178" s="2" t="s">
        <v>87</v>
      </c>
      <c r="B178" s="13"/>
      <c r="C178" s="13"/>
      <c r="D178" s="2"/>
      <c r="E178" s="2" t="s">
        <v>91</v>
      </c>
      <c r="F178" s="9" t="s">
        <v>564</v>
      </c>
      <c r="I178" s="2"/>
      <c r="J178" s="25"/>
      <c r="M178" s="2"/>
      <c r="N178" s="2"/>
      <c r="P178" s="2"/>
      <c r="Q178" s="2"/>
      <c r="R178" s="25"/>
      <c r="S178" s="25"/>
      <c r="T178" s="25"/>
      <c r="AA178" s="2"/>
      <c r="AC178" s="55"/>
      <c r="AD178" s="57"/>
      <c r="AE178" s="55"/>
      <c r="AF178" s="55"/>
      <c r="AG178" s="52"/>
      <c r="AH178" s="51"/>
      <c r="AI178" s="52"/>
      <c r="AJ178" s="52"/>
      <c r="AK178" s="28"/>
      <c r="AL178" s="28"/>
      <c r="AM178" s="28"/>
      <c r="AN178" s="28"/>
      <c r="AO178" s="28"/>
      <c r="AP178" s="28"/>
      <c r="AQ178" s="28"/>
      <c r="AR178" s="28"/>
      <c r="AS178" s="25"/>
      <c r="AT178" s="25"/>
      <c r="AU178" s="25"/>
      <c r="AV178" s="25"/>
      <c r="AY178" s="75"/>
      <c r="AZ178" s="75"/>
      <c r="BA178" s="75"/>
      <c r="BI178" s="79" t="s">
        <v>1264</v>
      </c>
      <c r="BJ178" s="79">
        <v>1498</v>
      </c>
      <c r="BK178" s="79">
        <f>15</f>
        <v>15</v>
      </c>
      <c r="BM178" s="79" t="s">
        <v>1275</v>
      </c>
      <c r="BN178" s="79" t="s">
        <v>56</v>
      </c>
      <c r="BO178" s="79">
        <v>0.5</v>
      </c>
      <c r="BP178" s="79">
        <v>4.7</v>
      </c>
      <c r="BQ178" s="79">
        <v>2.5</v>
      </c>
      <c r="BR178" s="79">
        <v>0</v>
      </c>
      <c r="BS178" s="79" t="s">
        <v>1312</v>
      </c>
      <c r="BT178" s="79" t="s">
        <v>464</v>
      </c>
      <c r="BU178" s="79" t="s">
        <v>1266</v>
      </c>
      <c r="BV178" s="79">
        <v>400</v>
      </c>
      <c r="BZ178" s="81">
        <f>240*2</f>
        <v>480</v>
      </c>
      <c r="CA178">
        <f t="shared" si="15"/>
        <v>6.1737861039019366</v>
      </c>
    </row>
    <row r="179" spans="1:79" x14ac:dyDescent="0.3">
      <c r="A179" s="2" t="s">
        <v>92</v>
      </c>
      <c r="B179" s="17" t="s">
        <v>915</v>
      </c>
      <c r="C179" s="13"/>
      <c r="D179" s="2">
        <v>4.0999999999999996</v>
      </c>
      <c r="E179" s="2" t="s">
        <v>93</v>
      </c>
      <c r="F179" s="9">
        <v>-1</v>
      </c>
      <c r="G179">
        <v>-1</v>
      </c>
      <c r="H179" s="1" t="s">
        <v>1212</v>
      </c>
      <c r="I179" s="2"/>
      <c r="J179" s="25">
        <v>0</v>
      </c>
      <c r="K179">
        <v>0</v>
      </c>
      <c r="L179">
        <v>0</v>
      </c>
      <c r="M179" s="2">
        <v>3.9499</v>
      </c>
      <c r="N179" s="2">
        <v>3.9499</v>
      </c>
      <c r="O179" s="2">
        <v>17.030999999999999</v>
      </c>
      <c r="P179" s="2" t="s">
        <v>439</v>
      </c>
      <c r="Q179" s="2"/>
      <c r="R179" s="25">
        <v>0</v>
      </c>
      <c r="S179" s="25"/>
      <c r="T179" s="25"/>
      <c r="U179">
        <v>0</v>
      </c>
      <c r="X179">
        <v>0</v>
      </c>
      <c r="AA179" s="2"/>
      <c r="AB179">
        <v>20</v>
      </c>
      <c r="AC179" s="55">
        <f t="shared" ref="AC179" si="26">M179*N179*O179</f>
        <v>265.71272318030998</v>
      </c>
      <c r="AD179" s="57">
        <v>0</v>
      </c>
      <c r="AE179" s="55">
        <v>0</v>
      </c>
      <c r="AF179" s="55">
        <v>0</v>
      </c>
      <c r="AG179" s="52"/>
      <c r="AH179" s="51"/>
      <c r="AI179" s="52"/>
      <c r="AJ179" s="52"/>
      <c r="AK179" s="28">
        <v>1.8787878787878789</v>
      </c>
      <c r="AL179" s="28">
        <v>2.4242424242424239</v>
      </c>
      <c r="AM179" s="28">
        <v>0.54545454545454541</v>
      </c>
      <c r="AN179" s="28">
        <v>2.545454545454545</v>
      </c>
      <c r="AO179" s="28">
        <v>0.25409836065573771</v>
      </c>
      <c r="AP179" s="28">
        <v>0.32786885245901642</v>
      </c>
      <c r="AQ179" s="28">
        <v>7.3770491803278687E-2</v>
      </c>
      <c r="AR179" s="28">
        <v>0.34426229508196721</v>
      </c>
      <c r="AS179" s="25">
        <v>0.82</v>
      </c>
      <c r="AT179" s="25">
        <v>3.44</v>
      </c>
      <c r="AU179" s="25">
        <v>2.62</v>
      </c>
      <c r="AV179" s="25">
        <v>2.543333333333333</v>
      </c>
      <c r="AW179">
        <v>2.5433333333333339</v>
      </c>
      <c r="AX179">
        <v>5.8398279362121217</v>
      </c>
      <c r="AY179" s="75"/>
      <c r="AZ179" s="75"/>
      <c r="BA179" s="75"/>
      <c r="BF179">
        <v>0</v>
      </c>
      <c r="BG179">
        <v>0</v>
      </c>
      <c r="BH179">
        <v>0</v>
      </c>
      <c r="BI179" s="79" t="s">
        <v>1264</v>
      </c>
      <c r="BJ179" s="79">
        <v>1473</v>
      </c>
      <c r="BK179" s="79">
        <v>10</v>
      </c>
      <c r="BM179" s="79" t="s">
        <v>1268</v>
      </c>
      <c r="BN179" s="79" t="s">
        <v>863</v>
      </c>
      <c r="BO179" s="79">
        <v>0.5</v>
      </c>
      <c r="BQ179" s="79">
        <v>1.35</v>
      </c>
      <c r="BR179" s="79">
        <v>13.5</v>
      </c>
      <c r="BS179" s="79" t="s">
        <v>464</v>
      </c>
      <c r="BT179" s="79" t="s">
        <v>464</v>
      </c>
      <c r="BU179" s="79" t="s">
        <v>1266</v>
      </c>
      <c r="BV179" s="79">
        <v>400</v>
      </c>
      <c r="BW179" s="87">
        <v>252.5</v>
      </c>
      <c r="BX179" s="87" t="s">
        <v>1311</v>
      </c>
      <c r="BZ179" s="81">
        <f>1500*2</f>
        <v>3000</v>
      </c>
      <c r="CA179">
        <f t="shared" si="15"/>
        <v>8.0063675676502459</v>
      </c>
    </row>
    <row r="180" spans="1:79" x14ac:dyDescent="0.3">
      <c r="A180" s="2" t="s">
        <v>92</v>
      </c>
      <c r="B180" s="17" t="s">
        <v>915</v>
      </c>
      <c r="C180" s="13"/>
      <c r="D180" s="2">
        <v>4.0999999999999996</v>
      </c>
      <c r="E180" s="2" t="s">
        <v>93</v>
      </c>
      <c r="F180" s="9">
        <v>-1</v>
      </c>
      <c r="G180">
        <v>-1</v>
      </c>
      <c r="H180" s="1" t="s">
        <v>1212</v>
      </c>
      <c r="I180" s="2"/>
      <c r="J180" s="25">
        <v>0</v>
      </c>
      <c r="K180">
        <v>0</v>
      </c>
      <c r="L180">
        <v>0</v>
      </c>
      <c r="M180" s="2">
        <v>3.9499</v>
      </c>
      <c r="N180" s="2">
        <v>3.9499</v>
      </c>
      <c r="O180" s="2">
        <v>17.030999999999999</v>
      </c>
      <c r="P180" s="2" t="s">
        <v>439</v>
      </c>
      <c r="Q180" s="2"/>
      <c r="R180" s="25">
        <v>0</v>
      </c>
      <c r="S180" s="25"/>
      <c r="T180" s="25"/>
      <c r="U180">
        <v>0</v>
      </c>
      <c r="X180">
        <v>0</v>
      </c>
      <c r="AA180" s="2"/>
      <c r="AB180">
        <v>20</v>
      </c>
      <c r="AC180" s="55">
        <f t="shared" si="11"/>
        <v>265.71272318030998</v>
      </c>
      <c r="AD180" s="57">
        <v>0</v>
      </c>
      <c r="AE180" s="55">
        <v>0</v>
      </c>
      <c r="AF180" s="55">
        <v>0</v>
      </c>
      <c r="AG180" s="52"/>
      <c r="AH180" s="51"/>
      <c r="AI180" s="52"/>
      <c r="AJ180" s="52"/>
      <c r="AK180" s="28">
        <v>1.8787878787878789</v>
      </c>
      <c r="AL180" s="28">
        <v>2.4242424242424239</v>
      </c>
      <c r="AM180" s="28">
        <v>0.54545454545454541</v>
      </c>
      <c r="AN180" s="28">
        <v>2.545454545454545</v>
      </c>
      <c r="AO180" s="28">
        <v>0.25409836065573771</v>
      </c>
      <c r="AP180" s="28">
        <v>0.32786885245901642</v>
      </c>
      <c r="AQ180" s="28">
        <v>7.3770491803278687E-2</v>
      </c>
      <c r="AR180" s="28">
        <v>0.34426229508196721</v>
      </c>
      <c r="AS180" s="25">
        <v>0.82</v>
      </c>
      <c r="AT180" s="25">
        <v>3.44</v>
      </c>
      <c r="AU180" s="25">
        <v>2.62</v>
      </c>
      <c r="AV180" s="25">
        <v>2.543333333333333</v>
      </c>
      <c r="AW180">
        <v>2.5433333333333339</v>
      </c>
      <c r="AX180">
        <v>5.8398279362121217</v>
      </c>
      <c r="AY180" s="75"/>
      <c r="AZ180" s="75"/>
      <c r="BA180" s="75"/>
      <c r="BF180">
        <v>0</v>
      </c>
      <c r="BG180">
        <v>0</v>
      </c>
      <c r="BH180">
        <v>0</v>
      </c>
      <c r="BI180" s="79" t="s">
        <v>1264</v>
      </c>
      <c r="BJ180" s="79">
        <v>1473</v>
      </c>
      <c r="BK180" s="79">
        <v>10</v>
      </c>
      <c r="BM180" s="79" t="s">
        <v>1275</v>
      </c>
      <c r="BN180" s="79" t="s">
        <v>1314</v>
      </c>
      <c r="BO180" s="79">
        <v>0.5</v>
      </c>
      <c r="BQ180" s="79">
        <v>1.35</v>
      </c>
      <c r="BR180" s="79">
        <v>13.5</v>
      </c>
      <c r="BS180" s="79" t="s">
        <v>464</v>
      </c>
      <c r="BT180" s="79" t="s">
        <v>464</v>
      </c>
      <c r="BU180" s="79" t="s">
        <v>1266</v>
      </c>
      <c r="BV180" s="79">
        <v>400</v>
      </c>
      <c r="BW180" s="87">
        <v>252.5</v>
      </c>
      <c r="BX180" s="87" t="s">
        <v>1311</v>
      </c>
      <c r="BZ180" s="81">
        <v>133</v>
      </c>
      <c r="CA180">
        <f t="shared" si="15"/>
        <v>4.8903491282217537</v>
      </c>
    </row>
    <row r="181" spans="1:79" x14ac:dyDescent="0.3">
      <c r="A181" s="2" t="s">
        <v>34</v>
      </c>
      <c r="B181" s="13" t="s">
        <v>711</v>
      </c>
      <c r="C181" s="13"/>
      <c r="D181" s="2">
        <v>3.2</v>
      </c>
      <c r="E181" s="2" t="s">
        <v>94</v>
      </c>
      <c r="F181" s="9" t="s">
        <v>542</v>
      </c>
      <c r="G181" t="s">
        <v>623</v>
      </c>
      <c r="I181" s="2"/>
      <c r="J181" s="25">
        <v>1</v>
      </c>
      <c r="K181">
        <v>2</v>
      </c>
      <c r="L181">
        <v>0</v>
      </c>
      <c r="M181" s="2"/>
      <c r="N181" s="2"/>
      <c r="R181" s="25">
        <v>3.9086759899999999</v>
      </c>
      <c r="S181" s="25">
        <v>3.908676100000001</v>
      </c>
      <c r="T181" s="25">
        <v>10.552604730000001</v>
      </c>
      <c r="U181">
        <v>3.899</v>
      </c>
      <c r="V181">
        <v>3.899</v>
      </c>
      <c r="W181">
        <v>20.399989999999999</v>
      </c>
      <c r="X181">
        <v>0</v>
      </c>
      <c r="AA181" s="2"/>
      <c r="AB181">
        <v>14</v>
      </c>
      <c r="AC181" s="55">
        <f t="shared" si="11"/>
        <v>0</v>
      </c>
      <c r="AD181" s="57">
        <v>155.59136328639269</v>
      </c>
      <c r="AE181" s="55">
        <v>310.12474837798999</v>
      </c>
      <c r="AF181" s="55">
        <v>0</v>
      </c>
      <c r="AG181" s="52"/>
      <c r="AH181" s="51">
        <v>8.9979287437893268E-2</v>
      </c>
      <c r="AI181" s="52">
        <v>9.0286248183820222E-2</v>
      </c>
      <c r="AJ181" s="52"/>
      <c r="AK181" s="28">
        <v>2</v>
      </c>
      <c r="AL181" s="28">
        <v>2.333333333333333</v>
      </c>
      <c r="AM181" s="28">
        <v>0.33333333333333331</v>
      </c>
      <c r="AN181" s="28">
        <v>0</v>
      </c>
      <c r="AO181" s="28">
        <v>0.42857142857142849</v>
      </c>
      <c r="AP181" s="28">
        <v>0.5</v>
      </c>
      <c r="AQ181" s="28">
        <v>7.1428571428571425E-2</v>
      </c>
      <c r="AR181" s="28">
        <v>0</v>
      </c>
      <c r="AS181" s="25">
        <v>0.95</v>
      </c>
      <c r="AT181" s="25">
        <v>3.44</v>
      </c>
      <c r="AU181" s="25">
        <v>2.4900000000000002</v>
      </c>
      <c r="AV181" s="25">
        <v>2.500833333333333</v>
      </c>
      <c r="AW181">
        <v>2.500833333333333</v>
      </c>
      <c r="AX181">
        <v>5.6917605187500007</v>
      </c>
      <c r="AY181" s="75">
        <v>0.58499657192886345</v>
      </c>
      <c r="AZ181" s="75">
        <v>0.58699226437317098</v>
      </c>
      <c r="BA181" s="75"/>
      <c r="BC181">
        <v>4.4989643718946627E-2</v>
      </c>
      <c r="BD181">
        <v>4.5143124091910111E-2</v>
      </c>
      <c r="BF181">
        <v>9.0132767810856745E-2</v>
      </c>
      <c r="BG181">
        <v>4.5066383905428373E-2</v>
      </c>
      <c r="BH181">
        <v>0.58599441815101727</v>
      </c>
      <c r="BI181" s="79" t="s">
        <v>1264</v>
      </c>
      <c r="BJ181" s="79">
        <v>1373</v>
      </c>
      <c r="BK181" s="79">
        <v>30</v>
      </c>
      <c r="BM181" s="79" t="s">
        <v>1275</v>
      </c>
      <c r="BN181" s="79" t="s">
        <v>56</v>
      </c>
      <c r="BO181" s="79">
        <v>1</v>
      </c>
      <c r="BP181" s="79">
        <v>3.49</v>
      </c>
      <c r="BQ181" s="79">
        <v>2.11</v>
      </c>
      <c r="BR181" s="79">
        <v>0</v>
      </c>
      <c r="BS181" s="79" t="s">
        <v>464</v>
      </c>
      <c r="BT181" s="79" t="s">
        <v>464</v>
      </c>
      <c r="BU181" s="79" t="s">
        <v>1266</v>
      </c>
      <c r="BV181" s="79">
        <v>400</v>
      </c>
      <c r="BZ181" s="81">
        <v>60</v>
      </c>
      <c r="CA181">
        <f t="shared" si="15"/>
        <v>4.0943445622221004</v>
      </c>
    </row>
    <row r="182" spans="1:79" x14ac:dyDescent="0.3">
      <c r="A182" s="2" t="s">
        <v>34</v>
      </c>
      <c r="B182" s="13" t="s">
        <v>711</v>
      </c>
      <c r="C182" s="13"/>
      <c r="D182" s="2">
        <v>3.2</v>
      </c>
      <c r="E182" s="2" t="s">
        <v>94</v>
      </c>
      <c r="F182" s="9" t="s">
        <v>542</v>
      </c>
      <c r="G182" t="s">
        <v>623</v>
      </c>
      <c r="I182" s="2"/>
      <c r="J182" s="25">
        <v>1</v>
      </c>
      <c r="K182">
        <v>2</v>
      </c>
      <c r="L182">
        <v>0</v>
      </c>
      <c r="M182" s="2"/>
      <c r="N182" s="2"/>
      <c r="R182" s="25">
        <v>3.9086759899999999</v>
      </c>
      <c r="S182" s="25">
        <v>3.908676100000001</v>
      </c>
      <c r="T182" s="25">
        <v>10.552604730000001</v>
      </c>
      <c r="U182">
        <v>3.899</v>
      </c>
      <c r="V182">
        <v>3.899</v>
      </c>
      <c r="W182">
        <v>20.399989999999999</v>
      </c>
      <c r="X182">
        <v>0</v>
      </c>
      <c r="AA182" s="2"/>
      <c r="AB182">
        <v>14</v>
      </c>
      <c r="AC182" s="55">
        <f t="shared" ref="AC182:AC183" si="27">M182*N182*O182</f>
        <v>0</v>
      </c>
      <c r="AD182" s="57">
        <v>155.59136328639269</v>
      </c>
      <c r="AE182" s="55">
        <v>310.12474837798999</v>
      </c>
      <c r="AF182" s="55">
        <v>0</v>
      </c>
      <c r="AG182" s="52"/>
      <c r="AH182" s="51">
        <v>8.9979287437893268E-2</v>
      </c>
      <c r="AI182" s="52">
        <v>9.0286248183820222E-2</v>
      </c>
      <c r="AJ182" s="52"/>
      <c r="AK182" s="28">
        <v>2</v>
      </c>
      <c r="AL182" s="28">
        <v>2.333333333333333</v>
      </c>
      <c r="AM182" s="28">
        <v>0.33333333333333331</v>
      </c>
      <c r="AN182" s="28">
        <v>0</v>
      </c>
      <c r="AO182" s="28">
        <v>0.42857142857142849</v>
      </c>
      <c r="AP182" s="28">
        <v>0.5</v>
      </c>
      <c r="AQ182" s="28">
        <v>7.1428571428571425E-2</v>
      </c>
      <c r="AR182" s="28">
        <v>0</v>
      </c>
      <c r="AS182" s="25">
        <v>0.95</v>
      </c>
      <c r="AT182" s="25">
        <v>3.44</v>
      </c>
      <c r="AU182" s="25">
        <v>2.4900000000000002</v>
      </c>
      <c r="AV182" s="25">
        <v>2.500833333333333</v>
      </c>
      <c r="AW182">
        <v>2.500833333333333</v>
      </c>
      <c r="AX182">
        <v>5.6917605187500007</v>
      </c>
      <c r="AY182" s="75">
        <v>0.58499657192886345</v>
      </c>
      <c r="AZ182" s="75">
        <v>0.58699226437317098</v>
      </c>
      <c r="BA182" s="75"/>
      <c r="BC182">
        <v>4.4989643718946627E-2</v>
      </c>
      <c r="BD182">
        <v>4.5143124091910111E-2</v>
      </c>
      <c r="BF182">
        <v>9.0132767810856745E-2</v>
      </c>
      <c r="BG182">
        <v>4.5066383905428373E-2</v>
      </c>
      <c r="BH182">
        <v>0.58599441815101727</v>
      </c>
      <c r="BI182" s="79" t="s">
        <v>1305</v>
      </c>
      <c r="BJ182" s="79">
        <f>973</f>
        <v>973</v>
      </c>
      <c r="BK182" s="79">
        <v>2</v>
      </c>
      <c r="BM182" s="79" t="s">
        <v>1275</v>
      </c>
      <c r="BN182" s="79" t="s">
        <v>56</v>
      </c>
      <c r="BO182" s="79">
        <v>1</v>
      </c>
      <c r="BP182" s="79">
        <v>8.1449999999999996</v>
      </c>
      <c r="BQ182" s="79">
        <v>2.11</v>
      </c>
      <c r="BR182" s="79">
        <v>0</v>
      </c>
      <c r="BS182" s="79" t="s">
        <v>464</v>
      </c>
      <c r="BT182" s="79" t="s">
        <v>464</v>
      </c>
      <c r="BU182" s="79" t="s">
        <v>1266</v>
      </c>
      <c r="BV182" s="79">
        <v>400</v>
      </c>
      <c r="BZ182" s="81">
        <v>80</v>
      </c>
      <c r="CA182">
        <f t="shared" si="15"/>
        <v>4.3820266346738812</v>
      </c>
    </row>
    <row r="183" spans="1:79" x14ac:dyDescent="0.3">
      <c r="A183" s="2" t="s">
        <v>34</v>
      </c>
      <c r="B183" s="13" t="s">
        <v>711</v>
      </c>
      <c r="C183" s="13"/>
      <c r="D183" s="2">
        <v>3.2</v>
      </c>
      <c r="E183" s="2" t="s">
        <v>94</v>
      </c>
      <c r="F183" s="9" t="s">
        <v>542</v>
      </c>
      <c r="G183" t="s">
        <v>623</v>
      </c>
      <c r="I183" s="2"/>
      <c r="J183" s="25">
        <v>1</v>
      </c>
      <c r="K183">
        <v>2</v>
      </c>
      <c r="L183">
        <v>0</v>
      </c>
      <c r="M183" s="2"/>
      <c r="N183" s="2"/>
      <c r="R183" s="25">
        <v>3.9086759899999999</v>
      </c>
      <c r="S183" s="25">
        <v>3.908676100000001</v>
      </c>
      <c r="T183" s="25">
        <v>10.552604730000001</v>
      </c>
      <c r="U183">
        <v>3.899</v>
      </c>
      <c r="V183">
        <v>3.899</v>
      </c>
      <c r="W183">
        <v>20.399989999999999</v>
      </c>
      <c r="X183">
        <v>0</v>
      </c>
      <c r="AA183" s="2"/>
      <c r="AB183">
        <v>14</v>
      </c>
      <c r="AC183" s="55">
        <f t="shared" si="27"/>
        <v>0</v>
      </c>
      <c r="AD183" s="57">
        <v>155.59136328639269</v>
      </c>
      <c r="AE183" s="55">
        <v>310.12474837798999</v>
      </c>
      <c r="AF183" s="55">
        <v>0</v>
      </c>
      <c r="AG183" s="52"/>
      <c r="AH183" s="51">
        <v>8.9979287437893268E-2</v>
      </c>
      <c r="AI183" s="52">
        <v>9.0286248183820222E-2</v>
      </c>
      <c r="AJ183" s="52"/>
      <c r="AK183" s="28">
        <v>2</v>
      </c>
      <c r="AL183" s="28">
        <v>2.333333333333333</v>
      </c>
      <c r="AM183" s="28">
        <v>0.33333333333333331</v>
      </c>
      <c r="AN183" s="28">
        <v>0</v>
      </c>
      <c r="AO183" s="28">
        <v>0.42857142857142849</v>
      </c>
      <c r="AP183" s="28">
        <v>0.5</v>
      </c>
      <c r="AQ183" s="28">
        <v>7.1428571428571425E-2</v>
      </c>
      <c r="AR183" s="28">
        <v>0</v>
      </c>
      <c r="AS183" s="25">
        <v>0.95</v>
      </c>
      <c r="AT183" s="25">
        <v>3.44</v>
      </c>
      <c r="AU183" s="25">
        <v>2.4900000000000002</v>
      </c>
      <c r="AV183" s="25">
        <v>2.500833333333333</v>
      </c>
      <c r="AW183">
        <v>2.500833333333333</v>
      </c>
      <c r="AX183">
        <v>5.6917605187500007</v>
      </c>
      <c r="AY183" s="75">
        <v>0.58499657192886345</v>
      </c>
      <c r="AZ183" s="75">
        <v>0.58699226437317098</v>
      </c>
      <c r="BA183" s="75"/>
      <c r="BC183">
        <v>4.4989643718946627E-2</v>
      </c>
      <c r="BD183">
        <v>4.5143124091910111E-2</v>
      </c>
      <c r="BF183">
        <v>9.0132767810856745E-2</v>
      </c>
      <c r="BG183">
        <v>4.5066383905428373E-2</v>
      </c>
      <c r="BH183">
        <v>0.58599441815101727</v>
      </c>
      <c r="BI183" s="79" t="s">
        <v>1264</v>
      </c>
      <c r="BJ183" s="79">
        <v>1373</v>
      </c>
      <c r="BK183" s="79">
        <v>30</v>
      </c>
      <c r="BM183" s="79" t="s">
        <v>1275</v>
      </c>
      <c r="BN183" s="79" t="s">
        <v>56</v>
      </c>
      <c r="BO183" s="79">
        <v>3</v>
      </c>
      <c r="BP183" s="79">
        <v>3.49</v>
      </c>
      <c r="BQ183" s="79">
        <v>2.11</v>
      </c>
      <c r="BR183" s="79">
        <v>0</v>
      </c>
      <c r="BS183" s="79" t="s">
        <v>464</v>
      </c>
      <c r="BT183" s="79" t="s">
        <v>464</v>
      </c>
      <c r="BU183" s="79" t="s">
        <v>1266</v>
      </c>
      <c r="BV183" s="79">
        <v>400</v>
      </c>
      <c r="BZ183" s="81">
        <v>75</v>
      </c>
      <c r="CA183">
        <f t="shared" si="15"/>
        <v>4.3174881135363101</v>
      </c>
    </row>
    <row r="184" spans="1:79" x14ac:dyDescent="0.3">
      <c r="A184" s="2" t="s">
        <v>34</v>
      </c>
      <c r="B184" s="13" t="s">
        <v>711</v>
      </c>
      <c r="C184" s="13"/>
      <c r="D184" s="2">
        <v>3.2</v>
      </c>
      <c r="E184" s="2" t="s">
        <v>94</v>
      </c>
      <c r="F184" s="9" t="s">
        <v>542</v>
      </c>
      <c r="G184" t="s">
        <v>623</v>
      </c>
      <c r="I184" s="2"/>
      <c r="J184" s="25">
        <v>1</v>
      </c>
      <c r="K184">
        <v>2</v>
      </c>
      <c r="L184">
        <v>0</v>
      </c>
      <c r="M184" s="2"/>
      <c r="N184" s="2"/>
      <c r="R184" s="25">
        <v>3.9086759899999999</v>
      </c>
      <c r="S184" s="25">
        <v>3.908676100000001</v>
      </c>
      <c r="T184" s="25">
        <v>10.552604730000001</v>
      </c>
      <c r="U184">
        <v>3.899</v>
      </c>
      <c r="V184">
        <v>3.899</v>
      </c>
      <c r="W184">
        <v>20.399989999999999</v>
      </c>
      <c r="X184">
        <v>0</v>
      </c>
      <c r="AA184" s="2"/>
      <c r="AB184">
        <v>14</v>
      </c>
      <c r="AC184" s="55">
        <f t="shared" ref="AC184:AC185" si="28">M184*N184*O184</f>
        <v>0</v>
      </c>
      <c r="AD184" s="57">
        <v>155.59136328639269</v>
      </c>
      <c r="AE184" s="55">
        <v>310.12474837798999</v>
      </c>
      <c r="AF184" s="55">
        <v>0</v>
      </c>
      <c r="AG184" s="52"/>
      <c r="AH184" s="51">
        <v>8.9979287437893268E-2</v>
      </c>
      <c r="AI184" s="52">
        <v>9.0286248183820222E-2</v>
      </c>
      <c r="AJ184" s="52"/>
      <c r="AK184" s="28">
        <v>2</v>
      </c>
      <c r="AL184" s="28">
        <v>2.333333333333333</v>
      </c>
      <c r="AM184" s="28">
        <v>0.33333333333333331</v>
      </c>
      <c r="AN184" s="28">
        <v>0</v>
      </c>
      <c r="AO184" s="28">
        <v>0.42857142857142849</v>
      </c>
      <c r="AP184" s="28">
        <v>0.5</v>
      </c>
      <c r="AQ184" s="28">
        <v>7.1428571428571425E-2</v>
      </c>
      <c r="AR184" s="28">
        <v>0</v>
      </c>
      <c r="AS184" s="25">
        <v>0.95</v>
      </c>
      <c r="AT184" s="25">
        <v>3.44</v>
      </c>
      <c r="AU184" s="25">
        <v>2.4900000000000002</v>
      </c>
      <c r="AV184" s="25">
        <v>2.500833333333333</v>
      </c>
      <c r="AW184">
        <v>2.500833333333333</v>
      </c>
      <c r="AX184">
        <v>5.6917605187500007</v>
      </c>
      <c r="AY184" s="75">
        <v>0.58499657192886345</v>
      </c>
      <c r="AZ184" s="75">
        <v>0.58699226437317098</v>
      </c>
      <c r="BA184" s="75"/>
      <c r="BC184">
        <v>4.4989643718946627E-2</v>
      </c>
      <c r="BD184">
        <v>4.5143124091910111E-2</v>
      </c>
      <c r="BF184">
        <v>9.0132767810856745E-2</v>
      </c>
      <c r="BG184">
        <v>4.5066383905428373E-2</v>
      </c>
      <c r="BH184">
        <v>0.58599441815101727</v>
      </c>
      <c r="BI184" s="79" t="s">
        <v>1305</v>
      </c>
      <c r="BJ184" s="79">
        <f>973</f>
        <v>973</v>
      </c>
      <c r="BK184" s="79">
        <v>2</v>
      </c>
      <c r="BM184" s="79" t="s">
        <v>1275</v>
      </c>
      <c r="BN184" s="79" t="s">
        <v>56</v>
      </c>
      <c r="BO184" s="79">
        <v>3</v>
      </c>
      <c r="BP184" s="79">
        <v>8.1449999999999996</v>
      </c>
      <c r="BQ184" s="79">
        <v>2.11</v>
      </c>
      <c r="BR184" s="79">
        <v>0</v>
      </c>
      <c r="BS184" s="79" t="s">
        <v>464</v>
      </c>
      <c r="BT184" s="79" t="s">
        <v>464</v>
      </c>
      <c r="BU184" s="79" t="s">
        <v>1266</v>
      </c>
      <c r="BV184" s="79">
        <v>400</v>
      </c>
      <c r="BZ184" s="81">
        <v>145</v>
      </c>
      <c r="CA184">
        <f t="shared" si="15"/>
        <v>4.9767337424205742</v>
      </c>
    </row>
    <row r="185" spans="1:79" x14ac:dyDescent="0.3">
      <c r="A185" s="2" t="s">
        <v>34</v>
      </c>
      <c r="B185" s="13" t="s">
        <v>711</v>
      </c>
      <c r="C185" s="13"/>
      <c r="D185" s="2">
        <v>3.2</v>
      </c>
      <c r="E185" s="2" t="s">
        <v>94</v>
      </c>
      <c r="F185" s="9" t="s">
        <v>542</v>
      </c>
      <c r="G185" t="s">
        <v>623</v>
      </c>
      <c r="I185" s="2"/>
      <c r="J185" s="25">
        <v>1</v>
      </c>
      <c r="K185">
        <v>2</v>
      </c>
      <c r="L185">
        <v>0</v>
      </c>
      <c r="M185" s="2"/>
      <c r="N185" s="2"/>
      <c r="R185" s="25">
        <v>3.9086759899999999</v>
      </c>
      <c r="S185" s="25">
        <v>3.908676100000001</v>
      </c>
      <c r="T185" s="25">
        <v>10.552604730000001</v>
      </c>
      <c r="U185">
        <v>3.899</v>
      </c>
      <c r="V185">
        <v>3.899</v>
      </c>
      <c r="W185">
        <v>20.399989999999999</v>
      </c>
      <c r="X185">
        <v>0</v>
      </c>
      <c r="AA185" s="2"/>
      <c r="AB185">
        <v>14</v>
      </c>
      <c r="AC185" s="55">
        <f t="shared" si="28"/>
        <v>0</v>
      </c>
      <c r="AD185" s="57">
        <v>155.59136328639269</v>
      </c>
      <c r="AE185" s="55">
        <v>310.12474837798999</v>
      </c>
      <c r="AF185" s="55">
        <v>0</v>
      </c>
      <c r="AG185" s="52"/>
      <c r="AH185" s="51">
        <v>8.9979287437893268E-2</v>
      </c>
      <c r="AI185" s="52">
        <v>9.0286248183820222E-2</v>
      </c>
      <c r="AJ185" s="52"/>
      <c r="AK185" s="28">
        <v>2</v>
      </c>
      <c r="AL185" s="28">
        <v>2.333333333333333</v>
      </c>
      <c r="AM185" s="28">
        <v>0.33333333333333331</v>
      </c>
      <c r="AN185" s="28">
        <v>0</v>
      </c>
      <c r="AO185" s="28">
        <v>0.42857142857142849</v>
      </c>
      <c r="AP185" s="28">
        <v>0.5</v>
      </c>
      <c r="AQ185" s="28">
        <v>7.1428571428571425E-2</v>
      </c>
      <c r="AR185" s="28">
        <v>0</v>
      </c>
      <c r="AS185" s="25">
        <v>0.95</v>
      </c>
      <c r="AT185" s="25">
        <v>3.44</v>
      </c>
      <c r="AU185" s="25">
        <v>2.4900000000000002</v>
      </c>
      <c r="AV185" s="25">
        <v>2.500833333333333</v>
      </c>
      <c r="AW185">
        <v>2.500833333333333</v>
      </c>
      <c r="AX185">
        <v>5.6917605187500007</v>
      </c>
      <c r="AY185" s="75">
        <v>0.58499657192886345</v>
      </c>
      <c r="AZ185" s="75">
        <v>0.58699226437317098</v>
      </c>
      <c r="BA185" s="75"/>
      <c r="BC185">
        <v>4.4989643718946627E-2</v>
      </c>
      <c r="BD185">
        <v>4.5143124091910111E-2</v>
      </c>
      <c r="BF185">
        <v>9.0132767810856745E-2</v>
      </c>
      <c r="BG185">
        <v>4.5066383905428373E-2</v>
      </c>
      <c r="BH185">
        <v>0.58599441815101727</v>
      </c>
      <c r="BI185" s="79" t="s">
        <v>1264</v>
      </c>
      <c r="BJ185" s="79">
        <v>1373</v>
      </c>
      <c r="BK185" s="79">
        <v>30</v>
      </c>
      <c r="BM185" s="79" t="s">
        <v>1275</v>
      </c>
      <c r="BN185" s="79" t="s">
        <v>56</v>
      </c>
      <c r="BO185" s="79">
        <v>5</v>
      </c>
      <c r="BP185" s="79">
        <v>3.49</v>
      </c>
      <c r="BQ185" s="79">
        <v>2.11</v>
      </c>
      <c r="BR185" s="79">
        <v>0</v>
      </c>
      <c r="BS185" s="79" t="s">
        <v>464</v>
      </c>
      <c r="BT185" s="79" t="s">
        <v>464</v>
      </c>
      <c r="BU185" s="79" t="s">
        <v>1266</v>
      </c>
      <c r="BV185" s="79">
        <v>400</v>
      </c>
      <c r="BZ185" s="81">
        <v>86</v>
      </c>
      <c r="CA185">
        <f t="shared" si="15"/>
        <v>4.4543472962535073</v>
      </c>
    </row>
    <row r="186" spans="1:79" x14ac:dyDescent="0.3">
      <c r="A186" s="2" t="s">
        <v>34</v>
      </c>
      <c r="B186" s="13" t="s">
        <v>711</v>
      </c>
      <c r="C186" s="13"/>
      <c r="D186" s="2">
        <v>3.2</v>
      </c>
      <c r="E186" s="2" t="s">
        <v>94</v>
      </c>
      <c r="F186" s="9" t="s">
        <v>542</v>
      </c>
      <c r="G186" t="s">
        <v>623</v>
      </c>
      <c r="I186" s="2"/>
      <c r="J186" s="25">
        <v>1</v>
      </c>
      <c r="K186">
        <v>2</v>
      </c>
      <c r="L186">
        <v>0</v>
      </c>
      <c r="M186" s="2"/>
      <c r="N186" s="2"/>
      <c r="R186" s="25">
        <v>3.9086759899999999</v>
      </c>
      <c r="S186" s="25">
        <v>3.908676100000001</v>
      </c>
      <c r="T186" s="25">
        <v>10.552604730000001</v>
      </c>
      <c r="U186">
        <v>3.899</v>
      </c>
      <c r="V186">
        <v>3.899</v>
      </c>
      <c r="W186">
        <v>20.399989999999999</v>
      </c>
      <c r="X186">
        <v>0</v>
      </c>
      <c r="AA186" s="2"/>
      <c r="AB186">
        <v>14</v>
      </c>
      <c r="AC186" s="55">
        <f t="shared" ref="AC186:AC187" si="29">M186*N186*O186</f>
        <v>0</v>
      </c>
      <c r="AD186" s="57">
        <v>155.59136328639269</v>
      </c>
      <c r="AE186" s="55">
        <v>310.12474837798999</v>
      </c>
      <c r="AF186" s="55">
        <v>0</v>
      </c>
      <c r="AG186" s="52"/>
      <c r="AH186" s="51">
        <v>8.9979287437893268E-2</v>
      </c>
      <c r="AI186" s="52">
        <v>9.0286248183820222E-2</v>
      </c>
      <c r="AJ186" s="52"/>
      <c r="AK186" s="28">
        <v>2</v>
      </c>
      <c r="AL186" s="28">
        <v>2.333333333333333</v>
      </c>
      <c r="AM186" s="28">
        <v>0.33333333333333331</v>
      </c>
      <c r="AN186" s="28">
        <v>0</v>
      </c>
      <c r="AO186" s="28">
        <v>0.42857142857142849</v>
      </c>
      <c r="AP186" s="28">
        <v>0.5</v>
      </c>
      <c r="AQ186" s="28">
        <v>7.1428571428571425E-2</v>
      </c>
      <c r="AR186" s="28">
        <v>0</v>
      </c>
      <c r="AS186" s="25">
        <v>0.95</v>
      </c>
      <c r="AT186" s="25">
        <v>3.44</v>
      </c>
      <c r="AU186" s="25">
        <v>2.4900000000000002</v>
      </c>
      <c r="AV186" s="25">
        <v>2.500833333333333</v>
      </c>
      <c r="AW186">
        <v>2.500833333333333</v>
      </c>
      <c r="AX186">
        <v>5.6917605187500007</v>
      </c>
      <c r="AY186" s="75">
        <v>0.58499657192886345</v>
      </c>
      <c r="AZ186" s="75">
        <v>0.58699226437317098</v>
      </c>
      <c r="BA186" s="75"/>
      <c r="BC186">
        <v>4.4989643718946627E-2</v>
      </c>
      <c r="BD186">
        <v>4.5143124091910111E-2</v>
      </c>
      <c r="BF186">
        <v>9.0132767810856745E-2</v>
      </c>
      <c r="BG186">
        <v>4.5066383905428373E-2</v>
      </c>
      <c r="BH186">
        <v>0.58599441815101727</v>
      </c>
      <c r="BI186" s="79" t="s">
        <v>1305</v>
      </c>
      <c r="BJ186" s="79">
        <f>973</f>
        <v>973</v>
      </c>
      <c r="BK186" s="79">
        <v>2</v>
      </c>
      <c r="BM186" s="79" t="s">
        <v>1275</v>
      </c>
      <c r="BN186" s="79" t="s">
        <v>56</v>
      </c>
      <c r="BO186" s="79">
        <v>5</v>
      </c>
      <c r="BP186" s="79">
        <v>8.1449999999999996</v>
      </c>
      <c r="BQ186" s="79">
        <v>2.11</v>
      </c>
      <c r="BR186" s="79">
        <v>0</v>
      </c>
      <c r="BS186" s="79" t="s">
        <v>464</v>
      </c>
      <c r="BT186" s="79" t="s">
        <v>464</v>
      </c>
      <c r="BU186" s="79" t="s">
        <v>1266</v>
      </c>
      <c r="BV186" s="79">
        <v>400</v>
      </c>
      <c r="BZ186" s="81">
        <v>65</v>
      </c>
      <c r="CA186">
        <f t="shared" si="15"/>
        <v>4.1743872698956368</v>
      </c>
    </row>
    <row r="187" spans="1:79" x14ac:dyDescent="0.3">
      <c r="A187" s="2" t="s">
        <v>34</v>
      </c>
      <c r="B187" s="13" t="s">
        <v>711</v>
      </c>
      <c r="C187" s="13"/>
      <c r="D187" s="2">
        <v>3.2</v>
      </c>
      <c r="E187" s="2" t="s">
        <v>94</v>
      </c>
      <c r="F187" s="9" t="s">
        <v>542</v>
      </c>
      <c r="G187" t="s">
        <v>623</v>
      </c>
      <c r="I187" s="2"/>
      <c r="J187" s="25">
        <v>1</v>
      </c>
      <c r="K187">
        <v>2</v>
      </c>
      <c r="L187">
        <v>0</v>
      </c>
      <c r="M187" s="2"/>
      <c r="N187" s="2"/>
      <c r="R187" s="25">
        <v>3.9086759899999999</v>
      </c>
      <c r="S187" s="25">
        <v>3.908676100000001</v>
      </c>
      <c r="T187" s="25">
        <v>10.552604730000001</v>
      </c>
      <c r="U187">
        <v>3.899</v>
      </c>
      <c r="V187">
        <v>3.899</v>
      </c>
      <c r="W187">
        <v>20.399989999999999</v>
      </c>
      <c r="X187">
        <v>0</v>
      </c>
      <c r="AA187" s="2"/>
      <c r="AB187">
        <v>14</v>
      </c>
      <c r="AC187" s="55">
        <f t="shared" si="29"/>
        <v>0</v>
      </c>
      <c r="AD187" s="57">
        <v>155.59136328639269</v>
      </c>
      <c r="AE187" s="55">
        <v>310.12474837798999</v>
      </c>
      <c r="AF187" s="55">
        <v>0</v>
      </c>
      <c r="AG187" s="52"/>
      <c r="AH187" s="51">
        <v>8.9979287437893268E-2</v>
      </c>
      <c r="AI187" s="52">
        <v>9.0286248183820222E-2</v>
      </c>
      <c r="AJ187" s="52"/>
      <c r="AK187" s="28">
        <v>2</v>
      </c>
      <c r="AL187" s="28">
        <v>2.333333333333333</v>
      </c>
      <c r="AM187" s="28">
        <v>0.33333333333333331</v>
      </c>
      <c r="AN187" s="28">
        <v>0</v>
      </c>
      <c r="AO187" s="28">
        <v>0.42857142857142849</v>
      </c>
      <c r="AP187" s="28">
        <v>0.5</v>
      </c>
      <c r="AQ187" s="28">
        <v>7.1428571428571425E-2</v>
      </c>
      <c r="AR187" s="28">
        <v>0</v>
      </c>
      <c r="AS187" s="25">
        <v>0.95</v>
      </c>
      <c r="AT187" s="25">
        <v>3.44</v>
      </c>
      <c r="AU187" s="25">
        <v>2.4900000000000002</v>
      </c>
      <c r="AV187" s="25">
        <v>2.500833333333333</v>
      </c>
      <c r="AW187">
        <v>2.500833333333333</v>
      </c>
      <c r="AX187">
        <v>5.6917605187500007</v>
      </c>
      <c r="AY187" s="75">
        <v>0.58499657192886345</v>
      </c>
      <c r="AZ187" s="75">
        <v>0.58699226437317098</v>
      </c>
      <c r="BA187" s="75"/>
      <c r="BC187">
        <v>4.4989643718946627E-2</v>
      </c>
      <c r="BD187">
        <v>4.5143124091910111E-2</v>
      </c>
      <c r="BF187">
        <v>9.0132767810856745E-2</v>
      </c>
      <c r="BG187">
        <v>4.5066383905428373E-2</v>
      </c>
      <c r="BH187">
        <v>0.58599441815101727</v>
      </c>
      <c r="BI187" s="79" t="s">
        <v>1264</v>
      </c>
      <c r="BJ187" s="79">
        <v>1373</v>
      </c>
      <c r="BK187" s="79">
        <v>30</v>
      </c>
      <c r="BM187" s="79" t="s">
        <v>1275</v>
      </c>
      <c r="BN187" s="79" t="s">
        <v>56</v>
      </c>
      <c r="BO187" s="79">
        <v>7</v>
      </c>
      <c r="BP187" s="79">
        <v>3.49</v>
      </c>
      <c r="BQ187" s="79">
        <v>2.11</v>
      </c>
      <c r="BR187" s="79">
        <v>0</v>
      </c>
      <c r="BS187" s="79" t="s">
        <v>464</v>
      </c>
      <c r="BT187" s="79" t="s">
        <v>464</v>
      </c>
      <c r="BU187" s="79" t="s">
        <v>1266</v>
      </c>
      <c r="BV187" s="79">
        <v>400</v>
      </c>
      <c r="BZ187" s="81">
        <v>50</v>
      </c>
      <c r="CA187">
        <f t="shared" si="15"/>
        <v>3.912023005428146</v>
      </c>
    </row>
    <row r="188" spans="1:79" x14ac:dyDescent="0.3">
      <c r="A188" s="2" t="s">
        <v>34</v>
      </c>
      <c r="B188" s="13" t="s">
        <v>711</v>
      </c>
      <c r="C188" s="13"/>
      <c r="D188" s="2">
        <v>3.2</v>
      </c>
      <c r="E188" s="2" t="s">
        <v>94</v>
      </c>
      <c r="F188" s="9" t="s">
        <v>542</v>
      </c>
      <c r="G188" t="s">
        <v>623</v>
      </c>
      <c r="I188" s="2"/>
      <c r="J188" s="25">
        <v>1</v>
      </c>
      <c r="K188">
        <v>2</v>
      </c>
      <c r="L188">
        <v>0</v>
      </c>
      <c r="M188" s="2"/>
      <c r="N188" s="2"/>
      <c r="R188" s="25">
        <v>3.9086759899999999</v>
      </c>
      <c r="S188" s="25">
        <v>3.908676100000001</v>
      </c>
      <c r="T188" s="25">
        <v>10.552604730000001</v>
      </c>
      <c r="U188">
        <v>3.899</v>
      </c>
      <c r="V188">
        <v>3.899</v>
      </c>
      <c r="W188">
        <v>20.399989999999999</v>
      </c>
      <c r="X188">
        <v>0</v>
      </c>
      <c r="AA188" s="2"/>
      <c r="AB188">
        <v>14</v>
      </c>
      <c r="AC188" s="55">
        <f t="shared" ref="AC188" si="30">M188*N188*O188</f>
        <v>0</v>
      </c>
      <c r="AD188" s="57">
        <v>155.59136328639269</v>
      </c>
      <c r="AE188" s="55">
        <v>310.12474837798999</v>
      </c>
      <c r="AF188" s="55">
        <v>0</v>
      </c>
      <c r="AG188" s="52"/>
      <c r="AH188" s="51">
        <v>8.9979287437893268E-2</v>
      </c>
      <c r="AI188" s="52">
        <v>9.0286248183820222E-2</v>
      </c>
      <c r="AJ188" s="52"/>
      <c r="AK188" s="28">
        <v>2</v>
      </c>
      <c r="AL188" s="28">
        <v>2.333333333333333</v>
      </c>
      <c r="AM188" s="28">
        <v>0.33333333333333331</v>
      </c>
      <c r="AN188" s="28">
        <v>0</v>
      </c>
      <c r="AO188" s="28">
        <v>0.42857142857142849</v>
      </c>
      <c r="AP188" s="28">
        <v>0.5</v>
      </c>
      <c r="AQ188" s="28">
        <v>7.1428571428571425E-2</v>
      </c>
      <c r="AR188" s="28">
        <v>0</v>
      </c>
      <c r="AS188" s="25">
        <v>0.95</v>
      </c>
      <c r="AT188" s="25">
        <v>3.44</v>
      </c>
      <c r="AU188" s="25">
        <v>2.4900000000000002</v>
      </c>
      <c r="AV188" s="25">
        <v>2.500833333333333</v>
      </c>
      <c r="AW188">
        <v>2.500833333333333</v>
      </c>
      <c r="AX188">
        <v>5.6917605187500007</v>
      </c>
      <c r="AY188" s="75">
        <v>0.58499657192886345</v>
      </c>
      <c r="AZ188" s="75">
        <v>0.58699226437317098</v>
      </c>
      <c r="BA188" s="75"/>
      <c r="BC188">
        <v>4.4989643718946627E-2</v>
      </c>
      <c r="BD188">
        <v>4.5143124091910111E-2</v>
      </c>
      <c r="BF188">
        <v>9.0132767810856745E-2</v>
      </c>
      <c r="BG188">
        <v>4.5066383905428373E-2</v>
      </c>
      <c r="BH188">
        <v>0.58599441815101727</v>
      </c>
      <c r="BI188" s="79" t="s">
        <v>1305</v>
      </c>
      <c r="BJ188" s="79">
        <f>973</f>
        <v>973</v>
      </c>
      <c r="BK188" s="79">
        <v>2</v>
      </c>
      <c r="BM188" s="79" t="s">
        <v>1275</v>
      </c>
      <c r="BN188" s="79" t="s">
        <v>56</v>
      </c>
      <c r="BO188" s="79">
        <v>7</v>
      </c>
      <c r="BP188" s="79">
        <v>8.1449999999999996</v>
      </c>
      <c r="BQ188" s="79">
        <v>2.11</v>
      </c>
      <c r="BR188" s="79">
        <v>0</v>
      </c>
      <c r="BS188" s="79" t="s">
        <v>464</v>
      </c>
      <c r="BT188" s="79" t="s">
        <v>464</v>
      </c>
      <c r="BU188" s="79" t="s">
        <v>1266</v>
      </c>
      <c r="BV188" s="79">
        <v>400</v>
      </c>
      <c r="BZ188" s="81">
        <v>10</v>
      </c>
      <c r="CA188">
        <f t="shared" si="15"/>
        <v>2.3025850929940459</v>
      </c>
    </row>
    <row r="189" spans="1:79" x14ac:dyDescent="0.3">
      <c r="A189" s="2" t="s">
        <v>95</v>
      </c>
      <c r="B189" s="13" t="s">
        <v>744</v>
      </c>
      <c r="C189" s="13"/>
      <c r="D189" s="2">
        <v>3.3</v>
      </c>
      <c r="E189" s="2" t="s">
        <v>96</v>
      </c>
      <c r="F189" s="9">
        <v>-1</v>
      </c>
      <c r="G189" t="s">
        <v>642</v>
      </c>
      <c r="I189" s="2"/>
      <c r="J189" s="25">
        <v>0</v>
      </c>
      <c r="K189">
        <v>1</v>
      </c>
      <c r="L189">
        <v>0</v>
      </c>
      <c r="M189" s="2">
        <v>3.8917999999999999</v>
      </c>
      <c r="N189" s="2">
        <v>3.8820000000000001</v>
      </c>
      <c r="O189" s="2">
        <v>36.127000000000002</v>
      </c>
      <c r="P189" s="1" t="s">
        <v>484</v>
      </c>
      <c r="Q189" s="1"/>
      <c r="R189" s="25">
        <v>0</v>
      </c>
      <c r="S189" s="25"/>
      <c r="T189" s="25"/>
      <c r="U189">
        <v>3.8715999999999999</v>
      </c>
      <c r="V189">
        <v>3.8715999999999999</v>
      </c>
      <c r="W189">
        <v>36.936999999999998</v>
      </c>
      <c r="X189">
        <v>0</v>
      </c>
      <c r="AA189" s="2">
        <v>4</v>
      </c>
      <c r="AB189">
        <v>26</v>
      </c>
      <c r="AC189" s="55">
        <f t="shared" si="11"/>
        <v>545.80554548520001</v>
      </c>
      <c r="AD189" s="57">
        <v>0</v>
      </c>
      <c r="AE189" s="55">
        <v>553.65927766671996</v>
      </c>
      <c r="AF189" s="55">
        <v>0</v>
      </c>
      <c r="AG189" s="52"/>
      <c r="AH189" s="51"/>
      <c r="AI189" s="52">
        <v>4.696028956576237E-2</v>
      </c>
      <c r="AJ189" s="52"/>
      <c r="AK189" s="28">
        <v>1.714285714285714</v>
      </c>
      <c r="AL189" s="28">
        <v>2.4761904761904758</v>
      </c>
      <c r="AM189" s="28">
        <v>0.76190476190476186</v>
      </c>
      <c r="AN189" s="28">
        <v>0</v>
      </c>
      <c r="AO189" s="28">
        <v>0.34615384615384609</v>
      </c>
      <c r="AP189" s="28">
        <v>0.5</v>
      </c>
      <c r="AQ189" s="28">
        <v>0.1538461538461538</v>
      </c>
      <c r="AR189" s="28">
        <v>0</v>
      </c>
      <c r="AS189" s="25">
        <v>0.93</v>
      </c>
      <c r="AT189" s="25">
        <v>3.44</v>
      </c>
      <c r="AU189" s="25">
        <v>2.5099999999999998</v>
      </c>
      <c r="AV189" s="25">
        <v>2.618095238095238</v>
      </c>
      <c r="AW189">
        <v>2.618095238095238</v>
      </c>
      <c r="AX189">
        <v>5.9615126490476191</v>
      </c>
      <c r="AY189" s="75"/>
      <c r="AZ189" s="75"/>
      <c r="BA189" s="75"/>
      <c r="BD189">
        <v>2.3480144782881181E-2</v>
      </c>
      <c r="BF189">
        <v>4.696028956576237E-2</v>
      </c>
      <c r="BG189">
        <v>2.3480144782881181E-2</v>
      </c>
      <c r="BH189">
        <v>0</v>
      </c>
      <c r="BI189" s="79" t="s">
        <v>1264</v>
      </c>
      <c r="BJ189" s="79">
        <v>1373</v>
      </c>
      <c r="BK189" s="79">
        <v>10</v>
      </c>
      <c r="BM189" s="79" t="s">
        <v>1268</v>
      </c>
      <c r="BN189" s="79" t="s">
        <v>863</v>
      </c>
      <c r="BO189" s="79">
        <v>1</v>
      </c>
      <c r="BP189" s="79">
        <v>4.5999999999999996</v>
      </c>
      <c r="BQ189" s="79">
        <v>2</v>
      </c>
      <c r="BR189" s="79">
        <v>20</v>
      </c>
      <c r="BS189" s="79" t="s">
        <v>464</v>
      </c>
      <c r="BT189" s="79" t="s">
        <v>464</v>
      </c>
      <c r="BU189" s="79" t="s">
        <v>1271</v>
      </c>
      <c r="BV189" s="79">
        <v>1000</v>
      </c>
      <c r="BW189" s="79">
        <v>300</v>
      </c>
      <c r="BZ189" s="81">
        <v>1355</v>
      </c>
      <c r="CA189">
        <f t="shared" si="15"/>
        <v>7.2115567333138015</v>
      </c>
    </row>
    <row r="190" spans="1:79" x14ac:dyDescent="0.3">
      <c r="A190" s="2" t="s">
        <v>95</v>
      </c>
      <c r="B190" s="13" t="s">
        <v>744</v>
      </c>
      <c r="C190" s="13"/>
      <c r="D190" s="2">
        <v>3.3</v>
      </c>
      <c r="E190" s="2" t="s">
        <v>96</v>
      </c>
      <c r="F190" s="9">
        <v>-1</v>
      </c>
      <c r="G190" t="s">
        <v>642</v>
      </c>
      <c r="I190" s="2"/>
      <c r="J190" s="25">
        <v>0</v>
      </c>
      <c r="K190">
        <v>1</v>
      </c>
      <c r="L190">
        <v>0</v>
      </c>
      <c r="M190" s="2">
        <v>3.8917999999999999</v>
      </c>
      <c r="N190" s="2">
        <v>3.8820000000000001</v>
      </c>
      <c r="O190" s="2">
        <v>36.127000000000002</v>
      </c>
      <c r="P190" s="1" t="s">
        <v>484</v>
      </c>
      <c r="Q190" s="1"/>
      <c r="R190" s="25">
        <v>0</v>
      </c>
      <c r="S190" s="25"/>
      <c r="T190" s="25"/>
      <c r="U190">
        <v>3.8715999999999999</v>
      </c>
      <c r="V190">
        <v>3.8715999999999999</v>
      </c>
      <c r="W190">
        <v>36.936999999999998</v>
      </c>
      <c r="X190">
        <v>0</v>
      </c>
      <c r="AA190" s="2">
        <v>4</v>
      </c>
      <c r="AB190">
        <v>26</v>
      </c>
      <c r="AC190" s="55">
        <f t="shared" ref="AC190:AC191" si="31">M190*N190*O190</f>
        <v>545.80554548520001</v>
      </c>
      <c r="AD190" s="57">
        <v>0</v>
      </c>
      <c r="AE190" s="55">
        <v>553.65927766671996</v>
      </c>
      <c r="AF190" s="55">
        <v>0</v>
      </c>
      <c r="AG190" s="52"/>
      <c r="AH190" s="51"/>
      <c r="AI190" s="52">
        <v>4.696028956576237E-2</v>
      </c>
      <c r="AJ190" s="52"/>
      <c r="AK190" s="28">
        <v>1.714285714285714</v>
      </c>
      <c r="AL190" s="28">
        <v>2.4761904761904758</v>
      </c>
      <c r="AM190" s="28">
        <v>0.76190476190476186</v>
      </c>
      <c r="AN190" s="28">
        <v>0</v>
      </c>
      <c r="AO190" s="28">
        <v>0.34615384615384609</v>
      </c>
      <c r="AP190" s="28">
        <v>0.5</v>
      </c>
      <c r="AQ190" s="28">
        <v>0.1538461538461538</v>
      </c>
      <c r="AR190" s="28">
        <v>0</v>
      </c>
      <c r="AS190" s="25">
        <v>0.93</v>
      </c>
      <c r="AT190" s="25">
        <v>3.44</v>
      </c>
      <c r="AU190" s="25">
        <v>2.5099999999999998</v>
      </c>
      <c r="AV190" s="25">
        <v>2.618095238095238</v>
      </c>
      <c r="AW190">
        <v>2.618095238095238</v>
      </c>
      <c r="AX190">
        <v>5.9615126490476191</v>
      </c>
      <c r="AY190" s="75"/>
      <c r="AZ190" s="75"/>
      <c r="BA190" s="75"/>
      <c r="BD190">
        <v>2.3480144782881181E-2</v>
      </c>
      <c r="BF190">
        <v>4.696028956576237E-2</v>
      </c>
      <c r="BG190">
        <v>2.3480144782881181E-2</v>
      </c>
      <c r="BH190">
        <v>0</v>
      </c>
      <c r="BI190" s="79" t="s">
        <v>1264</v>
      </c>
      <c r="BJ190" s="79">
        <v>1373</v>
      </c>
      <c r="BK190" s="79">
        <v>10</v>
      </c>
      <c r="BM190" s="79" t="s">
        <v>1275</v>
      </c>
      <c r="BN190" s="79" t="s">
        <v>863</v>
      </c>
      <c r="BO190" s="79">
        <v>1</v>
      </c>
      <c r="BP190" s="79">
        <v>4.5999999999999996</v>
      </c>
      <c r="BQ190" s="79">
        <v>2</v>
      </c>
      <c r="BR190" s="79">
        <v>20</v>
      </c>
      <c r="BS190" s="79" t="s">
        <v>464</v>
      </c>
      <c r="BT190" s="79" t="s">
        <v>464</v>
      </c>
      <c r="BU190" s="79" t="s">
        <v>1271</v>
      </c>
      <c r="BV190" s="79">
        <v>1000</v>
      </c>
      <c r="BW190" s="79">
        <v>300</v>
      </c>
      <c r="BZ190" s="81">
        <v>1099</v>
      </c>
      <c r="CA190">
        <f t="shared" si="15"/>
        <v>7.0021559544036212</v>
      </c>
    </row>
    <row r="191" spans="1:79" x14ac:dyDescent="0.3">
      <c r="A191" s="2" t="s">
        <v>95</v>
      </c>
      <c r="B191" s="13" t="s">
        <v>744</v>
      </c>
      <c r="C191" s="13"/>
      <c r="D191" s="2">
        <v>3.3</v>
      </c>
      <c r="E191" s="2" t="s">
        <v>96</v>
      </c>
      <c r="F191" s="9">
        <v>-1</v>
      </c>
      <c r="G191" t="s">
        <v>642</v>
      </c>
      <c r="I191" s="2"/>
      <c r="J191" s="25">
        <v>0</v>
      </c>
      <c r="K191">
        <v>1</v>
      </c>
      <c r="L191">
        <v>0</v>
      </c>
      <c r="M191" s="2">
        <v>3.8917999999999999</v>
      </c>
      <c r="N191" s="2">
        <v>3.8820000000000001</v>
      </c>
      <c r="O191" s="2">
        <v>36.127000000000002</v>
      </c>
      <c r="P191" s="1" t="s">
        <v>484</v>
      </c>
      <c r="Q191" s="1"/>
      <c r="R191" s="25">
        <v>0</v>
      </c>
      <c r="S191" s="25"/>
      <c r="T191" s="25"/>
      <c r="U191">
        <v>3.8715999999999999</v>
      </c>
      <c r="V191">
        <v>3.8715999999999999</v>
      </c>
      <c r="W191">
        <v>36.936999999999998</v>
      </c>
      <c r="X191">
        <v>0</v>
      </c>
      <c r="AA191" s="2">
        <v>4</v>
      </c>
      <c r="AB191">
        <v>26</v>
      </c>
      <c r="AC191" s="55">
        <f t="shared" si="31"/>
        <v>545.80554548520001</v>
      </c>
      <c r="AD191" s="57">
        <v>0</v>
      </c>
      <c r="AE191" s="55">
        <v>553.65927766671996</v>
      </c>
      <c r="AF191" s="55">
        <v>0</v>
      </c>
      <c r="AG191" s="52"/>
      <c r="AH191" s="51"/>
      <c r="AI191" s="52">
        <v>4.696028956576237E-2</v>
      </c>
      <c r="AJ191" s="52"/>
      <c r="AK191" s="28">
        <v>1.714285714285714</v>
      </c>
      <c r="AL191" s="28">
        <v>2.4761904761904758</v>
      </c>
      <c r="AM191" s="28">
        <v>0.76190476190476186</v>
      </c>
      <c r="AN191" s="28">
        <v>0</v>
      </c>
      <c r="AO191" s="28">
        <v>0.34615384615384609</v>
      </c>
      <c r="AP191" s="28">
        <v>0.5</v>
      </c>
      <c r="AQ191" s="28">
        <v>0.1538461538461538</v>
      </c>
      <c r="AR191" s="28">
        <v>0</v>
      </c>
      <c r="AS191" s="25">
        <v>0.93</v>
      </c>
      <c r="AT191" s="25">
        <v>3.44</v>
      </c>
      <c r="AU191" s="25">
        <v>2.5099999999999998</v>
      </c>
      <c r="AV191" s="25">
        <v>2.618095238095238</v>
      </c>
      <c r="AW191">
        <v>2.618095238095238</v>
      </c>
      <c r="AX191">
        <v>5.9615126490476191</v>
      </c>
      <c r="AY191" s="75"/>
      <c r="AZ191" s="75"/>
      <c r="BA191" s="75"/>
      <c r="BD191">
        <v>2.3480144782881181E-2</v>
      </c>
      <c r="BF191">
        <v>4.696028956576237E-2</v>
      </c>
      <c r="BG191">
        <v>2.3480144782881181E-2</v>
      </c>
      <c r="BH191">
        <v>0</v>
      </c>
      <c r="BI191" s="79" t="s">
        <v>1264</v>
      </c>
      <c r="BJ191" s="79">
        <v>1373</v>
      </c>
      <c r="BK191" s="79">
        <v>10</v>
      </c>
      <c r="BM191" s="79" t="s">
        <v>1268</v>
      </c>
      <c r="BN191" s="79" t="s">
        <v>863</v>
      </c>
      <c r="BO191" s="79">
        <v>1</v>
      </c>
      <c r="BP191" s="79">
        <v>3.9</v>
      </c>
      <c r="BQ191" s="79">
        <v>2</v>
      </c>
      <c r="BR191" s="79">
        <v>20</v>
      </c>
      <c r="BS191" s="79" t="s">
        <v>464</v>
      </c>
      <c r="BT191" s="79" t="s">
        <v>464</v>
      </c>
      <c r="BU191" s="79" t="s">
        <v>1271</v>
      </c>
      <c r="BV191" s="79">
        <v>1000</v>
      </c>
      <c r="BW191" s="79">
        <v>300</v>
      </c>
      <c r="BZ191" s="81">
        <v>835</v>
      </c>
      <c r="CA191">
        <f t="shared" si="15"/>
        <v>6.7274317248508551</v>
      </c>
    </row>
    <row r="192" spans="1:79" x14ac:dyDescent="0.3">
      <c r="A192" s="2" t="s">
        <v>95</v>
      </c>
      <c r="B192" s="13" t="s">
        <v>744</v>
      </c>
      <c r="C192" s="13"/>
      <c r="D192" s="2">
        <v>3.3</v>
      </c>
      <c r="E192" s="2" t="s">
        <v>96</v>
      </c>
      <c r="F192" s="9">
        <v>-1</v>
      </c>
      <c r="G192" t="s">
        <v>642</v>
      </c>
      <c r="I192" s="2"/>
      <c r="J192" s="25">
        <v>0</v>
      </c>
      <c r="K192">
        <v>1</v>
      </c>
      <c r="L192">
        <v>0</v>
      </c>
      <c r="M192" s="2">
        <v>3.8917999999999999</v>
      </c>
      <c r="N192" s="2">
        <v>3.8820000000000001</v>
      </c>
      <c r="O192" s="2">
        <v>36.127000000000002</v>
      </c>
      <c r="P192" s="1" t="s">
        <v>484</v>
      </c>
      <c r="Q192" s="1"/>
      <c r="R192" s="25">
        <v>0</v>
      </c>
      <c r="S192" s="25"/>
      <c r="T192" s="25"/>
      <c r="U192">
        <v>3.8715999999999999</v>
      </c>
      <c r="V192">
        <v>3.8715999999999999</v>
      </c>
      <c r="W192">
        <v>36.936999999999998</v>
      </c>
      <c r="X192">
        <v>0</v>
      </c>
      <c r="AA192" s="2">
        <v>4</v>
      </c>
      <c r="AB192">
        <v>26</v>
      </c>
      <c r="AC192" s="55">
        <f t="shared" ref="AC192:AC193" si="32">M192*N192*O192</f>
        <v>545.80554548520001</v>
      </c>
      <c r="AD192" s="57">
        <v>0</v>
      </c>
      <c r="AE192" s="55">
        <v>553.65927766671996</v>
      </c>
      <c r="AF192" s="55">
        <v>0</v>
      </c>
      <c r="AG192" s="52"/>
      <c r="AH192" s="51"/>
      <c r="AI192" s="52">
        <v>4.696028956576237E-2</v>
      </c>
      <c r="AJ192" s="52"/>
      <c r="AK192" s="28">
        <v>1.714285714285714</v>
      </c>
      <c r="AL192" s="28">
        <v>2.4761904761904758</v>
      </c>
      <c r="AM192" s="28">
        <v>0.76190476190476186</v>
      </c>
      <c r="AN192" s="28">
        <v>0</v>
      </c>
      <c r="AO192" s="28">
        <v>0.34615384615384609</v>
      </c>
      <c r="AP192" s="28">
        <v>0.5</v>
      </c>
      <c r="AQ192" s="28">
        <v>0.1538461538461538</v>
      </c>
      <c r="AR192" s="28">
        <v>0</v>
      </c>
      <c r="AS192" s="25">
        <v>0.93</v>
      </c>
      <c r="AT192" s="25">
        <v>3.44</v>
      </c>
      <c r="AU192" s="25">
        <v>2.5099999999999998</v>
      </c>
      <c r="AV192" s="25">
        <v>2.618095238095238</v>
      </c>
      <c r="AW192">
        <v>2.618095238095238</v>
      </c>
      <c r="AX192">
        <v>5.9615126490476191</v>
      </c>
      <c r="AY192" s="75"/>
      <c r="AZ192" s="75"/>
      <c r="BA192" s="75"/>
      <c r="BD192">
        <v>2.3480144782881181E-2</v>
      </c>
      <c r="BF192">
        <v>4.696028956576237E-2</v>
      </c>
      <c r="BG192">
        <v>2.3480144782881181E-2</v>
      </c>
      <c r="BH192">
        <v>0</v>
      </c>
      <c r="BI192" s="79" t="s">
        <v>1264</v>
      </c>
      <c r="BJ192" s="79">
        <v>1373</v>
      </c>
      <c r="BK192" s="79">
        <v>10</v>
      </c>
      <c r="BM192" s="79" t="s">
        <v>1275</v>
      </c>
      <c r="BN192" s="79" t="s">
        <v>863</v>
      </c>
      <c r="BO192" s="79">
        <v>1</v>
      </c>
      <c r="BP192" s="79">
        <v>3.9</v>
      </c>
      <c r="BQ192" s="79">
        <v>2</v>
      </c>
      <c r="BR192" s="79">
        <v>20</v>
      </c>
      <c r="BS192" s="79" t="s">
        <v>464</v>
      </c>
      <c r="BT192" s="79" t="s">
        <v>464</v>
      </c>
      <c r="BU192" s="79" t="s">
        <v>1271</v>
      </c>
      <c r="BV192" s="79">
        <v>1000</v>
      </c>
      <c r="BW192" s="79">
        <v>300</v>
      </c>
      <c r="BZ192" s="81">
        <v>539</v>
      </c>
      <c r="CA192">
        <f t="shared" si="15"/>
        <v>6.2897155709089976</v>
      </c>
    </row>
    <row r="193" spans="1:79" x14ac:dyDescent="0.3">
      <c r="A193" s="2" t="s">
        <v>95</v>
      </c>
      <c r="B193" s="13" t="s">
        <v>744</v>
      </c>
      <c r="C193" s="13"/>
      <c r="D193" s="2">
        <v>3.3</v>
      </c>
      <c r="E193" s="2" t="s">
        <v>96</v>
      </c>
      <c r="F193" s="9">
        <v>-1</v>
      </c>
      <c r="G193" t="s">
        <v>642</v>
      </c>
      <c r="I193" s="2"/>
      <c r="J193" s="25">
        <v>0</v>
      </c>
      <c r="K193">
        <v>1</v>
      </c>
      <c r="L193">
        <v>0</v>
      </c>
      <c r="M193" s="2">
        <v>3.8917999999999999</v>
      </c>
      <c r="N193" s="2">
        <v>3.8820000000000001</v>
      </c>
      <c r="O193" s="2">
        <v>36.127000000000002</v>
      </c>
      <c r="P193" s="1" t="s">
        <v>484</v>
      </c>
      <c r="Q193" s="1"/>
      <c r="R193" s="25">
        <v>0</v>
      </c>
      <c r="S193" s="25"/>
      <c r="T193" s="25"/>
      <c r="U193">
        <v>3.8715999999999999</v>
      </c>
      <c r="V193">
        <v>3.8715999999999999</v>
      </c>
      <c r="W193">
        <v>36.936999999999998</v>
      </c>
      <c r="X193">
        <v>0</v>
      </c>
      <c r="AA193" s="2">
        <v>4</v>
      </c>
      <c r="AB193">
        <v>26</v>
      </c>
      <c r="AC193" s="55">
        <f t="shared" si="32"/>
        <v>545.80554548520001</v>
      </c>
      <c r="AD193" s="57">
        <v>0</v>
      </c>
      <c r="AE193" s="55">
        <v>553.65927766671996</v>
      </c>
      <c r="AF193" s="55">
        <v>0</v>
      </c>
      <c r="AG193" s="52"/>
      <c r="AH193" s="51"/>
      <c r="AI193" s="52">
        <v>4.696028956576237E-2</v>
      </c>
      <c r="AJ193" s="52"/>
      <c r="AK193" s="28">
        <v>1.714285714285714</v>
      </c>
      <c r="AL193" s="28">
        <v>2.4761904761904758</v>
      </c>
      <c r="AM193" s="28">
        <v>0.76190476190476186</v>
      </c>
      <c r="AN193" s="28">
        <v>0</v>
      </c>
      <c r="AO193" s="28">
        <v>0.34615384615384609</v>
      </c>
      <c r="AP193" s="28">
        <v>0.5</v>
      </c>
      <c r="AQ193" s="28">
        <v>0.1538461538461538</v>
      </c>
      <c r="AR193" s="28">
        <v>0</v>
      </c>
      <c r="AS193" s="25">
        <v>0.93</v>
      </c>
      <c r="AT193" s="25">
        <v>3.44</v>
      </c>
      <c r="AU193" s="25">
        <v>2.5099999999999998</v>
      </c>
      <c r="AV193" s="25">
        <v>2.618095238095238</v>
      </c>
      <c r="AW193">
        <v>2.618095238095238</v>
      </c>
      <c r="AX193">
        <v>5.9615126490476191</v>
      </c>
      <c r="AY193" s="75"/>
      <c r="AZ193" s="75"/>
      <c r="BA193" s="75"/>
      <c r="BD193">
        <v>2.3480144782881181E-2</v>
      </c>
      <c r="BF193">
        <v>4.696028956576237E-2</v>
      </c>
      <c r="BG193">
        <v>2.3480144782881181E-2</v>
      </c>
      <c r="BH193">
        <v>0</v>
      </c>
      <c r="BI193" s="79" t="s">
        <v>1264</v>
      </c>
      <c r="BJ193" s="79">
        <v>1373</v>
      </c>
      <c r="BK193" s="79">
        <v>10</v>
      </c>
      <c r="BM193" s="79" t="s">
        <v>1268</v>
      </c>
      <c r="BN193" s="79" t="s">
        <v>863</v>
      </c>
      <c r="BO193" s="79">
        <v>1</v>
      </c>
      <c r="BP193" s="79">
        <v>1.6</v>
      </c>
      <c r="BQ193" s="79">
        <v>2</v>
      </c>
      <c r="BR193" s="79">
        <v>20</v>
      </c>
      <c r="BS193" s="79" t="s">
        <v>464</v>
      </c>
      <c r="BT193" s="79" t="s">
        <v>464</v>
      </c>
      <c r="BU193" s="79" t="s">
        <v>1271</v>
      </c>
      <c r="BV193" s="79">
        <v>1000</v>
      </c>
      <c r="BW193" s="79">
        <v>300</v>
      </c>
      <c r="BZ193" s="81">
        <v>230</v>
      </c>
      <c r="CA193">
        <f t="shared" si="15"/>
        <v>5.4380793089231956</v>
      </c>
    </row>
    <row r="194" spans="1:79" x14ac:dyDescent="0.3">
      <c r="A194" s="2" t="s">
        <v>95</v>
      </c>
      <c r="B194" s="13" t="s">
        <v>744</v>
      </c>
      <c r="C194" s="13"/>
      <c r="D194" s="2">
        <v>3.3</v>
      </c>
      <c r="E194" s="2" t="s">
        <v>96</v>
      </c>
      <c r="F194" s="9">
        <v>-1</v>
      </c>
      <c r="G194" t="s">
        <v>642</v>
      </c>
      <c r="I194" s="2"/>
      <c r="J194" s="25">
        <v>0</v>
      </c>
      <c r="K194">
        <v>1</v>
      </c>
      <c r="L194">
        <v>0</v>
      </c>
      <c r="M194" s="2">
        <v>3.8917999999999999</v>
      </c>
      <c r="N194" s="2">
        <v>3.8820000000000001</v>
      </c>
      <c r="O194" s="2">
        <v>36.127000000000002</v>
      </c>
      <c r="P194" s="1" t="s">
        <v>484</v>
      </c>
      <c r="Q194" s="1"/>
      <c r="R194" s="25">
        <v>0</v>
      </c>
      <c r="S194" s="25"/>
      <c r="T194" s="25"/>
      <c r="U194">
        <v>3.8715999999999999</v>
      </c>
      <c r="V194">
        <v>3.8715999999999999</v>
      </c>
      <c r="W194">
        <v>36.936999999999998</v>
      </c>
      <c r="X194">
        <v>0</v>
      </c>
      <c r="AA194" s="2">
        <v>4</v>
      </c>
      <c r="AB194">
        <v>26</v>
      </c>
      <c r="AC194" s="55">
        <f t="shared" ref="AC194:AC195" si="33">M194*N194*O194</f>
        <v>545.80554548520001</v>
      </c>
      <c r="AD194" s="57">
        <v>0</v>
      </c>
      <c r="AE194" s="55">
        <v>553.65927766671996</v>
      </c>
      <c r="AF194" s="55">
        <v>0</v>
      </c>
      <c r="AG194" s="52"/>
      <c r="AH194" s="51"/>
      <c r="AI194" s="52">
        <v>4.696028956576237E-2</v>
      </c>
      <c r="AJ194" s="52"/>
      <c r="AK194" s="28">
        <v>1.714285714285714</v>
      </c>
      <c r="AL194" s="28">
        <v>2.4761904761904758</v>
      </c>
      <c r="AM194" s="28">
        <v>0.76190476190476186</v>
      </c>
      <c r="AN194" s="28">
        <v>0</v>
      </c>
      <c r="AO194" s="28">
        <v>0.34615384615384609</v>
      </c>
      <c r="AP194" s="28">
        <v>0.5</v>
      </c>
      <c r="AQ194" s="28">
        <v>0.1538461538461538</v>
      </c>
      <c r="AR194" s="28">
        <v>0</v>
      </c>
      <c r="AS194" s="25">
        <v>0.93</v>
      </c>
      <c r="AT194" s="25">
        <v>3.44</v>
      </c>
      <c r="AU194" s="25">
        <v>2.5099999999999998</v>
      </c>
      <c r="AV194" s="25">
        <v>2.618095238095238</v>
      </c>
      <c r="AW194">
        <v>2.618095238095238</v>
      </c>
      <c r="AX194">
        <v>5.9615126490476191</v>
      </c>
      <c r="AY194" s="75"/>
      <c r="AZ194" s="75"/>
      <c r="BA194" s="75"/>
      <c r="BD194">
        <v>2.3480144782881181E-2</v>
      </c>
      <c r="BF194">
        <v>4.696028956576237E-2</v>
      </c>
      <c r="BG194">
        <v>2.3480144782881181E-2</v>
      </c>
      <c r="BH194">
        <v>0</v>
      </c>
      <c r="BI194" s="79" t="s">
        <v>1264</v>
      </c>
      <c r="BJ194" s="79">
        <v>1373</v>
      </c>
      <c r="BK194" s="79">
        <v>10</v>
      </c>
      <c r="BM194" s="79" t="s">
        <v>1275</v>
      </c>
      <c r="BN194" s="79" t="s">
        <v>863</v>
      </c>
      <c r="BO194" s="79">
        <v>1</v>
      </c>
      <c r="BP194" s="79">
        <v>1.6</v>
      </c>
      <c r="BQ194" s="79">
        <v>2</v>
      </c>
      <c r="BR194" s="79">
        <v>20</v>
      </c>
      <c r="BS194" s="79" t="s">
        <v>464</v>
      </c>
      <c r="BT194" s="79" t="s">
        <v>464</v>
      </c>
      <c r="BU194" s="79" t="s">
        <v>1271</v>
      </c>
      <c r="BV194" s="79">
        <v>1000</v>
      </c>
      <c r="BW194" s="79">
        <v>300</v>
      </c>
      <c r="BZ194" s="81">
        <v>204</v>
      </c>
      <c r="CA194">
        <f t="shared" si="15"/>
        <v>5.3181199938442161</v>
      </c>
    </row>
    <row r="195" spans="1:79" x14ac:dyDescent="0.3">
      <c r="A195" s="2" t="s">
        <v>95</v>
      </c>
      <c r="B195" s="13" t="s">
        <v>744</v>
      </c>
      <c r="C195" s="13"/>
      <c r="D195" s="2">
        <v>3.3</v>
      </c>
      <c r="E195" s="2" t="s">
        <v>96</v>
      </c>
      <c r="F195" s="9">
        <v>-1</v>
      </c>
      <c r="G195" t="s">
        <v>642</v>
      </c>
      <c r="I195" s="2"/>
      <c r="J195" s="25">
        <v>0</v>
      </c>
      <c r="K195">
        <v>1</v>
      </c>
      <c r="L195">
        <v>0</v>
      </c>
      <c r="M195" s="2">
        <v>3.8917999999999999</v>
      </c>
      <c r="N195" s="2">
        <v>3.8820000000000001</v>
      </c>
      <c r="O195" s="2">
        <v>36.127000000000002</v>
      </c>
      <c r="P195" s="1" t="s">
        <v>484</v>
      </c>
      <c r="Q195" s="1"/>
      <c r="R195" s="25">
        <v>0</v>
      </c>
      <c r="S195" s="25"/>
      <c r="T195" s="25"/>
      <c r="U195">
        <v>3.8715999999999999</v>
      </c>
      <c r="V195">
        <v>3.8715999999999999</v>
      </c>
      <c r="W195">
        <v>36.936999999999998</v>
      </c>
      <c r="X195">
        <v>0</v>
      </c>
      <c r="AA195" s="2">
        <v>4</v>
      </c>
      <c r="AB195">
        <v>26</v>
      </c>
      <c r="AC195" s="55">
        <f t="shared" si="33"/>
        <v>545.80554548520001</v>
      </c>
      <c r="AD195" s="57">
        <v>0</v>
      </c>
      <c r="AE195" s="55">
        <v>553.65927766671996</v>
      </c>
      <c r="AF195" s="55">
        <v>0</v>
      </c>
      <c r="AG195" s="52"/>
      <c r="AH195" s="51"/>
      <c r="AI195" s="52">
        <v>4.696028956576237E-2</v>
      </c>
      <c r="AJ195" s="52"/>
      <c r="AK195" s="28">
        <v>1.714285714285714</v>
      </c>
      <c r="AL195" s="28">
        <v>2.4761904761904758</v>
      </c>
      <c r="AM195" s="28">
        <v>0.76190476190476186</v>
      </c>
      <c r="AN195" s="28">
        <v>0</v>
      </c>
      <c r="AO195" s="28">
        <v>0.34615384615384609</v>
      </c>
      <c r="AP195" s="28">
        <v>0.5</v>
      </c>
      <c r="AQ195" s="28">
        <v>0.1538461538461538</v>
      </c>
      <c r="AR195" s="28">
        <v>0</v>
      </c>
      <c r="AS195" s="25">
        <v>0.93</v>
      </c>
      <c r="AT195" s="25">
        <v>3.44</v>
      </c>
      <c r="AU195" s="25">
        <v>2.5099999999999998</v>
      </c>
      <c r="AV195" s="25">
        <v>2.618095238095238</v>
      </c>
      <c r="AW195">
        <v>2.618095238095238</v>
      </c>
      <c r="AX195">
        <v>5.9615126490476191</v>
      </c>
      <c r="AY195" s="75"/>
      <c r="AZ195" s="75"/>
      <c r="BA195" s="75"/>
      <c r="BD195">
        <v>2.3480144782881181E-2</v>
      </c>
      <c r="BF195">
        <v>4.696028956576237E-2</v>
      </c>
      <c r="BG195">
        <v>2.3480144782881181E-2</v>
      </c>
      <c r="BH195">
        <v>0</v>
      </c>
      <c r="BI195" s="79" t="s">
        <v>1264</v>
      </c>
      <c r="BJ195" s="79">
        <v>1373</v>
      </c>
      <c r="BK195" s="79">
        <v>10</v>
      </c>
      <c r="BM195" s="79" t="s">
        <v>1268</v>
      </c>
      <c r="BN195" s="79" t="s">
        <v>863</v>
      </c>
      <c r="BO195" s="79">
        <v>1</v>
      </c>
      <c r="BP195" s="79">
        <v>0.36</v>
      </c>
      <c r="BQ195" s="79">
        <v>2</v>
      </c>
      <c r="BR195" s="79">
        <v>20</v>
      </c>
      <c r="BS195" s="79" t="s">
        <v>464</v>
      </c>
      <c r="BT195" s="79" t="s">
        <v>464</v>
      </c>
      <c r="BU195" s="79" t="s">
        <v>1271</v>
      </c>
      <c r="BV195" s="79">
        <v>1000</v>
      </c>
      <c r="BW195" s="79">
        <v>300</v>
      </c>
      <c r="BZ195" s="81">
        <v>447</v>
      </c>
      <c r="CA195">
        <f t="shared" ref="CA195:CA258" si="34">LN(BZ195)</f>
        <v>6.1025585946135692</v>
      </c>
    </row>
    <row r="196" spans="1:79" x14ac:dyDescent="0.3">
      <c r="A196" s="2" t="s">
        <v>95</v>
      </c>
      <c r="B196" s="13" t="s">
        <v>744</v>
      </c>
      <c r="C196" s="13"/>
      <c r="D196" s="2">
        <v>3.3</v>
      </c>
      <c r="E196" s="2" t="s">
        <v>96</v>
      </c>
      <c r="F196" s="9">
        <v>-1</v>
      </c>
      <c r="G196" t="s">
        <v>642</v>
      </c>
      <c r="I196" s="2"/>
      <c r="J196" s="25">
        <v>0</v>
      </c>
      <c r="K196">
        <v>1</v>
      </c>
      <c r="L196">
        <v>0</v>
      </c>
      <c r="M196" s="2">
        <v>3.8917999999999999</v>
      </c>
      <c r="N196" s="2">
        <v>3.8820000000000001</v>
      </c>
      <c r="O196" s="2">
        <v>36.127000000000002</v>
      </c>
      <c r="P196" s="1" t="s">
        <v>484</v>
      </c>
      <c r="Q196" s="1"/>
      <c r="R196" s="25">
        <v>0</v>
      </c>
      <c r="S196" s="25"/>
      <c r="T196" s="25"/>
      <c r="U196">
        <v>3.8715999999999999</v>
      </c>
      <c r="V196">
        <v>3.8715999999999999</v>
      </c>
      <c r="W196">
        <v>36.936999999999998</v>
      </c>
      <c r="X196">
        <v>0</v>
      </c>
      <c r="AA196" s="2">
        <v>4</v>
      </c>
      <c r="AB196">
        <v>26</v>
      </c>
      <c r="AC196" s="55">
        <f t="shared" ref="AC196" si="35">M196*N196*O196</f>
        <v>545.80554548520001</v>
      </c>
      <c r="AD196" s="57">
        <v>0</v>
      </c>
      <c r="AE196" s="55">
        <v>553.65927766671996</v>
      </c>
      <c r="AF196" s="55">
        <v>0</v>
      </c>
      <c r="AG196" s="52"/>
      <c r="AH196" s="51"/>
      <c r="AI196" s="52">
        <v>4.696028956576237E-2</v>
      </c>
      <c r="AJ196" s="52"/>
      <c r="AK196" s="28">
        <v>1.714285714285714</v>
      </c>
      <c r="AL196" s="28">
        <v>2.4761904761904758</v>
      </c>
      <c r="AM196" s="28">
        <v>0.76190476190476186</v>
      </c>
      <c r="AN196" s="28">
        <v>0</v>
      </c>
      <c r="AO196" s="28">
        <v>0.34615384615384609</v>
      </c>
      <c r="AP196" s="28">
        <v>0.5</v>
      </c>
      <c r="AQ196" s="28">
        <v>0.1538461538461538</v>
      </c>
      <c r="AR196" s="28">
        <v>0</v>
      </c>
      <c r="AS196" s="25">
        <v>0.93</v>
      </c>
      <c r="AT196" s="25">
        <v>3.44</v>
      </c>
      <c r="AU196" s="25">
        <v>2.5099999999999998</v>
      </c>
      <c r="AV196" s="25">
        <v>2.618095238095238</v>
      </c>
      <c r="AW196">
        <v>2.618095238095238</v>
      </c>
      <c r="AX196">
        <v>5.9615126490476191</v>
      </c>
      <c r="AY196" s="75"/>
      <c r="AZ196" s="75"/>
      <c r="BA196" s="75"/>
      <c r="BD196">
        <v>2.3480144782881181E-2</v>
      </c>
      <c r="BF196">
        <v>4.696028956576237E-2</v>
      </c>
      <c r="BG196">
        <v>2.3480144782881181E-2</v>
      </c>
      <c r="BH196">
        <v>0</v>
      </c>
      <c r="BI196" s="79" t="s">
        <v>1264</v>
      </c>
      <c r="BJ196" s="79">
        <v>1373</v>
      </c>
      <c r="BK196" s="79">
        <v>10</v>
      </c>
      <c r="BM196" s="79" t="s">
        <v>1275</v>
      </c>
      <c r="BN196" s="79" t="s">
        <v>863</v>
      </c>
      <c r="BO196" s="79">
        <v>1</v>
      </c>
      <c r="BP196" s="79">
        <v>0.36</v>
      </c>
      <c r="BQ196" s="79">
        <v>2</v>
      </c>
      <c r="BR196" s="79">
        <v>20</v>
      </c>
      <c r="BS196" s="79" t="s">
        <v>464</v>
      </c>
      <c r="BT196" s="79" t="s">
        <v>464</v>
      </c>
      <c r="BU196" s="79" t="s">
        <v>1271</v>
      </c>
      <c r="BV196" s="79">
        <v>1000</v>
      </c>
      <c r="BW196" s="79">
        <v>300</v>
      </c>
      <c r="BZ196" s="81">
        <v>113</v>
      </c>
      <c r="CA196">
        <f t="shared" si="34"/>
        <v>4.7273878187123408</v>
      </c>
    </row>
    <row r="197" spans="1:79" x14ac:dyDescent="0.3">
      <c r="A197" s="2" t="s">
        <v>97</v>
      </c>
      <c r="B197" s="13" t="s">
        <v>745</v>
      </c>
      <c r="C197" s="13"/>
      <c r="D197" s="2">
        <v>2.0099999999999998</v>
      </c>
      <c r="E197" s="2" t="s">
        <v>100</v>
      </c>
      <c r="F197" s="9" t="s">
        <v>565</v>
      </c>
      <c r="G197" t="s">
        <v>643</v>
      </c>
      <c r="I197" s="2"/>
      <c r="J197" s="25">
        <v>4</v>
      </c>
      <c r="K197">
        <v>2</v>
      </c>
      <c r="L197">
        <v>0</v>
      </c>
      <c r="M197" s="2">
        <v>5.63</v>
      </c>
      <c r="N197" s="2">
        <v>5.63</v>
      </c>
      <c r="O197" s="2">
        <v>7.9509999999999996</v>
      </c>
      <c r="P197" s="2" t="s">
        <v>485</v>
      </c>
      <c r="Q197" s="2"/>
      <c r="R197" s="25">
        <v>5.6671750000000003</v>
      </c>
      <c r="S197" s="25">
        <v>9.8157737100000002</v>
      </c>
      <c r="T197" s="25">
        <v>9.8153266899999991</v>
      </c>
      <c r="U197">
        <v>5.6200999999999999</v>
      </c>
      <c r="V197">
        <v>5.6342999999999996</v>
      </c>
      <c r="W197">
        <v>7.9375</v>
      </c>
      <c r="X197">
        <v>0</v>
      </c>
      <c r="AA197" s="2"/>
      <c r="AB197">
        <v>12</v>
      </c>
      <c r="AC197" s="55">
        <f t="shared" si="11"/>
        <v>252.02205189999998</v>
      </c>
      <c r="AD197" s="57">
        <v>515.32350958904738</v>
      </c>
      <c r="AE197" s="55">
        <v>251.3435485224438</v>
      </c>
      <c r="AF197" s="55">
        <v>0</v>
      </c>
      <c r="AG197" s="52"/>
      <c r="AH197" s="51">
        <v>9.3145371998025736E-2</v>
      </c>
      <c r="AI197" s="52">
        <v>9.5486835214538698E-2</v>
      </c>
      <c r="AJ197" s="52"/>
      <c r="AK197" s="28">
        <v>2</v>
      </c>
      <c r="AL197" s="28">
        <v>2.4</v>
      </c>
      <c r="AM197" s="28">
        <v>0.9</v>
      </c>
      <c r="AN197" s="28">
        <v>1.4</v>
      </c>
      <c r="AO197" s="28">
        <v>0.29850746268656708</v>
      </c>
      <c r="AP197" s="28">
        <v>0.35820895522388058</v>
      </c>
      <c r="AQ197" s="28">
        <v>0.1343283582089552</v>
      </c>
      <c r="AR197" s="28">
        <v>0.20895522388059701</v>
      </c>
      <c r="AS197" s="25">
        <v>0.95</v>
      </c>
      <c r="AT197" s="25">
        <v>3.44</v>
      </c>
      <c r="AU197" s="25">
        <v>2.4900000000000002</v>
      </c>
      <c r="AV197" s="25">
        <v>2.5870000000000002</v>
      </c>
      <c r="AW197">
        <v>2.5870000000000002</v>
      </c>
      <c r="AX197">
        <v>5.8948612069999999</v>
      </c>
      <c r="AY197" s="75">
        <v>0.57095915761344151</v>
      </c>
      <c r="AZ197" s="75">
        <v>0.58531177478599872</v>
      </c>
      <c r="BA197" s="75"/>
      <c r="BC197">
        <v>4.6572685999012868E-2</v>
      </c>
      <c r="BD197">
        <v>4.7743417607269342E-2</v>
      </c>
      <c r="BF197">
        <v>9.4316103606282217E-2</v>
      </c>
      <c r="BG197">
        <v>4.7158051803141102E-2</v>
      </c>
      <c r="BH197">
        <v>0.57813546619972012</v>
      </c>
      <c r="BI197" s="79" t="s">
        <v>1293</v>
      </c>
      <c r="BJ197" s="79">
        <v>1273</v>
      </c>
      <c r="BK197" s="79">
        <v>12</v>
      </c>
      <c r="BM197" s="79" t="s">
        <v>1268</v>
      </c>
      <c r="BN197" s="79" t="s">
        <v>863</v>
      </c>
      <c r="BO197" s="79">
        <v>1</v>
      </c>
      <c r="BP197" s="79">
        <v>5.3</v>
      </c>
      <c r="BQ197" s="79">
        <v>1</v>
      </c>
      <c r="BR197" s="79">
        <v>0</v>
      </c>
      <c r="BS197" s="79" t="s">
        <v>1309</v>
      </c>
      <c r="BT197" s="79" t="s">
        <v>464</v>
      </c>
      <c r="BU197" s="79" t="s">
        <v>1266</v>
      </c>
      <c r="BV197" s="79">
        <v>500</v>
      </c>
      <c r="BW197" s="79">
        <v>250</v>
      </c>
      <c r="BY197" s="79">
        <v>293</v>
      </c>
      <c r="BZ197" s="81">
        <v>200</v>
      </c>
      <c r="CA197">
        <f t="shared" si="34"/>
        <v>5.2983173665480363</v>
      </c>
    </row>
    <row r="198" spans="1:79" x14ac:dyDescent="0.3">
      <c r="A198" s="2" t="s">
        <v>1213</v>
      </c>
      <c r="B198" s="68" t="s">
        <v>1215</v>
      </c>
      <c r="C198" s="13"/>
      <c r="D198" s="2">
        <v>2.21</v>
      </c>
      <c r="E198" s="2" t="s">
        <v>100</v>
      </c>
      <c r="F198" s="9">
        <v>-1</v>
      </c>
      <c r="G198">
        <v>-1</v>
      </c>
      <c r="I198" s="2">
        <v>2</v>
      </c>
      <c r="J198" s="25">
        <v>0</v>
      </c>
      <c r="K198">
        <v>0</v>
      </c>
      <c r="L198">
        <v>0</v>
      </c>
      <c r="M198" s="2">
        <v>3.9668000000000001</v>
      </c>
      <c r="N198" s="2">
        <v>3.9668000000000001</v>
      </c>
      <c r="O198" s="2">
        <v>20.597999999999999</v>
      </c>
      <c r="P198" s="2" t="s">
        <v>440</v>
      </c>
      <c r="Q198" s="2"/>
      <c r="R198" s="25">
        <v>0</v>
      </c>
      <c r="S198" s="25"/>
      <c r="T198" s="25"/>
      <c r="U198">
        <v>0</v>
      </c>
      <c r="X198">
        <v>0</v>
      </c>
      <c r="AA198" s="2"/>
      <c r="AB198">
        <v>14</v>
      </c>
      <c r="AC198" s="55">
        <f t="shared" si="11"/>
        <v>324.11987513951999</v>
      </c>
      <c r="AD198" s="57">
        <v>0</v>
      </c>
      <c r="AE198" s="55">
        <v>0</v>
      </c>
      <c r="AF198" s="55">
        <v>0</v>
      </c>
      <c r="AG198" s="52">
        <f t="shared" ref="AG198:AG199" si="36">I198*AB198/AC198</f>
        <v>8.6387790899731698E-2</v>
      </c>
      <c r="AH198" s="51"/>
      <c r="AI198" s="52"/>
      <c r="AJ198" s="52"/>
      <c r="AK198" s="28">
        <v>2</v>
      </c>
      <c r="AL198" s="28">
        <v>2.4615384615384621</v>
      </c>
      <c r="AM198" s="28">
        <v>0.69230769230769229</v>
      </c>
      <c r="AN198" s="28">
        <v>1.0769230769230771</v>
      </c>
      <c r="AO198" s="28">
        <v>0.32098765432098758</v>
      </c>
      <c r="AP198" s="28">
        <v>0.39506172839506182</v>
      </c>
      <c r="AQ198" s="28">
        <v>0.1111111111111111</v>
      </c>
      <c r="AR198" s="28">
        <v>0.1728395061728395</v>
      </c>
      <c r="AS198" s="25">
        <v>0.95</v>
      </c>
      <c r="AT198" s="25">
        <v>3.44</v>
      </c>
      <c r="AU198" s="25">
        <v>2.4900000000000002</v>
      </c>
      <c r="AV198" s="25">
        <v>2.592307692307692</v>
      </c>
      <c r="AW198">
        <v>2.5923076923076929</v>
      </c>
      <c r="AX198">
        <v>5.9154799303846159</v>
      </c>
      <c r="AY198" s="75"/>
      <c r="AZ198" s="75"/>
      <c r="BA198" s="75"/>
      <c r="BB198">
        <v>4.3193895449865849E-2</v>
      </c>
      <c r="BF198">
        <v>8.6387790899731698E-2</v>
      </c>
      <c r="BG198">
        <v>4.3193895449865849E-2</v>
      </c>
      <c r="BH198">
        <v>0</v>
      </c>
      <c r="BI198" s="79" t="s">
        <v>1293</v>
      </c>
      <c r="BJ198" s="79">
        <v>1473</v>
      </c>
      <c r="BK198" s="79">
        <v>12</v>
      </c>
      <c r="BM198" s="79" t="s">
        <v>1268</v>
      </c>
      <c r="BN198" s="79" t="s">
        <v>863</v>
      </c>
      <c r="BO198" s="79">
        <v>1</v>
      </c>
      <c r="BP198" s="79">
        <v>21.4</v>
      </c>
      <c r="BQ198" s="79">
        <v>1</v>
      </c>
      <c r="BR198" s="79">
        <v>0</v>
      </c>
      <c r="BS198" s="79" t="s">
        <v>1309</v>
      </c>
      <c r="BT198" s="79" t="s">
        <v>464</v>
      </c>
      <c r="BU198" s="79" t="s">
        <v>1266</v>
      </c>
      <c r="BV198" s="79">
        <v>500</v>
      </c>
      <c r="BW198" s="79">
        <v>250</v>
      </c>
      <c r="BY198" s="79">
        <v>293</v>
      </c>
      <c r="BZ198" s="81">
        <v>250</v>
      </c>
      <c r="CA198">
        <f t="shared" si="34"/>
        <v>5.521460917862246</v>
      </c>
    </row>
    <row r="199" spans="1:79" x14ac:dyDescent="0.3">
      <c r="A199" s="2" t="s">
        <v>1214</v>
      </c>
      <c r="B199" s="68" t="s">
        <v>1216</v>
      </c>
      <c r="C199" s="13"/>
      <c r="D199" s="2">
        <v>2.27</v>
      </c>
      <c r="E199" s="2" t="s">
        <v>100</v>
      </c>
      <c r="F199" s="9">
        <v>-1</v>
      </c>
      <c r="G199">
        <v>-1</v>
      </c>
      <c r="I199" s="2">
        <v>1</v>
      </c>
      <c r="J199" s="25">
        <v>0</v>
      </c>
      <c r="K199">
        <v>0</v>
      </c>
      <c r="L199">
        <v>0</v>
      </c>
      <c r="M199" s="2">
        <v>3.9493</v>
      </c>
      <c r="N199" s="2">
        <v>3.9493</v>
      </c>
      <c r="O199" s="2">
        <v>12.727</v>
      </c>
      <c r="P199" s="2" t="s">
        <v>440</v>
      </c>
      <c r="Q199" s="2"/>
      <c r="R199" s="25">
        <v>0</v>
      </c>
      <c r="S199" s="25"/>
      <c r="T199" s="25"/>
      <c r="U199">
        <v>0</v>
      </c>
      <c r="X199">
        <v>0</v>
      </c>
      <c r="AA199" s="2"/>
      <c r="AB199">
        <v>16</v>
      </c>
      <c r="AC199" s="55">
        <f t="shared" si="11"/>
        <v>198.50264342623001</v>
      </c>
      <c r="AD199" s="57">
        <v>0</v>
      </c>
      <c r="AE199" s="55">
        <v>0</v>
      </c>
      <c r="AF199" s="55">
        <v>0</v>
      </c>
      <c r="AG199" s="52">
        <f t="shared" si="36"/>
        <v>8.0603460608050376E-2</v>
      </c>
      <c r="AH199" s="51"/>
      <c r="AI199" s="52"/>
      <c r="AJ199" s="52"/>
      <c r="AK199" s="28">
        <v>2</v>
      </c>
      <c r="AL199" s="28">
        <v>2.4</v>
      </c>
      <c r="AM199" s="28">
        <v>0.6</v>
      </c>
      <c r="AN199" s="28">
        <v>0.93333333333333335</v>
      </c>
      <c r="AO199" s="28">
        <v>0.33707865168539319</v>
      </c>
      <c r="AP199" s="28">
        <v>0.4044943820224719</v>
      </c>
      <c r="AQ199" s="28">
        <v>0.101123595505618</v>
      </c>
      <c r="AR199" s="28">
        <v>0.15730337078651679</v>
      </c>
      <c r="AS199" s="25">
        <v>0.95</v>
      </c>
      <c r="AT199" s="25">
        <v>3.44</v>
      </c>
      <c r="AU199" s="25">
        <v>2.4900000000000002</v>
      </c>
      <c r="AV199" s="25">
        <v>2.539333333333333</v>
      </c>
      <c r="AW199">
        <v>2.539333333333333</v>
      </c>
      <c r="AX199">
        <v>5.8209523980000002</v>
      </c>
      <c r="AY199" s="75"/>
      <c r="AZ199" s="75"/>
      <c r="BA199" s="75"/>
      <c r="BB199">
        <v>4.0301730304025188E-2</v>
      </c>
      <c r="BF199">
        <v>8.0603460608050376E-2</v>
      </c>
      <c r="BG199">
        <v>4.0301730304025188E-2</v>
      </c>
      <c r="BH199">
        <v>0</v>
      </c>
      <c r="BI199" s="79" t="s">
        <v>1293</v>
      </c>
      <c r="BJ199" s="79">
        <v>1673</v>
      </c>
      <c r="BK199" s="79">
        <v>12</v>
      </c>
      <c r="BM199" s="79" t="s">
        <v>1268</v>
      </c>
      <c r="BN199" s="79" t="s">
        <v>863</v>
      </c>
      <c r="BO199" s="79">
        <v>1</v>
      </c>
      <c r="BP199" s="79">
        <v>4.5999999999999996</v>
      </c>
      <c r="BQ199" s="79">
        <v>1</v>
      </c>
      <c r="BR199" s="79">
        <v>0</v>
      </c>
      <c r="BS199" s="79" t="s">
        <v>1309</v>
      </c>
      <c r="BT199" s="79" t="s">
        <v>464</v>
      </c>
      <c r="BU199" s="79" t="s">
        <v>1266</v>
      </c>
      <c r="BV199" s="79">
        <v>500</v>
      </c>
      <c r="BW199" s="79">
        <v>250</v>
      </c>
      <c r="BY199" s="79">
        <v>293</v>
      </c>
      <c r="BZ199" s="81">
        <v>166</v>
      </c>
      <c r="CA199">
        <f t="shared" si="34"/>
        <v>5.1119877883565437</v>
      </c>
    </row>
    <row r="200" spans="1:79" x14ac:dyDescent="0.3">
      <c r="A200" s="2" t="s">
        <v>916</v>
      </c>
      <c r="B200" s="17" t="s">
        <v>918</v>
      </c>
      <c r="C200" s="13"/>
      <c r="D200" s="2">
        <v>3.157</v>
      </c>
      <c r="E200" s="2" t="s">
        <v>103</v>
      </c>
      <c r="F200" s="9">
        <v>-1</v>
      </c>
      <c r="G200">
        <v>-1</v>
      </c>
      <c r="H200" t="s">
        <v>1217</v>
      </c>
      <c r="I200" s="2">
        <v>4</v>
      </c>
      <c r="J200" s="25">
        <v>0</v>
      </c>
      <c r="K200">
        <v>0</v>
      </c>
      <c r="L200">
        <v>2</v>
      </c>
      <c r="M200" s="2">
        <v>12.449</v>
      </c>
      <c r="N200" s="2">
        <v>12.449</v>
      </c>
      <c r="O200" s="5">
        <v>9.1999999999999993</v>
      </c>
      <c r="P200" s="2" t="s">
        <v>486</v>
      </c>
      <c r="Q200" s="2"/>
      <c r="R200" s="25">
        <v>0</v>
      </c>
      <c r="S200" s="25"/>
      <c r="T200" s="25"/>
      <c r="U200">
        <v>0</v>
      </c>
      <c r="X200">
        <v>0</v>
      </c>
      <c r="AA200" s="29">
        <v>3</v>
      </c>
      <c r="AB200">
        <v>28.67</v>
      </c>
      <c r="AC200" s="55">
        <f>M200*N200*O200</f>
        <v>1425.7939291999999</v>
      </c>
      <c r="AD200" s="57">
        <v>0</v>
      </c>
      <c r="AE200" s="55">
        <v>0</v>
      </c>
      <c r="AF200" s="55">
        <v>603.79999999999995</v>
      </c>
      <c r="AG200" s="52">
        <f>I200*AB200/AC200</f>
        <v>8.0432380620631433E-2</v>
      </c>
      <c r="AH200" s="51"/>
      <c r="AI200" s="52"/>
      <c r="AJ200" s="67">
        <f>L200*AB200/AF200</f>
        <v>9.4965220271613124E-2</v>
      </c>
      <c r="AK200" s="28">
        <v>1.6718155361540179</v>
      </c>
      <c r="AL200" s="28">
        <v>2.567271099171704</v>
      </c>
      <c r="AM200" s="28">
        <v>0.89545556301768525</v>
      </c>
      <c r="AN200" s="28">
        <v>0</v>
      </c>
      <c r="AO200" s="28">
        <v>0.32560167422392738</v>
      </c>
      <c r="AP200" s="28">
        <v>0.5</v>
      </c>
      <c r="AQ200" s="28">
        <v>0.17439832577607259</v>
      </c>
      <c r="AR200" s="28">
        <v>0</v>
      </c>
      <c r="AS200" s="25">
        <v>0.82</v>
      </c>
      <c r="AT200" s="25">
        <v>3.44</v>
      </c>
      <c r="AU200" s="25">
        <v>2.62</v>
      </c>
      <c r="AV200" s="25">
        <v>2.680076113722857</v>
      </c>
      <c r="AW200">
        <v>2.6800761137228561</v>
      </c>
      <c r="AX200">
        <v>6.0370190189344077</v>
      </c>
      <c r="AY200" s="75"/>
      <c r="AZ200" s="75"/>
      <c r="BA200" s="75"/>
      <c r="BB200">
        <v>4.0216190310315723E-2</v>
      </c>
      <c r="BE200">
        <v>4.7482610135806562E-2</v>
      </c>
      <c r="BF200">
        <v>8.7698800446122271E-2</v>
      </c>
      <c r="BG200">
        <v>4.3849400223061143E-2</v>
      </c>
      <c r="BH200">
        <v>0</v>
      </c>
      <c r="BI200" s="79" t="s">
        <v>1264</v>
      </c>
      <c r="BJ200" s="79">
        <v>1873</v>
      </c>
      <c r="BK200" s="79">
        <v>1</v>
      </c>
      <c r="BM200" s="79" t="s">
        <v>464</v>
      </c>
      <c r="BN200" s="79" t="s">
        <v>464</v>
      </c>
      <c r="BO200" s="79">
        <v>0</v>
      </c>
      <c r="BP200" s="79">
        <v>11.6</v>
      </c>
      <c r="BQ200" s="79">
        <v>2</v>
      </c>
      <c r="BR200" s="79">
        <v>10</v>
      </c>
      <c r="BS200" s="79" t="s">
        <v>464</v>
      </c>
      <c r="BT200" s="79" t="s">
        <v>464</v>
      </c>
      <c r="BU200" s="79" t="s">
        <v>1266</v>
      </c>
      <c r="BV200" s="79">
        <v>100</v>
      </c>
      <c r="BW200" s="79">
        <v>290</v>
      </c>
      <c r="BY200" s="79">
        <v>333</v>
      </c>
      <c r="BZ200" s="81">
        <v>0</v>
      </c>
      <c r="CA200" t="e">
        <f t="shared" si="34"/>
        <v>#NUM!</v>
      </c>
    </row>
    <row r="201" spans="1:79" x14ac:dyDescent="0.3">
      <c r="A201" s="2" t="s">
        <v>917</v>
      </c>
      <c r="B201" s="17" t="s">
        <v>919</v>
      </c>
      <c r="C201" s="13"/>
      <c r="D201" s="2">
        <v>3.1880000000000002</v>
      </c>
      <c r="E201" s="2" t="s">
        <v>103</v>
      </c>
      <c r="F201" s="9">
        <v>-1</v>
      </c>
      <c r="G201">
        <v>-1</v>
      </c>
      <c r="H201" s="1" t="s">
        <v>1217</v>
      </c>
      <c r="I201" s="2">
        <v>4</v>
      </c>
      <c r="J201" s="25">
        <v>0</v>
      </c>
      <c r="K201">
        <v>0</v>
      </c>
      <c r="L201">
        <v>0</v>
      </c>
      <c r="M201" s="2">
        <v>12.449</v>
      </c>
      <c r="N201" s="2">
        <v>12.449</v>
      </c>
      <c r="O201" s="2">
        <v>8.11</v>
      </c>
      <c r="P201" s="2"/>
      <c r="Q201" s="2"/>
      <c r="R201" s="25">
        <v>0</v>
      </c>
      <c r="S201" s="25"/>
      <c r="T201" s="25"/>
      <c r="U201">
        <v>0</v>
      </c>
      <c r="X201">
        <v>0</v>
      </c>
      <c r="AA201" s="2">
        <v>3</v>
      </c>
      <c r="AB201">
        <v>28.67</v>
      </c>
      <c r="AC201" s="55">
        <f t="shared" si="11"/>
        <v>1256.86834411</v>
      </c>
      <c r="AD201" s="57">
        <v>0</v>
      </c>
      <c r="AE201" s="55">
        <v>0</v>
      </c>
      <c r="AF201" s="55">
        <v>0</v>
      </c>
      <c r="AG201" s="52">
        <f>I201*AB201/AC201</f>
        <v>9.1242651258916035E-2</v>
      </c>
      <c r="AH201" s="51"/>
      <c r="AI201" s="52"/>
      <c r="AJ201" s="52"/>
      <c r="AK201" s="28">
        <v>1.6718155361540179</v>
      </c>
      <c r="AL201" s="28">
        <v>2.567271099171704</v>
      </c>
      <c r="AM201" s="28">
        <v>0.89545556301768525</v>
      </c>
      <c r="AN201" s="28">
        <v>0</v>
      </c>
      <c r="AO201" s="28">
        <v>0.32560167422392738</v>
      </c>
      <c r="AP201" s="28">
        <v>0.5</v>
      </c>
      <c r="AQ201" s="28">
        <v>0.17439832577607259</v>
      </c>
      <c r="AR201" s="28">
        <v>0</v>
      </c>
      <c r="AS201" s="25">
        <v>0.95</v>
      </c>
      <c r="AT201" s="25">
        <v>3.44</v>
      </c>
      <c r="AU201" s="25">
        <v>2.4900000000000002</v>
      </c>
      <c r="AV201" s="25">
        <v>2.8240385045892098</v>
      </c>
      <c r="AW201">
        <v>2.8240385045892089</v>
      </c>
      <c r="AX201">
        <v>6.533110796268315</v>
      </c>
      <c r="AY201" s="75"/>
      <c r="AZ201" s="75"/>
      <c r="BA201" s="75"/>
      <c r="BB201">
        <v>4.5621325629458018E-2</v>
      </c>
      <c r="BF201">
        <v>9.1242651258916035E-2</v>
      </c>
      <c r="BG201">
        <v>4.5621325629458018E-2</v>
      </c>
      <c r="BH201">
        <v>0</v>
      </c>
      <c r="BI201" s="79" t="s">
        <v>1264</v>
      </c>
      <c r="BJ201" s="79">
        <v>1873</v>
      </c>
      <c r="BK201" s="79">
        <v>1</v>
      </c>
      <c r="BM201" s="79" t="s">
        <v>464</v>
      </c>
      <c r="BN201" s="79" t="s">
        <v>464</v>
      </c>
      <c r="BO201" s="79">
        <v>0</v>
      </c>
      <c r="BP201" s="79">
        <v>11.72</v>
      </c>
      <c r="BQ201" s="79">
        <v>2</v>
      </c>
      <c r="BR201" s="79">
        <v>10</v>
      </c>
      <c r="BS201" s="79" t="s">
        <v>464</v>
      </c>
      <c r="BT201" s="79" t="s">
        <v>464</v>
      </c>
      <c r="BU201" s="79" t="s">
        <v>1266</v>
      </c>
      <c r="BV201" s="79">
        <v>100</v>
      </c>
      <c r="BW201" s="79">
        <v>290</v>
      </c>
      <c r="BY201" s="79">
        <v>333</v>
      </c>
      <c r="BZ201" s="81">
        <v>3348</v>
      </c>
      <c r="CA201">
        <f t="shared" si="34"/>
        <v>8.1161184316093653</v>
      </c>
    </row>
    <row r="202" spans="1:79" x14ac:dyDescent="0.3">
      <c r="A202" s="2" t="s">
        <v>917</v>
      </c>
      <c r="B202" s="17" t="s">
        <v>919</v>
      </c>
      <c r="C202" s="13"/>
      <c r="D202" s="2">
        <v>3.2040000000000002</v>
      </c>
      <c r="E202" s="2" t="s">
        <v>103</v>
      </c>
      <c r="F202" s="9">
        <v>-1</v>
      </c>
      <c r="G202">
        <v>-1</v>
      </c>
      <c r="H202" s="1" t="s">
        <v>1217</v>
      </c>
      <c r="I202" s="2">
        <v>4</v>
      </c>
      <c r="J202" s="25">
        <v>0</v>
      </c>
      <c r="K202">
        <v>0</v>
      </c>
      <c r="L202">
        <v>0</v>
      </c>
      <c r="M202" s="2">
        <v>12.449</v>
      </c>
      <c r="N202" s="2">
        <v>12.449</v>
      </c>
      <c r="O202" s="2">
        <v>8.0399999999999991</v>
      </c>
      <c r="P202" s="2"/>
      <c r="Q202" s="2"/>
      <c r="R202" s="25">
        <v>0</v>
      </c>
      <c r="S202" s="25"/>
      <c r="T202" s="25"/>
      <c r="U202">
        <v>0</v>
      </c>
      <c r="X202">
        <v>0</v>
      </c>
      <c r="AA202" s="2">
        <v>3</v>
      </c>
      <c r="AB202">
        <v>28.67</v>
      </c>
      <c r="AC202" s="55">
        <f t="shared" si="11"/>
        <v>1246.0199120399998</v>
      </c>
      <c r="AD202" s="57">
        <v>0</v>
      </c>
      <c r="AE202" s="55">
        <v>0</v>
      </c>
      <c r="AF202" s="55">
        <v>0</v>
      </c>
      <c r="AG202" s="52">
        <f>I202*AB202/AC202</f>
        <v>9.2037052451468801E-2</v>
      </c>
      <c r="AH202" s="51"/>
      <c r="AI202" s="52"/>
      <c r="AJ202" s="52"/>
      <c r="AK202" s="28">
        <v>1.6718155361540179</v>
      </c>
      <c r="AL202" s="28">
        <v>2.567271099171704</v>
      </c>
      <c r="AM202" s="28">
        <v>0.89545556301768525</v>
      </c>
      <c r="AN202" s="28">
        <v>0</v>
      </c>
      <c r="AO202" s="28">
        <v>0.32560167422392738</v>
      </c>
      <c r="AP202" s="28">
        <v>0.5</v>
      </c>
      <c r="AQ202" s="28">
        <v>0.17439832577607259</v>
      </c>
      <c r="AR202" s="28">
        <v>0</v>
      </c>
      <c r="AS202" s="25">
        <v>0.95</v>
      </c>
      <c r="AT202" s="25">
        <v>3.44</v>
      </c>
      <c r="AU202" s="25">
        <v>2.4900000000000002</v>
      </c>
      <c r="AV202" s="25">
        <v>2.8240385045892098</v>
      </c>
      <c r="AW202">
        <v>2.8240385045892089</v>
      </c>
      <c r="AX202">
        <v>6.533110796268315</v>
      </c>
      <c r="AY202" s="75"/>
      <c r="AZ202" s="75"/>
      <c r="BA202" s="75"/>
      <c r="BB202">
        <v>4.60185262257344E-2</v>
      </c>
      <c r="BF202">
        <v>9.2037052451468801E-2</v>
      </c>
      <c r="BG202">
        <v>4.60185262257344E-2</v>
      </c>
      <c r="BH202">
        <v>0</v>
      </c>
      <c r="BI202" s="79" t="s">
        <v>1264</v>
      </c>
      <c r="BJ202" s="79">
        <v>1873</v>
      </c>
      <c r="BK202" s="79">
        <v>1</v>
      </c>
      <c r="BM202" s="79" t="s">
        <v>1275</v>
      </c>
      <c r="BN202" s="79" t="s">
        <v>863</v>
      </c>
      <c r="BO202" s="79">
        <v>1.1200000000000001</v>
      </c>
      <c r="BP202" s="79">
        <v>11.64</v>
      </c>
      <c r="BQ202" s="79">
        <v>2</v>
      </c>
      <c r="BR202" s="79">
        <v>10</v>
      </c>
      <c r="BS202" s="79" t="s">
        <v>464</v>
      </c>
      <c r="BT202" s="79" t="s">
        <v>464</v>
      </c>
      <c r="BU202" s="79" t="s">
        <v>1266</v>
      </c>
      <c r="BV202" s="79">
        <v>100</v>
      </c>
      <c r="BW202" s="79">
        <v>290</v>
      </c>
      <c r="BY202" s="79">
        <v>333</v>
      </c>
      <c r="BZ202" s="81">
        <v>40179</v>
      </c>
      <c r="CA202">
        <f t="shared" si="34"/>
        <v>10.601099750055232</v>
      </c>
    </row>
    <row r="203" spans="1:79" x14ac:dyDescent="0.3">
      <c r="A203" s="2" t="s">
        <v>8</v>
      </c>
      <c r="B203" s="85" t="s">
        <v>694</v>
      </c>
      <c r="C203" s="13"/>
      <c r="D203" s="2">
        <v>3</v>
      </c>
      <c r="E203" s="2" t="s">
        <v>103</v>
      </c>
      <c r="F203" s="82" t="s">
        <v>530</v>
      </c>
      <c r="G203" t="s">
        <v>612</v>
      </c>
      <c r="I203" s="2"/>
      <c r="J203" s="25"/>
      <c r="M203" s="2"/>
      <c r="N203" s="2"/>
      <c r="O203" s="2"/>
      <c r="P203" s="2"/>
      <c r="Q203" s="2"/>
      <c r="R203" s="25"/>
      <c r="S203" s="25"/>
      <c r="T203" s="25"/>
      <c r="AA203" s="2"/>
      <c r="AC203" s="55"/>
      <c r="AD203" s="57"/>
      <c r="AE203" s="55"/>
      <c r="AF203" s="55"/>
      <c r="AG203" s="52"/>
      <c r="AH203" s="51"/>
      <c r="AI203" s="52"/>
      <c r="AJ203" s="52"/>
      <c r="AK203" s="28"/>
      <c r="AL203" s="28"/>
      <c r="AM203" s="28"/>
      <c r="AN203" s="28"/>
      <c r="AO203" s="28"/>
      <c r="AP203" s="28"/>
      <c r="AQ203" s="28"/>
      <c r="AR203" s="28"/>
      <c r="AS203" s="25"/>
      <c r="AT203" s="25"/>
      <c r="AU203" s="25"/>
      <c r="AV203" s="25"/>
      <c r="AY203" s="75"/>
      <c r="AZ203" s="75"/>
      <c r="BA203" s="75"/>
      <c r="BI203" s="79" t="s">
        <v>1290</v>
      </c>
      <c r="BM203" s="79" t="s">
        <v>464</v>
      </c>
      <c r="BN203" s="79" t="s">
        <v>464</v>
      </c>
      <c r="BO203" s="79">
        <v>0</v>
      </c>
      <c r="BP203" s="79">
        <v>49</v>
      </c>
      <c r="BQ203" s="79">
        <v>2</v>
      </c>
      <c r="BR203" s="79">
        <v>10</v>
      </c>
      <c r="BS203" s="79" t="s">
        <v>464</v>
      </c>
      <c r="BT203" s="79" t="s">
        <v>464</v>
      </c>
      <c r="BU203" s="79" t="s">
        <v>1266</v>
      </c>
      <c r="BV203" s="79">
        <v>100</v>
      </c>
      <c r="BW203" s="79">
        <v>290</v>
      </c>
      <c r="BY203" s="79">
        <v>333</v>
      </c>
      <c r="BZ203" s="81">
        <v>1116</v>
      </c>
      <c r="CA203">
        <f t="shared" si="34"/>
        <v>7.0175061429412562</v>
      </c>
    </row>
    <row r="204" spans="1:79" x14ac:dyDescent="0.3">
      <c r="A204" s="2" t="s">
        <v>8</v>
      </c>
      <c r="B204" s="85" t="s">
        <v>694</v>
      </c>
      <c r="C204" s="13"/>
      <c r="D204" s="2">
        <v>3</v>
      </c>
      <c r="E204" s="2" t="s">
        <v>103</v>
      </c>
      <c r="F204" s="82" t="s">
        <v>530</v>
      </c>
      <c r="G204" t="s">
        <v>612</v>
      </c>
      <c r="H204" s="58"/>
      <c r="I204" s="2"/>
      <c r="J204" s="25"/>
      <c r="M204" s="2"/>
      <c r="N204" s="2"/>
      <c r="O204" s="2"/>
      <c r="P204" s="2"/>
      <c r="Q204" s="2"/>
      <c r="R204" s="25"/>
      <c r="S204" s="25"/>
      <c r="T204" s="25"/>
      <c r="AA204" s="2"/>
      <c r="AC204" s="55"/>
      <c r="AD204" s="57"/>
      <c r="AE204" s="55"/>
      <c r="AF204" s="55"/>
      <c r="AG204" s="52"/>
      <c r="AH204" s="51"/>
      <c r="AI204" s="52"/>
      <c r="AJ204" s="52"/>
      <c r="AK204" s="28"/>
      <c r="AL204" s="28"/>
      <c r="AM204" s="28"/>
      <c r="AN204" s="28"/>
      <c r="AO204" s="28"/>
      <c r="AP204" s="28"/>
      <c r="AQ204" s="28"/>
      <c r="AR204" s="28"/>
      <c r="AS204" s="25"/>
      <c r="AT204" s="25"/>
      <c r="AU204" s="25"/>
      <c r="AV204" s="25"/>
      <c r="AY204" s="75"/>
      <c r="AZ204" s="75"/>
      <c r="BA204" s="75"/>
      <c r="BI204" s="79" t="s">
        <v>1290</v>
      </c>
      <c r="BM204" s="79" t="s">
        <v>1275</v>
      </c>
      <c r="BN204" s="79" t="s">
        <v>863</v>
      </c>
      <c r="BO204" s="79">
        <v>1.1200000000000001</v>
      </c>
      <c r="BP204" s="79">
        <v>49</v>
      </c>
      <c r="BQ204" s="79">
        <v>2</v>
      </c>
      <c r="BR204" s="79">
        <v>10</v>
      </c>
      <c r="BS204" s="79" t="s">
        <v>464</v>
      </c>
      <c r="BT204" s="79" t="s">
        <v>464</v>
      </c>
      <c r="BU204" s="79" t="s">
        <v>1266</v>
      </c>
      <c r="BV204" s="79">
        <v>100</v>
      </c>
      <c r="BW204" s="79">
        <v>290</v>
      </c>
      <c r="BY204" s="79">
        <v>333</v>
      </c>
      <c r="BZ204" s="81">
        <v>30134</v>
      </c>
      <c r="CA204">
        <f t="shared" si="34"/>
        <v>10.313409381361234</v>
      </c>
    </row>
    <row r="205" spans="1:79" x14ac:dyDescent="0.3">
      <c r="A205" s="2" t="s">
        <v>104</v>
      </c>
      <c r="B205" s="13" t="s">
        <v>748</v>
      </c>
      <c r="C205" s="13"/>
      <c r="D205" s="2">
        <v>3</v>
      </c>
      <c r="E205" s="2" t="s">
        <v>111</v>
      </c>
      <c r="F205" s="9" t="s">
        <v>566</v>
      </c>
      <c r="G205" t="s">
        <v>644</v>
      </c>
      <c r="I205" s="2"/>
      <c r="J205" s="25">
        <v>4</v>
      </c>
      <c r="K205">
        <v>4</v>
      </c>
      <c r="L205">
        <v>0</v>
      </c>
      <c r="M205" s="2"/>
      <c r="N205" s="2"/>
      <c r="O205" s="2"/>
      <c r="P205" s="2"/>
      <c r="Q205" s="2"/>
      <c r="R205" s="25">
        <v>5.452661</v>
      </c>
      <c r="S205" s="25">
        <v>5.4531499999999999</v>
      </c>
      <c r="T205" s="25">
        <v>24.558717999999999</v>
      </c>
      <c r="U205">
        <v>5.44</v>
      </c>
      <c r="V205">
        <v>5.4130000000000003</v>
      </c>
      <c r="W205">
        <v>23.74</v>
      </c>
      <c r="X205">
        <v>0</v>
      </c>
      <c r="AA205" s="2"/>
      <c r="AB205">
        <v>18</v>
      </c>
      <c r="AC205" s="55">
        <f t="shared" si="11"/>
        <v>0</v>
      </c>
      <c r="AD205" s="57">
        <v>730.23330062098216</v>
      </c>
      <c r="AE205" s="55">
        <v>699.06513280000001</v>
      </c>
      <c r="AF205" s="55">
        <v>0</v>
      </c>
      <c r="AG205" s="52"/>
      <c r="AH205" s="51">
        <v>9.8598625862134762E-2</v>
      </c>
      <c r="AI205" s="52">
        <v>0.1029946948027788</v>
      </c>
      <c r="AJ205" s="52"/>
      <c r="AK205" s="28">
        <v>2</v>
      </c>
      <c r="AL205" s="28">
        <v>3.2307692307692308</v>
      </c>
      <c r="AM205" s="28">
        <v>2.1538461538461542</v>
      </c>
      <c r="AN205" s="28">
        <v>4.3076923076923066</v>
      </c>
      <c r="AO205" s="28">
        <v>0.1710526315789474</v>
      </c>
      <c r="AP205" s="28">
        <v>0.27631578947368418</v>
      </c>
      <c r="AQ205" s="28">
        <v>0.18421052631578949</v>
      </c>
      <c r="AR205" s="28">
        <v>0.36842105263157893</v>
      </c>
      <c r="AS205" s="25">
        <v>2.02</v>
      </c>
      <c r="AT205" s="25">
        <v>3.44</v>
      </c>
      <c r="AU205" s="25">
        <v>1.42</v>
      </c>
      <c r="AV205" s="25">
        <v>3.0553846153846149</v>
      </c>
      <c r="AW205">
        <v>3.0553846153846149</v>
      </c>
      <c r="AX205">
        <v>6.5203382676923072</v>
      </c>
      <c r="AY205" s="75">
        <v>0.50518012153204694</v>
      </c>
      <c r="AZ205" s="75">
        <v>0.52770382936549109</v>
      </c>
      <c r="BA205" s="75"/>
      <c r="BC205">
        <v>4.9299312931067381E-2</v>
      </c>
      <c r="BD205">
        <v>5.1497347401389379E-2</v>
      </c>
      <c r="BF205">
        <v>0.10079666033245679</v>
      </c>
      <c r="BG205">
        <v>5.0398330166228383E-2</v>
      </c>
      <c r="BH205">
        <v>0.51644197544876902</v>
      </c>
      <c r="BI205" s="79" t="s">
        <v>1264</v>
      </c>
      <c r="BJ205" s="79">
        <v>1123</v>
      </c>
      <c r="BK205" s="79">
        <v>10</v>
      </c>
      <c r="BM205" s="79" t="s">
        <v>1268</v>
      </c>
      <c r="BN205" s="79" t="s">
        <v>863</v>
      </c>
      <c r="BO205" s="79">
        <v>1</v>
      </c>
      <c r="BQ205" s="79">
        <v>2.7</v>
      </c>
      <c r="BR205" s="79">
        <v>5.4</v>
      </c>
      <c r="BS205" s="79" t="s">
        <v>464</v>
      </c>
      <c r="BT205" s="79" t="s">
        <v>464</v>
      </c>
      <c r="BU205" s="79" t="s">
        <v>1266</v>
      </c>
      <c r="BV205" s="79">
        <v>450</v>
      </c>
      <c r="BW205" s="79">
        <v>300</v>
      </c>
      <c r="BX205" s="79" t="s">
        <v>1311</v>
      </c>
      <c r="BZ205" s="81">
        <v>18</v>
      </c>
      <c r="CA205">
        <f t="shared" si="34"/>
        <v>2.8903717578961645</v>
      </c>
    </row>
    <row r="206" spans="1:79" x14ac:dyDescent="0.3">
      <c r="A206" s="2" t="s">
        <v>69</v>
      </c>
      <c r="B206" s="13" t="s">
        <v>738</v>
      </c>
      <c r="C206" s="13"/>
      <c r="D206" s="2">
        <v>2.8</v>
      </c>
      <c r="E206" s="2" t="s">
        <v>111</v>
      </c>
      <c r="F206" s="9" t="s">
        <v>560</v>
      </c>
      <c r="G206" t="s">
        <v>638</v>
      </c>
      <c r="I206" s="2"/>
      <c r="J206" s="25">
        <v>2</v>
      </c>
      <c r="K206">
        <v>4</v>
      </c>
      <c r="L206">
        <v>0</v>
      </c>
      <c r="M206" s="2"/>
      <c r="N206" s="2"/>
      <c r="O206" s="2"/>
      <c r="P206" s="2"/>
      <c r="Q206" s="2"/>
      <c r="R206" s="25">
        <v>8.3195821399999996</v>
      </c>
      <c r="S206" s="25">
        <v>8.3195821399999996</v>
      </c>
      <c r="T206" s="25">
        <v>8.2425581700000006</v>
      </c>
      <c r="U206">
        <v>5.5339970000000003</v>
      </c>
      <c r="V206">
        <v>5.4998300000000002</v>
      </c>
      <c r="W206">
        <v>16.550709999999999</v>
      </c>
      <c r="X206">
        <v>0</v>
      </c>
      <c r="AA206" s="29">
        <v>1</v>
      </c>
      <c r="AB206">
        <v>12</v>
      </c>
      <c r="AC206" s="55">
        <f t="shared" si="11"/>
        <v>0</v>
      </c>
      <c r="AD206" s="57">
        <v>248.80917443900231</v>
      </c>
      <c r="AE206" s="55">
        <v>503.73811661477208</v>
      </c>
      <c r="AF206" s="55">
        <v>0</v>
      </c>
      <c r="AG206" s="52"/>
      <c r="AH206" s="51">
        <v>9.6459465588893734E-2</v>
      </c>
      <c r="AI206" s="52">
        <v>9.5287607621536111E-2</v>
      </c>
      <c r="AJ206" s="52"/>
      <c r="AK206" s="28">
        <v>2</v>
      </c>
      <c r="AL206" s="28">
        <v>3.333333333333333</v>
      </c>
      <c r="AM206" s="28">
        <v>2.666666666666667</v>
      </c>
      <c r="AN206" s="28">
        <v>4.666666666666667</v>
      </c>
      <c r="AO206" s="28">
        <v>0.15789473684210531</v>
      </c>
      <c r="AP206" s="28">
        <v>0.26315789473684209</v>
      </c>
      <c r="AQ206" s="28">
        <v>0.2105263157894737</v>
      </c>
      <c r="AR206" s="28">
        <v>0.36842105263157898</v>
      </c>
      <c r="AS206" s="25">
        <v>2.02</v>
      </c>
      <c r="AT206" s="25">
        <v>3.44</v>
      </c>
      <c r="AU206" s="25">
        <v>1.42</v>
      </c>
      <c r="AV206" s="25">
        <v>3.0044444444444438</v>
      </c>
      <c r="AW206">
        <v>3.0044444444444438</v>
      </c>
      <c r="AX206">
        <v>6.4228342255555546</v>
      </c>
      <c r="AY206" s="75">
        <v>0.52562348257484404</v>
      </c>
      <c r="AZ206" s="75">
        <v>0.51923783589802341</v>
      </c>
      <c r="BA206" s="75"/>
      <c r="BC206">
        <v>4.8229732794446867E-2</v>
      </c>
      <c r="BD206">
        <v>4.7643803810768062E-2</v>
      </c>
      <c r="BF206">
        <v>9.5873536605214915E-2</v>
      </c>
      <c r="BG206">
        <v>4.7936768302607458E-2</v>
      </c>
      <c r="BH206">
        <v>0.52243065923643373</v>
      </c>
      <c r="BI206" s="79" t="s">
        <v>1264</v>
      </c>
      <c r="BJ206" s="79">
        <v>1073</v>
      </c>
      <c r="BK206" s="79">
        <v>24</v>
      </c>
      <c r="BM206" s="79" t="s">
        <v>1268</v>
      </c>
      <c r="BN206" s="79" t="s">
        <v>863</v>
      </c>
      <c r="BO206" s="79">
        <v>1</v>
      </c>
      <c r="BQ206" s="79">
        <v>2.7</v>
      </c>
      <c r="BR206" s="79">
        <v>5.4</v>
      </c>
      <c r="BS206" s="79" t="s">
        <v>464</v>
      </c>
      <c r="BT206" s="79" t="s">
        <v>464</v>
      </c>
      <c r="BU206" s="79" t="s">
        <v>1266</v>
      </c>
      <c r="BV206" s="79">
        <v>450</v>
      </c>
      <c r="BW206" s="79">
        <v>300</v>
      </c>
      <c r="BX206" s="79" t="s">
        <v>1311</v>
      </c>
      <c r="BZ206" s="81">
        <v>1.6</v>
      </c>
      <c r="CA206">
        <f t="shared" si="34"/>
        <v>0.47000362924573563</v>
      </c>
    </row>
    <row r="207" spans="1:79" x14ac:dyDescent="0.3">
      <c r="A207" s="2" t="s">
        <v>105</v>
      </c>
      <c r="B207" s="13" t="s">
        <v>749</v>
      </c>
      <c r="C207" s="13"/>
      <c r="D207" s="2">
        <v>2.8</v>
      </c>
      <c r="E207" s="2" t="s">
        <v>111</v>
      </c>
      <c r="F207" s="9">
        <v>-1</v>
      </c>
      <c r="G207">
        <v>-1</v>
      </c>
      <c r="H207" t="s">
        <v>1163</v>
      </c>
      <c r="I207" s="2"/>
      <c r="J207" s="25">
        <v>0</v>
      </c>
      <c r="K207">
        <v>0</v>
      </c>
      <c r="L207" s="5">
        <v>2.5</v>
      </c>
      <c r="M207" s="2"/>
      <c r="N207" s="2"/>
      <c r="O207" s="2"/>
      <c r="P207" s="2"/>
      <c r="Q207" s="2"/>
      <c r="R207" s="25">
        <v>0</v>
      </c>
      <c r="S207" s="25"/>
      <c r="T207" s="25"/>
      <c r="U207">
        <v>0</v>
      </c>
      <c r="X207">
        <v>12.495799999999999</v>
      </c>
      <c r="Y207">
        <v>12.495799999999999</v>
      </c>
      <c r="Z207">
        <v>11.2464</v>
      </c>
      <c r="AA207" s="2"/>
      <c r="AB207">
        <v>54</v>
      </c>
      <c r="AC207" s="55">
        <f t="shared" si="11"/>
        <v>0</v>
      </c>
      <c r="AD207" s="57">
        <v>0</v>
      </c>
      <c r="AE207" s="55">
        <v>0</v>
      </c>
      <c r="AF207" s="55">
        <v>1756.1</v>
      </c>
      <c r="AG207" s="52"/>
      <c r="AH207" s="51"/>
      <c r="AI207" s="52"/>
      <c r="AJ207" s="67">
        <f>L207*AB207/AF207</f>
        <v>7.6874893229314969E-2</v>
      </c>
      <c r="AK207" s="28">
        <v>2</v>
      </c>
      <c r="AL207" s="28">
        <v>3.4883720930232558</v>
      </c>
      <c r="AM207" s="28">
        <v>3.441860465116279</v>
      </c>
      <c r="AN207" s="28">
        <v>5.2093023255813957</v>
      </c>
      <c r="AO207" s="28">
        <v>0.1414473684210526</v>
      </c>
      <c r="AP207" s="28">
        <v>0.24671052631578949</v>
      </c>
      <c r="AQ207" s="28">
        <v>0.2434210526315789</v>
      </c>
      <c r="AR207" s="28">
        <v>0.36842105263157898</v>
      </c>
      <c r="AS207" s="25">
        <v>2.02</v>
      </c>
      <c r="AT207" s="25">
        <v>3.44</v>
      </c>
      <c r="AU207" s="25">
        <v>1.42</v>
      </c>
      <c r="AV207" s="25">
        <v>2.927441860465116</v>
      </c>
      <c r="AW207">
        <v>2.9274418604651169</v>
      </c>
      <c r="AX207">
        <v>6.2754443944186056</v>
      </c>
      <c r="AY207" s="75"/>
      <c r="AZ207" s="75"/>
      <c r="BA207" s="75">
        <v>0</v>
      </c>
      <c r="BE207">
        <v>3.8437446614657478E-2</v>
      </c>
      <c r="BF207">
        <v>7.6874893229314969E-2</v>
      </c>
      <c r="BG207">
        <v>3.8437446614657478E-2</v>
      </c>
      <c r="BH207">
        <v>0</v>
      </c>
      <c r="BI207" s="79" t="s">
        <v>1264</v>
      </c>
      <c r="BJ207" s="79">
        <v>1073</v>
      </c>
      <c r="BK207" s="79">
        <v>20</v>
      </c>
      <c r="BM207" s="79" t="s">
        <v>1268</v>
      </c>
      <c r="BN207" s="79" t="s">
        <v>863</v>
      </c>
      <c r="BO207" s="79">
        <v>1</v>
      </c>
      <c r="BQ207" s="79">
        <v>2.7</v>
      </c>
      <c r="BR207" s="79">
        <v>5.4</v>
      </c>
      <c r="BS207" s="79" t="s">
        <v>464</v>
      </c>
      <c r="BT207" s="79" t="s">
        <v>464</v>
      </c>
      <c r="BU207" s="79" t="s">
        <v>1266</v>
      </c>
      <c r="BV207" s="79">
        <v>450</v>
      </c>
      <c r="BW207" s="79">
        <v>300</v>
      </c>
      <c r="BX207" s="79" t="s">
        <v>1311</v>
      </c>
      <c r="BZ207" s="81">
        <v>0</v>
      </c>
      <c r="CA207" t="e">
        <f t="shared" si="34"/>
        <v>#NUM!</v>
      </c>
    </row>
    <row r="208" spans="1:79" x14ac:dyDescent="0.3">
      <c r="A208" s="2" t="s">
        <v>106</v>
      </c>
      <c r="B208" s="13" t="s">
        <v>750</v>
      </c>
      <c r="C208" s="13"/>
      <c r="D208" s="2">
        <v>2.9</v>
      </c>
      <c r="E208" s="2" t="s">
        <v>111</v>
      </c>
      <c r="F208" s="9" t="s">
        <v>567</v>
      </c>
      <c r="G208" t="s">
        <v>645</v>
      </c>
      <c r="I208" s="2"/>
      <c r="J208" s="25">
        <v>2</v>
      </c>
      <c r="K208">
        <v>1</v>
      </c>
      <c r="L208">
        <v>0</v>
      </c>
      <c r="M208" s="2"/>
      <c r="N208" s="2"/>
      <c r="O208" s="2"/>
      <c r="P208" s="2"/>
      <c r="Q208" s="2"/>
      <c r="R208" s="25">
        <v>7.3631707899999999</v>
      </c>
      <c r="S208" s="25">
        <v>7.363170789999999</v>
      </c>
      <c r="T208" s="25">
        <v>7.3631707899999999</v>
      </c>
      <c r="U208">
        <v>10.359069999999999</v>
      </c>
      <c r="V208">
        <v>10.359069999999999</v>
      </c>
      <c r="W208">
        <v>10.359069999999999</v>
      </c>
      <c r="X208">
        <v>0</v>
      </c>
      <c r="AA208" s="2"/>
      <c r="AB208">
        <v>14</v>
      </c>
      <c r="AC208" s="55">
        <f t="shared" si="11"/>
        <v>0</v>
      </c>
      <c r="AD208" s="57">
        <v>282.27968527629582</v>
      </c>
      <c r="AE208" s="55">
        <v>1111.635233296287</v>
      </c>
      <c r="AF208" s="55">
        <v>0</v>
      </c>
      <c r="AG208" s="52"/>
      <c r="AH208" s="51">
        <v>9.9192401934958777E-2</v>
      </c>
      <c r="AI208" s="52">
        <v>1.2594059256727909E-2</v>
      </c>
      <c r="AJ208" s="52"/>
      <c r="AK208" s="28">
        <v>2</v>
      </c>
      <c r="AL208" s="28">
        <v>3.0909090909090908</v>
      </c>
      <c r="AM208" s="28">
        <v>2.1818181818181821</v>
      </c>
      <c r="AN208" s="28">
        <v>2.545454545454545</v>
      </c>
      <c r="AO208" s="28">
        <v>0.20370370370370369</v>
      </c>
      <c r="AP208" s="28">
        <v>0.31481481481481483</v>
      </c>
      <c r="AQ208" s="28">
        <v>0.22222222222222221</v>
      </c>
      <c r="AR208" s="28">
        <v>0.25925925925925919</v>
      </c>
      <c r="AS208" s="25">
        <v>1.54</v>
      </c>
      <c r="AT208" s="25">
        <v>3.44</v>
      </c>
      <c r="AU208" s="25">
        <v>1.9</v>
      </c>
      <c r="AV208" s="25">
        <v>2.836363636363636</v>
      </c>
      <c r="AW208">
        <v>2.836363636363636</v>
      </c>
      <c r="AX208">
        <v>6.1735094709090914</v>
      </c>
      <c r="AY208" s="75">
        <v>0.53518414174009155</v>
      </c>
      <c r="AZ208" s="75"/>
      <c r="BA208" s="75"/>
      <c r="BC208">
        <v>4.9596200967479388E-2</v>
      </c>
      <c r="BD208">
        <v>6.2970296283639581E-3</v>
      </c>
      <c r="BF208">
        <v>5.5893230595843342E-2</v>
      </c>
      <c r="BG208">
        <v>2.7946615297921671E-2</v>
      </c>
      <c r="BH208">
        <v>0.53518414174009155</v>
      </c>
      <c r="BI208" s="79" t="s">
        <v>1264</v>
      </c>
      <c r="BJ208" s="79">
        <v>1473</v>
      </c>
      <c r="BK208" s="79">
        <v>10</v>
      </c>
      <c r="BM208" s="79" t="s">
        <v>1268</v>
      </c>
      <c r="BN208" s="79" t="s">
        <v>863</v>
      </c>
      <c r="BO208" s="79">
        <v>1</v>
      </c>
      <c r="BQ208" s="79">
        <v>2.7</v>
      </c>
      <c r="BR208" s="79">
        <v>5.4</v>
      </c>
      <c r="BS208" s="79" t="s">
        <v>464</v>
      </c>
      <c r="BT208" s="79" t="s">
        <v>464</v>
      </c>
      <c r="BU208" s="79" t="s">
        <v>1266</v>
      </c>
      <c r="BV208" s="79">
        <v>450</v>
      </c>
      <c r="BW208" s="79">
        <v>300</v>
      </c>
      <c r="BX208" s="79" t="s">
        <v>1311</v>
      </c>
      <c r="BZ208" s="81">
        <v>0</v>
      </c>
      <c r="CA208" t="e">
        <f t="shared" si="34"/>
        <v>#NUM!</v>
      </c>
    </row>
    <row r="209" spans="1:79" x14ac:dyDescent="0.3">
      <c r="A209" s="2" t="s">
        <v>107</v>
      </c>
      <c r="B209" s="13" t="s">
        <v>727</v>
      </c>
      <c r="C209" s="13"/>
      <c r="D209" s="2">
        <v>3.1</v>
      </c>
      <c r="E209" s="2" t="s">
        <v>111</v>
      </c>
      <c r="F209" s="9" t="s">
        <v>555</v>
      </c>
      <c r="G209" t="s">
        <v>632</v>
      </c>
      <c r="I209" s="2"/>
      <c r="J209" s="25">
        <v>1</v>
      </c>
      <c r="K209">
        <v>4</v>
      </c>
      <c r="L209">
        <v>0</v>
      </c>
      <c r="M209" s="2"/>
      <c r="N209" s="2"/>
      <c r="O209" s="2"/>
      <c r="P209" s="2"/>
      <c r="Q209" s="2"/>
      <c r="R209" s="25">
        <v>3.86469438</v>
      </c>
      <c r="S209" s="25">
        <v>3.86469438</v>
      </c>
      <c r="T209" s="25">
        <v>16.978874730000001</v>
      </c>
      <c r="U209">
        <v>32.83</v>
      </c>
      <c r="V209">
        <v>5.4109999999999996</v>
      </c>
      <c r="W209">
        <v>5.4480000000000004</v>
      </c>
      <c r="X209">
        <v>0</v>
      </c>
      <c r="AA209" s="2"/>
      <c r="AB209">
        <v>24</v>
      </c>
      <c r="AC209" s="55">
        <f t="shared" si="11"/>
        <v>0</v>
      </c>
      <c r="AD209" s="57">
        <v>251.01098912285789</v>
      </c>
      <c r="AE209" s="55">
        <v>967.79977224000004</v>
      </c>
      <c r="AF209" s="55">
        <v>0</v>
      </c>
      <c r="AG209" s="52"/>
      <c r="AH209" s="51">
        <v>9.5613343797681868E-2</v>
      </c>
      <c r="AI209" s="52">
        <v>9.919407170122109E-2</v>
      </c>
      <c r="AJ209" s="52"/>
      <c r="AK209" s="28">
        <v>2</v>
      </c>
      <c r="AL209" s="28">
        <v>3.1578947368421049</v>
      </c>
      <c r="AM209" s="28">
        <v>2.4210526315789469</v>
      </c>
      <c r="AN209" s="28">
        <v>2.947368421052631</v>
      </c>
      <c r="AO209" s="28">
        <v>0.19</v>
      </c>
      <c r="AP209" s="28">
        <v>0.3</v>
      </c>
      <c r="AQ209" s="28">
        <v>0.23</v>
      </c>
      <c r="AR209" s="28">
        <v>0.28000000000000003</v>
      </c>
      <c r="AS209" s="25">
        <v>1.54</v>
      </c>
      <c r="AT209" s="25">
        <v>3.44</v>
      </c>
      <c r="AU209" s="25">
        <v>1.9</v>
      </c>
      <c r="AV209" s="25">
        <v>2.8410526315789468</v>
      </c>
      <c r="AW209">
        <v>2.8410526315789468</v>
      </c>
      <c r="AX209">
        <v>6.1729587136842099</v>
      </c>
      <c r="AY209" s="75">
        <v>0.52818907539878324</v>
      </c>
      <c r="AZ209" s="75">
        <v>0.54796980145127927</v>
      </c>
      <c r="BA209" s="75"/>
      <c r="BC209">
        <v>4.7806671898840941E-2</v>
      </c>
      <c r="BD209">
        <v>4.9597035850610538E-2</v>
      </c>
      <c r="BF209">
        <v>9.7403707749451479E-2</v>
      </c>
      <c r="BG209">
        <v>4.870185387472574E-2</v>
      </c>
      <c r="BH209">
        <v>0.53807943842503125</v>
      </c>
      <c r="BI209" s="79" t="s">
        <v>1264</v>
      </c>
      <c r="BJ209" s="79">
        <v>1373</v>
      </c>
      <c r="BK209" s="79">
        <v>10</v>
      </c>
      <c r="BM209" s="79" t="s">
        <v>1268</v>
      </c>
      <c r="BN209" s="79" t="s">
        <v>863</v>
      </c>
      <c r="BO209" s="79">
        <v>1</v>
      </c>
      <c r="BQ209" s="79">
        <v>2.7</v>
      </c>
      <c r="BR209" s="79">
        <v>5.4</v>
      </c>
      <c r="BS209" s="79" t="s">
        <v>464</v>
      </c>
      <c r="BT209" s="79" t="s">
        <v>464</v>
      </c>
      <c r="BU209" s="79" t="s">
        <v>1266</v>
      </c>
      <c r="BV209" s="79">
        <v>450</v>
      </c>
      <c r="BW209" s="79">
        <v>300</v>
      </c>
      <c r="BX209" s="79" t="s">
        <v>1311</v>
      </c>
      <c r="BZ209" s="81">
        <v>0.6</v>
      </c>
      <c r="CA209">
        <f t="shared" si="34"/>
        <v>-0.51082562376599072</v>
      </c>
    </row>
    <row r="210" spans="1:79" x14ac:dyDescent="0.3">
      <c r="A210" s="2" t="s">
        <v>108</v>
      </c>
      <c r="B210" s="13" t="s">
        <v>751</v>
      </c>
      <c r="C210" s="13"/>
      <c r="D210" s="2">
        <v>3.1</v>
      </c>
      <c r="E210" s="2" t="s">
        <v>111</v>
      </c>
      <c r="F210" s="9" t="s">
        <v>568</v>
      </c>
      <c r="G210" t="s">
        <v>646</v>
      </c>
      <c r="I210" s="2"/>
      <c r="J210" s="25">
        <v>1</v>
      </c>
      <c r="K210">
        <v>4</v>
      </c>
      <c r="L210">
        <v>0</v>
      </c>
      <c r="M210" s="2"/>
      <c r="N210" s="2"/>
      <c r="O210" s="2"/>
      <c r="P210" s="2"/>
      <c r="Q210" s="2"/>
      <c r="R210" s="25">
        <v>12.951407789999999</v>
      </c>
      <c r="S210" s="25">
        <v>12.951407789999999</v>
      </c>
      <c r="T210" s="25">
        <v>12.951407789999999</v>
      </c>
      <c r="U210">
        <v>5.431</v>
      </c>
      <c r="V210">
        <v>5.3890000000000002</v>
      </c>
      <c r="W210">
        <v>25.049990000000001</v>
      </c>
      <c r="X210">
        <v>0</v>
      </c>
      <c r="AA210" s="2"/>
      <c r="AB210">
        <v>18</v>
      </c>
      <c r="AC210" s="55">
        <f t="shared" si="11"/>
        <v>0</v>
      </c>
      <c r="AD210" s="57">
        <v>189.23096942123021</v>
      </c>
      <c r="AE210" s="55">
        <v>733.15456527341007</v>
      </c>
      <c r="AF210" s="55">
        <v>0</v>
      </c>
      <c r="AG210" s="52"/>
      <c r="AH210" s="51">
        <v>9.5121850588482687E-2</v>
      </c>
      <c r="AI210" s="52">
        <v>9.820575825392229E-2</v>
      </c>
      <c r="AJ210" s="52"/>
      <c r="AK210" s="28">
        <v>1.928571428571429</v>
      </c>
      <c r="AL210" s="28">
        <v>3.214285714285714</v>
      </c>
      <c r="AM210" s="28">
        <v>2.5714285714285721</v>
      </c>
      <c r="AN210" s="28">
        <v>3</v>
      </c>
      <c r="AO210" s="28">
        <v>0.18</v>
      </c>
      <c r="AP210" s="28">
        <v>0.3</v>
      </c>
      <c r="AQ210" s="28">
        <v>0.24</v>
      </c>
      <c r="AR210" s="28">
        <v>0.28000000000000003</v>
      </c>
      <c r="AS210" s="25">
        <v>1.54</v>
      </c>
      <c r="AT210" s="25">
        <v>3.44</v>
      </c>
      <c r="AU210" s="25">
        <v>1.9</v>
      </c>
      <c r="AV210" s="25">
        <v>2.8685714285714292</v>
      </c>
      <c r="AW210">
        <v>2.8685714285714292</v>
      </c>
      <c r="AX210">
        <v>6.249142824642858</v>
      </c>
      <c r="AY210" s="75">
        <v>0.5245372795477049</v>
      </c>
      <c r="AZ210" s="75">
        <v>0</v>
      </c>
      <c r="BA210" s="75"/>
      <c r="BC210">
        <v>4.756092529424135E-2</v>
      </c>
      <c r="BD210">
        <v>4.9102879126961152E-2</v>
      </c>
      <c r="BF210">
        <v>9.6663804421202482E-2</v>
      </c>
      <c r="BG210">
        <v>4.8331902210601248E-2</v>
      </c>
      <c r="BH210">
        <v>0.26226863977385251</v>
      </c>
      <c r="BI210" s="79" t="s">
        <v>1264</v>
      </c>
      <c r="BJ210" s="79">
        <v>1373</v>
      </c>
      <c r="BK210" s="79">
        <v>10</v>
      </c>
      <c r="BM210" s="79" t="s">
        <v>1268</v>
      </c>
      <c r="BN210" s="79" t="s">
        <v>863</v>
      </c>
      <c r="BO210" s="79">
        <v>1</v>
      </c>
      <c r="BQ210" s="79">
        <v>2.7</v>
      </c>
      <c r="BR210" s="79">
        <v>5.4</v>
      </c>
      <c r="BS210" s="79" t="s">
        <v>464</v>
      </c>
      <c r="BT210" s="79" t="s">
        <v>464</v>
      </c>
      <c r="BU210" s="79" t="s">
        <v>1266</v>
      </c>
      <c r="BV210" s="79">
        <v>450</v>
      </c>
      <c r="BW210" s="79">
        <v>300</v>
      </c>
      <c r="BX210" s="79" t="s">
        <v>1311</v>
      </c>
      <c r="BZ210" s="81">
        <v>33</v>
      </c>
      <c r="CA210">
        <f t="shared" si="34"/>
        <v>3.4965075614664802</v>
      </c>
    </row>
    <row r="211" spans="1:79" x14ac:dyDescent="0.3">
      <c r="A211" s="2" t="s">
        <v>109</v>
      </c>
      <c r="B211" s="13" t="s">
        <v>752</v>
      </c>
      <c r="C211" s="13"/>
      <c r="D211" s="2">
        <v>3</v>
      </c>
      <c r="E211" s="2" t="s">
        <v>111</v>
      </c>
      <c r="F211" s="9" t="s">
        <v>569</v>
      </c>
      <c r="G211" t="s">
        <v>647</v>
      </c>
      <c r="I211" s="2"/>
      <c r="J211" s="25">
        <v>16</v>
      </c>
      <c r="K211">
        <v>16</v>
      </c>
      <c r="L211">
        <v>0</v>
      </c>
      <c r="M211" s="2"/>
      <c r="N211" s="2"/>
      <c r="O211" s="2"/>
      <c r="P211" s="2"/>
      <c r="Q211" s="2"/>
      <c r="R211" s="25">
        <v>22.855297</v>
      </c>
      <c r="S211" s="25">
        <v>5.6559619999999997</v>
      </c>
      <c r="T211" s="25">
        <v>17.48922452</v>
      </c>
      <c r="U211">
        <v>17.24399</v>
      </c>
      <c r="V211">
        <v>22.428989999999999</v>
      </c>
      <c r="W211">
        <v>5.5860000000000003</v>
      </c>
      <c r="X211">
        <v>0</v>
      </c>
      <c r="AA211" s="2"/>
      <c r="AB211">
        <v>12</v>
      </c>
      <c r="AC211" s="55">
        <f t="shared" si="11"/>
        <v>0</v>
      </c>
      <c r="AD211" s="57">
        <v>2260.7115007974689</v>
      </c>
      <c r="AE211" s="55">
        <v>2160.393128160722</v>
      </c>
      <c r="AF211" s="55">
        <v>0</v>
      </c>
      <c r="AG211" s="52"/>
      <c r="AH211" s="51">
        <v>8.4929014574514128E-2</v>
      </c>
      <c r="AI211" s="52">
        <v>8.8872713719220939E-2</v>
      </c>
      <c r="AJ211" s="52"/>
      <c r="AK211" s="28">
        <v>1.8888888888888891</v>
      </c>
      <c r="AL211" s="28">
        <v>3.333333333333333</v>
      </c>
      <c r="AM211" s="28">
        <v>2.7777777777777781</v>
      </c>
      <c r="AN211" s="28">
        <v>3.1111111111111112</v>
      </c>
      <c r="AO211" s="28">
        <v>0.17</v>
      </c>
      <c r="AP211" s="28">
        <v>0.3</v>
      </c>
      <c r="AQ211" s="28">
        <v>0.25</v>
      </c>
      <c r="AR211" s="28">
        <v>0.28000000000000003</v>
      </c>
      <c r="AS211" s="25">
        <v>2.02</v>
      </c>
      <c r="AT211" s="25">
        <v>3.44</v>
      </c>
      <c r="AU211" s="25">
        <v>1.42</v>
      </c>
      <c r="AV211" s="25">
        <v>2.9822222222222221</v>
      </c>
      <c r="AW211">
        <v>2.9822222222222221</v>
      </c>
      <c r="AX211">
        <v>6.3761376700000003</v>
      </c>
      <c r="AY211" s="75">
        <v>0.46231169000880379</v>
      </c>
      <c r="AZ211" s="75">
        <v>0.48377924412573098</v>
      </c>
      <c r="BA211" s="75"/>
      <c r="BC211">
        <v>4.2464507287257078E-2</v>
      </c>
      <c r="BD211">
        <v>4.4436356859610462E-2</v>
      </c>
      <c r="BF211">
        <v>8.690086414686754E-2</v>
      </c>
      <c r="BG211">
        <v>4.345043207343377E-2</v>
      </c>
      <c r="BH211">
        <v>0.47304546706726741</v>
      </c>
      <c r="BI211" s="79" t="s">
        <v>1290</v>
      </c>
      <c r="BM211" s="79" t="s">
        <v>1268</v>
      </c>
      <c r="BN211" s="79" t="s">
        <v>863</v>
      </c>
      <c r="BO211" s="79">
        <v>1</v>
      </c>
      <c r="BQ211" s="79">
        <v>2.7</v>
      </c>
      <c r="BR211" s="79">
        <v>5.4</v>
      </c>
      <c r="BS211" s="79" t="s">
        <v>464</v>
      </c>
      <c r="BT211" s="79" t="s">
        <v>464</v>
      </c>
      <c r="BU211" s="79" t="s">
        <v>1266</v>
      </c>
      <c r="BV211" s="79">
        <v>450</v>
      </c>
      <c r="BW211" s="79">
        <v>300</v>
      </c>
      <c r="BX211" s="79" t="s">
        <v>1311</v>
      </c>
      <c r="BZ211" s="81">
        <v>0.01</v>
      </c>
      <c r="CA211">
        <f t="shared" si="34"/>
        <v>-4.6051701859880909</v>
      </c>
    </row>
    <row r="212" spans="1:79" x14ac:dyDescent="0.3">
      <c r="A212" s="2" t="s">
        <v>110</v>
      </c>
      <c r="B212" s="13" t="s">
        <v>753</v>
      </c>
      <c r="C212" s="13"/>
      <c r="D212" s="2">
        <v>3.3</v>
      </c>
      <c r="E212" s="2" t="s">
        <v>111</v>
      </c>
      <c r="F212" s="9" t="s">
        <v>570</v>
      </c>
      <c r="G212" t="s">
        <v>648</v>
      </c>
      <c r="I212" s="2"/>
      <c r="J212" s="25">
        <v>1</v>
      </c>
      <c r="K212">
        <v>1</v>
      </c>
      <c r="L212">
        <v>0</v>
      </c>
      <c r="M212" s="2"/>
      <c r="N212" s="2"/>
      <c r="O212" s="2"/>
      <c r="P212" s="2"/>
      <c r="Q212" s="2"/>
      <c r="R212" s="25">
        <v>20.551678089999999</v>
      </c>
      <c r="S212" s="25">
        <v>20.551678089999999</v>
      </c>
      <c r="T212" s="25">
        <v>20.551678089999999</v>
      </c>
      <c r="U212">
        <v>41.856999999999999</v>
      </c>
      <c r="V212">
        <v>5.4550999999999998</v>
      </c>
      <c r="W212">
        <v>5.468</v>
      </c>
      <c r="X212">
        <v>0</v>
      </c>
      <c r="AA212" s="2"/>
      <c r="AB212">
        <v>30</v>
      </c>
      <c r="AC212" s="55">
        <f t="shared" ref="AC212:AC295" si="37">M212*N212*O212</f>
        <v>0</v>
      </c>
      <c r="AD212" s="57">
        <v>309.59189648929049</v>
      </c>
      <c r="AE212" s="55">
        <v>1248.5309719876</v>
      </c>
      <c r="AF212" s="55">
        <v>0</v>
      </c>
      <c r="AG212" s="52"/>
      <c r="AH212" s="51">
        <v>9.6901761125513727E-2</v>
      </c>
      <c r="AI212" s="52">
        <v>2.4028238524384762E-2</v>
      </c>
      <c r="AJ212" s="52"/>
      <c r="AK212" s="28">
        <v>2</v>
      </c>
      <c r="AL212" s="28">
        <v>3</v>
      </c>
      <c r="AM212" s="28">
        <v>2</v>
      </c>
      <c r="AN212" s="28">
        <v>2.333333333333333</v>
      </c>
      <c r="AO212" s="28">
        <v>0.2142857142857143</v>
      </c>
      <c r="AP212" s="28">
        <v>0.3214285714285714</v>
      </c>
      <c r="AQ212" s="28">
        <v>0.2142857142857143</v>
      </c>
      <c r="AR212" s="28">
        <v>0.25</v>
      </c>
      <c r="AS212" s="25">
        <v>0.89</v>
      </c>
      <c r="AT212" s="25">
        <v>3.44</v>
      </c>
      <c r="AU212" s="25">
        <v>2.5499999999999998</v>
      </c>
      <c r="AV212" s="25">
        <v>2.780416666666667</v>
      </c>
      <c r="AW212">
        <v>2.780416666666667</v>
      </c>
      <c r="AX212">
        <v>6.0847889087500002</v>
      </c>
      <c r="AY212" s="75">
        <v>0.55979201272496915</v>
      </c>
      <c r="AZ212" s="75"/>
      <c r="BA212" s="75"/>
      <c r="BC212">
        <v>4.8450880562756857E-2</v>
      </c>
      <c r="BD212">
        <v>1.2014119262192381E-2</v>
      </c>
      <c r="BF212">
        <v>6.0464999824949253E-2</v>
      </c>
      <c r="BG212">
        <v>3.023249991247462E-2</v>
      </c>
      <c r="BH212">
        <v>0.55979201272496915</v>
      </c>
      <c r="BI212" s="79" t="s">
        <v>1264</v>
      </c>
      <c r="BJ212" s="79">
        <v>1323</v>
      </c>
      <c r="BK212" s="79">
        <v>10</v>
      </c>
      <c r="BM212" s="79" t="s">
        <v>1268</v>
      </c>
      <c r="BN212" s="79" t="s">
        <v>863</v>
      </c>
      <c r="BO212" s="79">
        <v>1</v>
      </c>
      <c r="BQ212" s="79">
        <v>2.7</v>
      </c>
      <c r="BR212" s="79">
        <v>5.4</v>
      </c>
      <c r="BS212" s="79" t="s">
        <v>464</v>
      </c>
      <c r="BT212" s="79" t="s">
        <v>464</v>
      </c>
      <c r="BU212" s="79" t="s">
        <v>1266</v>
      </c>
      <c r="BV212" s="79">
        <v>450</v>
      </c>
      <c r="BW212" s="79">
        <v>300</v>
      </c>
      <c r="BX212" s="79" t="s">
        <v>1311</v>
      </c>
      <c r="BZ212" s="81">
        <v>8.1999999999999993</v>
      </c>
      <c r="CA212">
        <f t="shared" si="34"/>
        <v>2.1041341542702074</v>
      </c>
    </row>
    <row r="213" spans="1:79" x14ac:dyDescent="0.3">
      <c r="A213" s="2" t="s">
        <v>25</v>
      </c>
      <c r="B213" s="13" t="s">
        <v>708</v>
      </c>
      <c r="C213" s="13"/>
      <c r="D213" s="2">
        <v>2.88</v>
      </c>
      <c r="E213" s="2" t="s">
        <v>115</v>
      </c>
      <c r="F213" s="9" t="s">
        <v>541</v>
      </c>
      <c r="G213" t="s">
        <v>621</v>
      </c>
      <c r="I213" s="2"/>
      <c r="J213" s="25">
        <v>1</v>
      </c>
      <c r="K213">
        <v>4</v>
      </c>
      <c r="L213">
        <v>0</v>
      </c>
      <c r="M213" s="2">
        <v>5.4960000000000004</v>
      </c>
      <c r="N213" s="2">
        <v>5.4960000000000004</v>
      </c>
      <c r="O213" s="2">
        <v>25.55</v>
      </c>
      <c r="P213" s="2" t="s">
        <v>450</v>
      </c>
      <c r="Q213" s="2"/>
      <c r="R213" s="25">
        <v>12.868820120000001</v>
      </c>
      <c r="S213" s="25">
        <v>12.868820120000001</v>
      </c>
      <c r="T213" s="25">
        <v>12.868820120000001</v>
      </c>
      <c r="U213">
        <v>5.5453000000000001</v>
      </c>
      <c r="V213">
        <v>5.5453000000000001</v>
      </c>
      <c r="W213">
        <v>25.686699999999998</v>
      </c>
      <c r="X213">
        <v>0</v>
      </c>
      <c r="AA213" s="2"/>
      <c r="AB213">
        <v>18</v>
      </c>
      <c r="AC213" s="55">
        <f t="shared" si="37"/>
        <v>771.76370880000013</v>
      </c>
      <c r="AD213" s="57">
        <v>197.4403766939285</v>
      </c>
      <c r="AE213" s="55">
        <v>789.87506903020289</v>
      </c>
      <c r="AF213" s="55">
        <v>0</v>
      </c>
      <c r="AG213" s="52"/>
      <c r="AH213" s="51">
        <v>9.1166762854710051E-2</v>
      </c>
      <c r="AI213" s="52">
        <v>9.1153655588092616E-2</v>
      </c>
      <c r="AJ213" s="52"/>
      <c r="AK213" s="28">
        <v>1.857142857142857</v>
      </c>
      <c r="AL213" s="28">
        <v>3.1428571428571428</v>
      </c>
      <c r="AM213" s="28">
        <v>2.714285714285714</v>
      </c>
      <c r="AN213" s="28">
        <v>3</v>
      </c>
      <c r="AO213" s="28">
        <v>0.17333333333333331</v>
      </c>
      <c r="AP213" s="28">
        <v>0.29333333333333328</v>
      </c>
      <c r="AQ213" s="28">
        <v>0.25333333333333341</v>
      </c>
      <c r="AR213" s="28">
        <v>0.28000000000000003</v>
      </c>
      <c r="AS213" s="25">
        <v>1.6</v>
      </c>
      <c r="AT213" s="25">
        <v>3.44</v>
      </c>
      <c r="AU213" s="25">
        <v>1.84</v>
      </c>
      <c r="AV213" s="25">
        <v>2.895</v>
      </c>
      <c r="AW213">
        <v>2.895</v>
      </c>
      <c r="AX213">
        <v>6.260504073571429</v>
      </c>
      <c r="AY213" s="75">
        <v>0.51995616258071919</v>
      </c>
      <c r="AZ213" s="75">
        <v>0.51988140722208986</v>
      </c>
      <c r="BA213" s="75"/>
      <c r="BC213">
        <v>4.5583381427355033E-2</v>
      </c>
      <c r="BD213">
        <v>4.5576827794046308E-2</v>
      </c>
      <c r="BF213">
        <v>9.1160209221401334E-2</v>
      </c>
      <c r="BG213">
        <v>4.5580104610700667E-2</v>
      </c>
      <c r="BH213">
        <v>0.51991878490140453</v>
      </c>
      <c r="BI213" s="79" t="s">
        <v>1264</v>
      </c>
      <c r="BJ213" s="79">
        <v>1473</v>
      </c>
      <c r="BK213" s="79">
        <v>24</v>
      </c>
      <c r="BM213" s="79" t="s">
        <v>1268</v>
      </c>
      <c r="BN213" s="79" t="s">
        <v>863</v>
      </c>
      <c r="BO213" s="79">
        <v>1</v>
      </c>
      <c r="BQ213" s="79">
        <v>5</v>
      </c>
      <c r="BR213" s="79">
        <v>15</v>
      </c>
      <c r="BS213" s="79" t="s">
        <v>464</v>
      </c>
      <c r="BT213" s="79" t="s">
        <v>464</v>
      </c>
      <c r="BU213" s="79" t="s">
        <v>1315</v>
      </c>
      <c r="BV213" s="79">
        <v>450</v>
      </c>
      <c r="BW213" s="79">
        <v>420</v>
      </c>
      <c r="BX213" s="79" t="s">
        <v>1311</v>
      </c>
      <c r="BZ213" s="81">
        <v>7.6</v>
      </c>
      <c r="CA213">
        <f t="shared" si="34"/>
        <v>2.0281482472922852</v>
      </c>
    </row>
    <row r="214" spans="1:79" x14ac:dyDescent="0.3">
      <c r="A214" s="2" t="s">
        <v>8</v>
      </c>
      <c r="B214" s="13" t="s">
        <v>694</v>
      </c>
      <c r="C214" s="13"/>
      <c r="D214" s="2">
        <v>2.73</v>
      </c>
      <c r="E214" s="2" t="s">
        <v>115</v>
      </c>
      <c r="F214" s="9" t="s">
        <v>530</v>
      </c>
      <c r="G214" t="s">
        <v>612</v>
      </c>
      <c r="I214" s="2"/>
      <c r="J214" s="25">
        <v>30</v>
      </c>
      <c r="K214">
        <v>4</v>
      </c>
      <c r="L214">
        <v>0</v>
      </c>
      <c r="M214" s="2"/>
      <c r="N214" s="2"/>
      <c r="P214" s="2"/>
      <c r="Q214" s="2"/>
      <c r="R214" s="25">
        <v>10.59112378</v>
      </c>
      <c r="S214" s="25">
        <v>10.784736629999999</v>
      </c>
      <c r="T214" s="25">
        <v>10.486176179999999</v>
      </c>
      <c r="U214">
        <v>3.73</v>
      </c>
      <c r="V214">
        <v>3.73</v>
      </c>
      <c r="W214">
        <v>9.3699999999999992</v>
      </c>
      <c r="X214">
        <v>0</v>
      </c>
      <c r="AA214" s="2"/>
      <c r="AB214">
        <v>4</v>
      </c>
      <c r="AC214" s="55">
        <f t="shared" si="37"/>
        <v>0</v>
      </c>
      <c r="AD214" s="57">
        <v>1182.741260108548</v>
      </c>
      <c r="AE214" s="55">
        <v>130.36387300000001</v>
      </c>
      <c r="AF214" s="55">
        <v>0</v>
      </c>
      <c r="AG214" s="52"/>
      <c r="AH214" s="51">
        <v>0.1014592151701775</v>
      </c>
      <c r="AI214" s="52">
        <v>0.1227333894874388</v>
      </c>
      <c r="AJ214" s="52"/>
      <c r="AK214" s="28">
        <v>2</v>
      </c>
      <c r="AL214" s="28">
        <v>2.666666666666667</v>
      </c>
      <c r="AM214" s="28">
        <v>0.66666666666666663</v>
      </c>
      <c r="AN214" s="28">
        <v>0</v>
      </c>
      <c r="AO214" s="28">
        <v>0.375</v>
      </c>
      <c r="AP214" s="28">
        <v>0.5</v>
      </c>
      <c r="AQ214" s="28">
        <v>0.125</v>
      </c>
      <c r="AR214" s="28">
        <v>0</v>
      </c>
      <c r="AS214" s="25">
        <v>1.54</v>
      </c>
      <c r="AT214" s="25">
        <v>3.44</v>
      </c>
      <c r="AU214" s="25">
        <v>1.9</v>
      </c>
      <c r="AV214" s="25">
        <v>2.8066666666666671</v>
      </c>
      <c r="AW214">
        <v>2.8066666666666662</v>
      </c>
      <c r="AX214">
        <v>6.1769976</v>
      </c>
      <c r="AY214" s="75">
        <v>0.46900407026869628</v>
      </c>
      <c r="AZ214" s="75">
        <v>0.56734579634715776</v>
      </c>
      <c r="BA214" s="75"/>
      <c r="BC214">
        <v>5.072960758508873E-2</v>
      </c>
      <c r="BD214">
        <v>6.136669474371937E-2</v>
      </c>
      <c r="BF214">
        <v>0.1120963023288082</v>
      </c>
      <c r="BG214">
        <v>5.604815116440405E-2</v>
      </c>
      <c r="BH214">
        <v>0.51817493330792708</v>
      </c>
      <c r="BI214" s="79" t="s">
        <v>1290</v>
      </c>
      <c r="BL214" s="79" t="s">
        <v>1308</v>
      </c>
      <c r="BM214" s="79" t="s">
        <v>1268</v>
      </c>
      <c r="BN214" s="79" t="s">
        <v>863</v>
      </c>
      <c r="BO214" s="79">
        <v>1</v>
      </c>
      <c r="BQ214" s="79">
        <v>5</v>
      </c>
      <c r="BR214" s="79">
        <v>15</v>
      </c>
      <c r="BS214" s="79" t="s">
        <v>464</v>
      </c>
      <c r="BT214" s="79" t="s">
        <v>464</v>
      </c>
      <c r="BU214" s="79" t="s">
        <v>1315</v>
      </c>
      <c r="BV214" s="79">
        <v>450</v>
      </c>
      <c r="BW214" s="79">
        <v>420</v>
      </c>
      <c r="BX214" s="79" t="s">
        <v>1311</v>
      </c>
      <c r="BZ214" s="81">
        <v>0</v>
      </c>
      <c r="CA214" t="e">
        <f t="shared" si="34"/>
        <v>#NUM!</v>
      </c>
    </row>
    <row r="215" spans="1:79" x14ac:dyDescent="0.3">
      <c r="A215" s="2" t="s">
        <v>118</v>
      </c>
      <c r="B215" s="17" t="s">
        <v>920</v>
      </c>
      <c r="C215" s="13"/>
      <c r="D215" s="2">
        <v>3.44</v>
      </c>
      <c r="E215" s="2" t="s">
        <v>122</v>
      </c>
      <c r="F215" s="9">
        <v>-1</v>
      </c>
      <c r="G215">
        <v>-1</v>
      </c>
      <c r="H215" t="s">
        <v>1218</v>
      </c>
      <c r="I215" s="2">
        <v>4</v>
      </c>
      <c r="J215" s="25">
        <v>0</v>
      </c>
      <c r="K215">
        <v>0</v>
      </c>
      <c r="L215">
        <v>4</v>
      </c>
      <c r="M215" s="2">
        <v>5.492</v>
      </c>
      <c r="N215" s="2">
        <v>5.5650000000000004</v>
      </c>
      <c r="O215" s="2">
        <v>24.88</v>
      </c>
      <c r="P215" s="2" t="s">
        <v>1219</v>
      </c>
      <c r="Q215" s="1"/>
      <c r="R215" s="25">
        <v>0</v>
      </c>
      <c r="S215" s="25"/>
      <c r="T215" s="25"/>
      <c r="U215">
        <v>0</v>
      </c>
      <c r="X215">
        <v>0</v>
      </c>
      <c r="AA215" s="2"/>
      <c r="AB215">
        <v>18</v>
      </c>
      <c r="AC215" s="55">
        <f t="shared" si="37"/>
        <v>760.40694240000005</v>
      </c>
      <c r="AD215" s="57">
        <v>0</v>
      </c>
      <c r="AE215" s="55">
        <v>0</v>
      </c>
      <c r="AF215" s="55">
        <v>760.6</v>
      </c>
      <c r="AG215" s="52">
        <f>I215*AB215/AC215</f>
        <v>9.4686142360501407E-2</v>
      </c>
      <c r="AH215" s="51"/>
      <c r="AI215" s="52"/>
      <c r="AJ215" s="67">
        <f>L215*AB215/AF215</f>
        <v>9.466210886142519E-2</v>
      </c>
      <c r="AK215" s="28">
        <v>1.964285714285714</v>
      </c>
      <c r="AL215" s="28">
        <v>3</v>
      </c>
      <c r="AM215" s="28">
        <v>1.892857142857143</v>
      </c>
      <c r="AN215" s="28">
        <v>4</v>
      </c>
      <c r="AO215" s="28">
        <v>0.1809210526315789</v>
      </c>
      <c r="AP215" s="28">
        <v>0.27631578947368418</v>
      </c>
      <c r="AQ215" s="28">
        <v>0.17434210526315791</v>
      </c>
      <c r="AR215" s="28">
        <v>0.36842105263157893</v>
      </c>
      <c r="AS215" s="25">
        <v>0.82</v>
      </c>
      <c r="AT215" s="25">
        <v>3.44</v>
      </c>
      <c r="AU215" s="25">
        <v>2.62</v>
      </c>
      <c r="AV215" s="25">
        <v>2.7828571428571429</v>
      </c>
      <c r="AW215">
        <v>2.7828571428571429</v>
      </c>
      <c r="AX215">
        <v>6.1929237675000008</v>
      </c>
      <c r="AY215" s="75"/>
      <c r="AZ215" s="75"/>
      <c r="BA215" s="75">
        <v>0</v>
      </c>
      <c r="BB215">
        <v>4.7343071180250697E-2</v>
      </c>
      <c r="BE215">
        <v>4.7331054430712588E-2</v>
      </c>
      <c r="BF215">
        <v>9.4674125610963306E-2</v>
      </c>
      <c r="BG215">
        <v>4.7337062805481639E-2</v>
      </c>
      <c r="BH215">
        <v>0</v>
      </c>
      <c r="BI215" s="79" t="s">
        <v>1305</v>
      </c>
      <c r="BJ215" s="79">
        <v>1173</v>
      </c>
      <c r="BK215" s="79">
        <v>6</v>
      </c>
      <c r="BM215" s="79" t="s">
        <v>464</v>
      </c>
      <c r="BN215" s="79" t="s">
        <v>464</v>
      </c>
      <c r="BO215" s="79">
        <v>0</v>
      </c>
      <c r="BP215" s="79">
        <v>1.3</v>
      </c>
      <c r="BQ215" s="79">
        <v>3.07</v>
      </c>
      <c r="BR215" s="79">
        <v>0</v>
      </c>
      <c r="BS215" s="79" t="s">
        <v>464</v>
      </c>
      <c r="BT215" s="79" t="s">
        <v>464</v>
      </c>
      <c r="BU215" s="79" t="s">
        <v>1266</v>
      </c>
      <c r="BV215" s="79">
        <v>300</v>
      </c>
      <c r="BX215" s="79" t="s">
        <v>1287</v>
      </c>
      <c r="BY215" s="79">
        <v>293</v>
      </c>
      <c r="BZ215" s="81">
        <f>5*3.4</f>
        <v>17</v>
      </c>
      <c r="CA215">
        <f t="shared" si="34"/>
        <v>2.8332133440562162</v>
      </c>
    </row>
    <row r="216" spans="1:79" x14ac:dyDescent="0.3">
      <c r="A216" s="2" t="s">
        <v>119</v>
      </c>
      <c r="B216" s="17" t="s">
        <v>921</v>
      </c>
      <c r="C216" s="13"/>
      <c r="D216" s="2">
        <v>3.22</v>
      </c>
      <c r="E216" s="2" t="s">
        <v>122</v>
      </c>
      <c r="F216" s="9">
        <v>-1</v>
      </c>
      <c r="G216">
        <v>-1</v>
      </c>
      <c r="H216" s="1" t="s">
        <v>1218</v>
      </c>
      <c r="I216" s="2">
        <v>4</v>
      </c>
      <c r="J216" s="25">
        <v>0</v>
      </c>
      <c r="K216">
        <v>0</v>
      </c>
      <c r="L216">
        <v>4</v>
      </c>
      <c r="M216" s="2">
        <v>5.5019999999999998</v>
      </c>
      <c r="N216" s="2">
        <v>5.5069999999999997</v>
      </c>
      <c r="O216" s="2">
        <v>25.09</v>
      </c>
      <c r="P216" s="2" t="s">
        <v>1219</v>
      </c>
      <c r="Q216" s="1"/>
      <c r="R216" s="25">
        <v>0</v>
      </c>
      <c r="S216" s="25"/>
      <c r="T216" s="25"/>
      <c r="U216">
        <v>0</v>
      </c>
      <c r="X216">
        <v>0</v>
      </c>
      <c r="AA216" s="2"/>
      <c r="AB216">
        <v>18</v>
      </c>
      <c r="AC216" s="55">
        <f t="shared" si="37"/>
        <v>760.21480625999993</v>
      </c>
      <c r="AD216" s="57">
        <v>0</v>
      </c>
      <c r="AE216" s="55">
        <v>0</v>
      </c>
      <c r="AF216" s="55">
        <v>0</v>
      </c>
      <c r="AG216" s="52">
        <f>I216*AB216/AC216</f>
        <v>9.4710073267601405E-2</v>
      </c>
      <c r="AH216" s="51"/>
      <c r="AI216" s="52"/>
      <c r="AJ216" s="52"/>
      <c r="AK216" s="28">
        <v>1.821428571428571</v>
      </c>
      <c r="AL216" s="28">
        <v>3</v>
      </c>
      <c r="AM216" s="28">
        <v>2.035714285714286</v>
      </c>
      <c r="AN216" s="28">
        <v>2</v>
      </c>
      <c r="AO216" s="28">
        <v>0.20564516129032259</v>
      </c>
      <c r="AP216" s="28">
        <v>0.33870967741935482</v>
      </c>
      <c r="AQ216" s="28">
        <v>0.22983870967741929</v>
      </c>
      <c r="AR216" s="28">
        <v>0.22580645161290319</v>
      </c>
      <c r="AS216" s="25">
        <v>0.82</v>
      </c>
      <c r="AT216" s="25">
        <v>3.44</v>
      </c>
      <c r="AU216" s="25">
        <v>2.62</v>
      </c>
      <c r="AV216" s="25">
        <v>2.7971428571428572</v>
      </c>
      <c r="AW216">
        <v>2.7971428571428572</v>
      </c>
      <c r="AX216">
        <v>6.1788927675000007</v>
      </c>
      <c r="AY216" s="75"/>
      <c r="AZ216" s="75"/>
      <c r="BA216" s="75"/>
      <c r="BB216">
        <v>4.7355036633800703E-2</v>
      </c>
      <c r="BE216" t="s">
        <v>459</v>
      </c>
      <c r="BF216">
        <v>9.4710073267601405E-2</v>
      </c>
      <c r="BG216" t="s">
        <v>459</v>
      </c>
      <c r="BH216">
        <v>0</v>
      </c>
      <c r="BI216" s="79" t="s">
        <v>1305</v>
      </c>
      <c r="BJ216" s="79">
        <v>1173</v>
      </c>
      <c r="BK216" s="79">
        <v>6</v>
      </c>
      <c r="BM216" s="79" t="s">
        <v>464</v>
      </c>
      <c r="BN216" s="79" t="s">
        <v>464</v>
      </c>
      <c r="BO216" s="79">
        <v>0</v>
      </c>
      <c r="BP216" s="79">
        <v>3.2</v>
      </c>
      <c r="BQ216" s="79">
        <v>3.07</v>
      </c>
      <c r="BR216" s="79">
        <v>0</v>
      </c>
      <c r="BS216" s="79" t="s">
        <v>464</v>
      </c>
      <c r="BT216" s="79" t="s">
        <v>464</v>
      </c>
      <c r="BU216" s="79" t="s">
        <v>1266</v>
      </c>
      <c r="BV216" s="79">
        <v>300</v>
      </c>
      <c r="BX216" s="79" t="s">
        <v>1287</v>
      </c>
      <c r="BY216" s="79">
        <v>293</v>
      </c>
      <c r="BZ216" s="81">
        <v>0</v>
      </c>
      <c r="CA216" t="e">
        <f t="shared" si="34"/>
        <v>#NUM!</v>
      </c>
    </row>
    <row r="217" spans="1:79" x14ac:dyDescent="0.3">
      <c r="A217" s="2" t="s">
        <v>120</v>
      </c>
      <c r="B217" s="17" t="s">
        <v>922</v>
      </c>
      <c r="C217" s="13"/>
      <c r="D217" s="2">
        <v>4</v>
      </c>
      <c r="E217" s="2" t="s">
        <v>122</v>
      </c>
      <c r="F217" s="9">
        <v>-1</v>
      </c>
      <c r="G217">
        <v>-1</v>
      </c>
      <c r="I217" s="2">
        <v>1</v>
      </c>
      <c r="J217" s="25">
        <v>0</v>
      </c>
      <c r="K217">
        <v>0</v>
      </c>
      <c r="L217">
        <v>0</v>
      </c>
      <c r="M217" s="2">
        <v>3.9060000000000001</v>
      </c>
      <c r="N217" s="2">
        <v>3.9060000000000001</v>
      </c>
      <c r="O217" s="2">
        <v>9.8840000000000003</v>
      </c>
      <c r="P217" s="2"/>
      <c r="Q217" s="2"/>
      <c r="R217" s="25">
        <v>0</v>
      </c>
      <c r="S217" s="25"/>
      <c r="T217" s="25"/>
      <c r="U217">
        <v>0</v>
      </c>
      <c r="X217">
        <v>0</v>
      </c>
      <c r="AA217" s="2"/>
      <c r="AB217">
        <v>14</v>
      </c>
      <c r="AC217" s="55">
        <f t="shared" si="37"/>
        <v>150.79856702400002</v>
      </c>
      <c r="AD217" s="57">
        <v>0</v>
      </c>
      <c r="AE217" s="55">
        <v>0</v>
      </c>
      <c r="AF217" s="55">
        <v>0</v>
      </c>
      <c r="AG217" s="52">
        <f>I217*AB217/AC217</f>
        <v>9.2839078489199839E-2</v>
      </c>
      <c r="AH217" s="51"/>
      <c r="AI217" s="52"/>
      <c r="AJ217" s="52"/>
      <c r="AK217" s="28">
        <v>1.8135593220338979</v>
      </c>
      <c r="AL217" s="28">
        <v>2.398305084745763</v>
      </c>
      <c r="AM217" s="28">
        <v>0.63559322033898302</v>
      </c>
      <c r="AN217" s="28">
        <v>2.4915254237288131</v>
      </c>
      <c r="AO217" s="28">
        <v>0.24711316397228639</v>
      </c>
      <c r="AP217" s="28">
        <v>0.32678983833718239</v>
      </c>
      <c r="AQ217" s="28">
        <v>8.6605080831408776E-2</v>
      </c>
      <c r="AR217" s="28">
        <v>0.33949191685912239</v>
      </c>
      <c r="AS217" s="25">
        <v>0.82</v>
      </c>
      <c r="AT217" s="25">
        <v>3.44</v>
      </c>
      <c r="AU217" s="25">
        <v>2.62</v>
      </c>
      <c r="AV217" s="25">
        <v>2.733728813559321</v>
      </c>
      <c r="AW217">
        <v>2.7337288135593218</v>
      </c>
      <c r="AX217">
        <v>6.5217336360353304</v>
      </c>
      <c r="AY217" s="75"/>
      <c r="AZ217" s="75"/>
      <c r="BA217" s="75"/>
      <c r="BB217">
        <v>4.6419539244599919E-2</v>
      </c>
      <c r="BF217">
        <v>9.2839078489199839E-2</v>
      </c>
      <c r="BG217">
        <v>4.6419539244599919E-2</v>
      </c>
      <c r="BH217">
        <v>0</v>
      </c>
      <c r="BI217" s="79" t="s">
        <v>1305</v>
      </c>
      <c r="BJ217" s="79">
        <v>1173</v>
      </c>
      <c r="BK217" s="79">
        <v>6</v>
      </c>
      <c r="BM217" s="79" t="s">
        <v>464</v>
      </c>
      <c r="BN217" s="79" t="s">
        <v>464</v>
      </c>
      <c r="BO217" s="79">
        <v>0</v>
      </c>
      <c r="BP217" s="79">
        <v>3.5</v>
      </c>
      <c r="BQ217" s="79">
        <v>3.07</v>
      </c>
      <c r="BR217" s="79">
        <v>0</v>
      </c>
      <c r="BS217" s="79" t="s">
        <v>464</v>
      </c>
      <c r="BT217" s="79" t="s">
        <v>464</v>
      </c>
      <c r="BU217" s="79" t="s">
        <v>1266</v>
      </c>
      <c r="BV217" s="79">
        <v>300</v>
      </c>
      <c r="BX217" s="79" t="s">
        <v>1287</v>
      </c>
      <c r="BY217" s="79">
        <v>293</v>
      </c>
      <c r="BZ217" s="81">
        <f>182*5</f>
        <v>910</v>
      </c>
      <c r="CA217">
        <f t="shared" si="34"/>
        <v>6.8134445995108956</v>
      </c>
    </row>
    <row r="218" spans="1:79" x14ac:dyDescent="0.3">
      <c r="A218" s="2" t="s">
        <v>121</v>
      </c>
      <c r="B218" s="33" t="s">
        <v>923</v>
      </c>
      <c r="C218" s="34"/>
      <c r="D218" s="2">
        <v>3.49</v>
      </c>
      <c r="E218" s="2" t="s">
        <v>122</v>
      </c>
      <c r="F218" s="35">
        <v>-1</v>
      </c>
      <c r="G218" s="2">
        <v>-1</v>
      </c>
      <c r="I218" s="2">
        <v>1</v>
      </c>
      <c r="J218" s="25">
        <v>0</v>
      </c>
      <c r="K218">
        <v>0</v>
      </c>
      <c r="L218">
        <v>0</v>
      </c>
      <c r="M218" s="2">
        <v>3.903</v>
      </c>
      <c r="N218" s="2">
        <v>3.903</v>
      </c>
      <c r="O218" s="2">
        <v>10.050000000000001</v>
      </c>
      <c r="P218" s="2"/>
      <c r="Q218" s="2"/>
      <c r="R218" s="25">
        <v>0</v>
      </c>
      <c r="S218" s="25"/>
      <c r="T218" s="25"/>
      <c r="U218">
        <v>0</v>
      </c>
      <c r="X218">
        <v>0</v>
      </c>
      <c r="AA218" s="2"/>
      <c r="AB218">
        <v>13</v>
      </c>
      <c r="AC218" s="55">
        <f t="shared" si="37"/>
        <v>153.09576045</v>
      </c>
      <c r="AD218" s="57">
        <v>0</v>
      </c>
      <c r="AE218" s="55">
        <v>0</v>
      </c>
      <c r="AF218" s="55">
        <v>0</v>
      </c>
      <c r="AG218" s="52">
        <f>I218*AB218/AC218</f>
        <v>8.4914173728838874E-2</v>
      </c>
      <c r="AH218" s="51"/>
      <c r="AI218" s="52"/>
      <c r="AJ218" s="52"/>
      <c r="AK218" s="28">
        <v>1.6448598130841121</v>
      </c>
      <c r="AL218" s="28">
        <v>2.457943925233645</v>
      </c>
      <c r="AM218" s="28">
        <v>0.86915887850467299</v>
      </c>
      <c r="AN218" s="28">
        <v>0.13084112149532709</v>
      </c>
      <c r="AO218" s="28">
        <v>0.32234432234432231</v>
      </c>
      <c r="AP218" s="28">
        <v>0.48168498168498158</v>
      </c>
      <c r="AQ218" s="28">
        <v>0.17032967032967031</v>
      </c>
      <c r="AR218" s="28">
        <v>2.564102564102564E-2</v>
      </c>
      <c r="AS218" s="25">
        <v>0.82</v>
      </c>
      <c r="AT218" s="25">
        <v>3.44</v>
      </c>
      <c r="AU218" s="25">
        <v>2.62</v>
      </c>
      <c r="AV218" s="25">
        <v>2.7828037383177571</v>
      </c>
      <c r="AW218">
        <v>2.782803738317758</v>
      </c>
      <c r="AX218">
        <v>6.5403483343235136</v>
      </c>
      <c r="AY218" s="75"/>
      <c r="AZ218" s="75"/>
      <c r="BA218" s="75"/>
      <c r="BB218">
        <v>4.2457086864419437E-2</v>
      </c>
      <c r="BF218">
        <v>8.4914173728838874E-2</v>
      </c>
      <c r="BG218">
        <v>4.2457086864419437E-2</v>
      </c>
      <c r="BH218">
        <v>0</v>
      </c>
      <c r="BI218" s="79" t="s">
        <v>1305</v>
      </c>
      <c r="BJ218" s="79">
        <v>1173</v>
      </c>
      <c r="BK218" s="79">
        <v>6</v>
      </c>
      <c r="BM218" s="79" t="s">
        <v>464</v>
      </c>
      <c r="BN218" s="79" t="s">
        <v>464</v>
      </c>
      <c r="BO218" s="79">
        <v>0</v>
      </c>
      <c r="BP218" s="79">
        <v>7.3</v>
      </c>
      <c r="BQ218" s="79">
        <v>3.07</v>
      </c>
      <c r="BR218" s="79">
        <v>0</v>
      </c>
      <c r="BS218" s="79" t="s">
        <v>464</v>
      </c>
      <c r="BT218" s="79" t="s">
        <v>464</v>
      </c>
      <c r="BU218" s="79" t="s">
        <v>1266</v>
      </c>
      <c r="BV218" s="79">
        <v>300</v>
      </c>
      <c r="BX218" s="79" t="s">
        <v>1287</v>
      </c>
      <c r="BY218" s="79">
        <v>293</v>
      </c>
      <c r="BZ218" s="81">
        <v>0</v>
      </c>
      <c r="CA218" t="e">
        <f t="shared" si="34"/>
        <v>#NUM!</v>
      </c>
    </row>
    <row r="219" spans="1:79" x14ac:dyDescent="0.3">
      <c r="A219" s="2" t="s">
        <v>1185</v>
      </c>
      <c r="B219" s="47" t="s">
        <v>1186</v>
      </c>
      <c r="C219" s="34"/>
      <c r="D219" s="2">
        <v>4</v>
      </c>
      <c r="E219" s="2" t="s">
        <v>122</v>
      </c>
      <c r="F219" s="35" t="s">
        <v>1188</v>
      </c>
      <c r="G219" s="2">
        <v>-1</v>
      </c>
      <c r="H219" t="s">
        <v>1187</v>
      </c>
      <c r="I219" s="2"/>
      <c r="J219" s="25">
        <v>0</v>
      </c>
      <c r="K219">
        <v>0</v>
      </c>
      <c r="L219">
        <v>2</v>
      </c>
      <c r="M219" s="2"/>
      <c r="N219" s="2"/>
      <c r="O219" s="2"/>
      <c r="P219" s="2"/>
      <c r="Q219" s="2"/>
      <c r="R219" s="25">
        <v>0</v>
      </c>
      <c r="S219" s="25"/>
      <c r="T219" s="25"/>
      <c r="U219">
        <v>0</v>
      </c>
      <c r="X219">
        <v>12.5602</v>
      </c>
      <c r="Y219">
        <v>12.5602</v>
      </c>
      <c r="Z219">
        <v>3.9214000000000002</v>
      </c>
      <c r="AA219" s="2"/>
      <c r="AB219">
        <v>34</v>
      </c>
      <c r="AC219" s="55">
        <f t="shared" si="37"/>
        <v>0</v>
      </c>
      <c r="AD219" s="57">
        <v>0</v>
      </c>
      <c r="AE219" s="55">
        <v>0</v>
      </c>
      <c r="AF219" s="55">
        <v>618.63466831045605</v>
      </c>
      <c r="AG219" s="52"/>
      <c r="AH219" s="51"/>
      <c r="AI219" s="52"/>
      <c r="AJ219" s="52">
        <v>0.10991947830165059</v>
      </c>
      <c r="AK219" s="28">
        <v>1.92</v>
      </c>
      <c r="AL219" s="28">
        <v>2.72</v>
      </c>
      <c r="AM219" s="28">
        <v>0.64</v>
      </c>
      <c r="AN219" s="28">
        <v>2.8</v>
      </c>
      <c r="AO219" s="28">
        <v>0.23762376237623761</v>
      </c>
      <c r="AP219" s="28">
        <v>0.33663366336633671</v>
      </c>
      <c r="AQ219" s="28">
        <v>7.9207920792079209E-2</v>
      </c>
      <c r="AR219" s="28">
        <v>0.34653465346534651</v>
      </c>
      <c r="AS219" s="25">
        <v>0.82</v>
      </c>
      <c r="AT219" s="25">
        <v>3.44</v>
      </c>
      <c r="AU219" s="25">
        <v>2.62</v>
      </c>
      <c r="AV219" s="25">
        <v>2.7488000000000001</v>
      </c>
      <c r="AW219">
        <v>2.7488000000000001</v>
      </c>
      <c r="AX219">
        <v>6.2305574404000001</v>
      </c>
      <c r="AY219" s="75"/>
      <c r="AZ219" s="75"/>
      <c r="BA219" s="75">
        <v>0.5553845310307659</v>
      </c>
      <c r="BE219">
        <v>4.8493887486022333E-2</v>
      </c>
      <c r="BF219">
        <v>0.10991947830165059</v>
      </c>
      <c r="BG219">
        <v>4.8493887486022333E-2</v>
      </c>
      <c r="BH219">
        <v>0.5553845310307659</v>
      </c>
      <c r="BI219" s="79" t="s">
        <v>1264</v>
      </c>
      <c r="BJ219" s="79">
        <v>1573</v>
      </c>
      <c r="BK219" s="79">
        <v>12</v>
      </c>
      <c r="BM219" s="79" t="s">
        <v>464</v>
      </c>
      <c r="BN219" s="79" t="s">
        <v>464</v>
      </c>
      <c r="BO219" s="79">
        <v>0</v>
      </c>
      <c r="BP219" s="79">
        <v>2.1</v>
      </c>
      <c r="BQ219" s="79">
        <v>3.07</v>
      </c>
      <c r="BR219" s="79">
        <v>0</v>
      </c>
      <c r="BS219" s="79" t="s">
        <v>464</v>
      </c>
      <c r="BT219" s="79" t="s">
        <v>464</v>
      </c>
      <c r="BU219" s="79" t="s">
        <v>1266</v>
      </c>
      <c r="BV219" s="79">
        <v>300</v>
      </c>
      <c r="BX219" s="79" t="s">
        <v>1287</v>
      </c>
      <c r="BY219" s="79">
        <v>293</v>
      </c>
      <c r="BZ219" s="81">
        <v>0</v>
      </c>
      <c r="CA219" t="e">
        <f t="shared" si="34"/>
        <v>#NUM!</v>
      </c>
    </row>
    <row r="220" spans="1:79" s="2" customFormat="1" x14ac:dyDescent="0.3">
      <c r="A220" s="2" t="s">
        <v>123</v>
      </c>
      <c r="B220" s="33" t="s">
        <v>924</v>
      </c>
      <c r="C220" s="34"/>
      <c r="D220" s="2">
        <v>3.7</v>
      </c>
      <c r="E220" s="2" t="s">
        <v>1316</v>
      </c>
      <c r="F220" s="35">
        <v>-2</v>
      </c>
      <c r="G220" s="2">
        <v>-1</v>
      </c>
      <c r="J220" s="29">
        <v>0</v>
      </c>
      <c r="K220" s="2">
        <v>0</v>
      </c>
      <c r="L220" s="2">
        <v>0</v>
      </c>
      <c r="R220" s="29">
        <v>0</v>
      </c>
      <c r="S220" s="29"/>
      <c r="T220" s="29"/>
      <c r="U220" s="2">
        <v>0</v>
      </c>
      <c r="X220" s="2">
        <v>0</v>
      </c>
      <c r="AB220" s="2">
        <v>14</v>
      </c>
      <c r="AC220" s="2">
        <f t="shared" si="37"/>
        <v>0</v>
      </c>
      <c r="AD220" s="29">
        <v>0</v>
      </c>
      <c r="AE220" s="2">
        <v>0</v>
      </c>
      <c r="AF220" s="2">
        <v>0</v>
      </c>
      <c r="AH220" s="29"/>
      <c r="AK220" s="2">
        <v>1.847457627118644</v>
      </c>
      <c r="AL220" s="2">
        <v>2.4237288135593218</v>
      </c>
      <c r="AM220" s="2">
        <v>0.67796610169491522</v>
      </c>
      <c r="AN220" s="2">
        <v>2.610169491525423</v>
      </c>
      <c r="AO220" s="2">
        <v>0.2443946188340807</v>
      </c>
      <c r="AP220" s="2">
        <v>0.32062780269058289</v>
      </c>
      <c r="AQ220" s="2">
        <v>8.9686098654708529E-2</v>
      </c>
      <c r="AR220" s="2">
        <v>0.3452914798206278</v>
      </c>
      <c r="AS220" s="29">
        <v>1</v>
      </c>
      <c r="AT220" s="29">
        <v>3.44</v>
      </c>
      <c r="AU220" s="29">
        <v>2.44</v>
      </c>
      <c r="AV220" s="29">
        <v>2.732542372881356</v>
      </c>
      <c r="AW220" s="2">
        <v>2.732542372881356</v>
      </c>
      <c r="AX220" s="2">
        <v>6.5123179483671016</v>
      </c>
      <c r="BF220" s="2">
        <v>0</v>
      </c>
      <c r="BG220" s="2">
        <v>0</v>
      </c>
      <c r="BH220" s="2">
        <v>0</v>
      </c>
      <c r="BI220" s="79" t="s">
        <v>1305</v>
      </c>
      <c r="BJ220" s="79">
        <v>1173</v>
      </c>
      <c r="BK220" s="79">
        <v>6</v>
      </c>
      <c r="BL220" s="79"/>
      <c r="BM220" s="79" t="s">
        <v>464</v>
      </c>
      <c r="BN220" s="79" t="s">
        <v>464</v>
      </c>
      <c r="BO220" s="79">
        <v>0</v>
      </c>
      <c r="BP220" s="79">
        <v>4.3499999999999996</v>
      </c>
      <c r="BQ220" s="79">
        <v>1.54</v>
      </c>
      <c r="BR220" s="79"/>
      <c r="BS220" s="79"/>
      <c r="BT220" s="79"/>
      <c r="BU220" s="79" t="s">
        <v>1266</v>
      </c>
      <c r="BV220" s="79">
        <v>250</v>
      </c>
      <c r="BW220" s="79"/>
      <c r="BX220" s="79" t="s">
        <v>1287</v>
      </c>
      <c r="BY220" s="79">
        <v>293</v>
      </c>
      <c r="BZ220" s="81">
        <f>107*10</f>
        <v>1070</v>
      </c>
      <c r="CA220">
        <f t="shared" si="34"/>
        <v>6.9754139274559517</v>
      </c>
    </row>
    <row r="221" spans="1:79" s="2" customFormat="1" x14ac:dyDescent="0.3">
      <c r="A221" s="2" t="s">
        <v>124</v>
      </c>
      <c r="B221" s="33" t="s">
        <v>925</v>
      </c>
      <c r="C221" s="34"/>
      <c r="D221" s="2">
        <v>3.9</v>
      </c>
      <c r="E221" s="2" t="s">
        <v>1316</v>
      </c>
      <c r="F221" s="35">
        <v>-2</v>
      </c>
      <c r="G221" s="2">
        <v>-1</v>
      </c>
      <c r="J221" s="29">
        <v>0</v>
      </c>
      <c r="K221" s="2">
        <v>0</v>
      </c>
      <c r="L221" s="2">
        <v>0</v>
      </c>
      <c r="R221" s="29">
        <v>0</v>
      </c>
      <c r="S221" s="29"/>
      <c r="T221" s="29"/>
      <c r="U221" s="2">
        <v>0</v>
      </c>
      <c r="X221" s="2">
        <v>0</v>
      </c>
      <c r="AB221" s="2">
        <v>14</v>
      </c>
      <c r="AC221" s="2">
        <f t="shared" si="37"/>
        <v>0</v>
      </c>
      <c r="AD221" s="29">
        <v>0</v>
      </c>
      <c r="AE221" s="2">
        <v>0</v>
      </c>
      <c r="AF221" s="2">
        <v>0</v>
      </c>
      <c r="AH221" s="29"/>
      <c r="AK221" s="2">
        <v>1.85</v>
      </c>
      <c r="AL221" s="2">
        <v>2.3833333333333329</v>
      </c>
      <c r="AM221" s="2">
        <v>0.66666666666666663</v>
      </c>
      <c r="AN221" s="2">
        <v>2.5666666666666669</v>
      </c>
      <c r="AO221" s="2">
        <v>0.24776785714285721</v>
      </c>
      <c r="AP221" s="2">
        <v>0.3191964285714286</v>
      </c>
      <c r="AQ221" s="2">
        <v>8.9285714285714288E-2</v>
      </c>
      <c r="AR221" s="2">
        <v>0.34375000000000011</v>
      </c>
      <c r="AS221" s="29">
        <v>0.95</v>
      </c>
      <c r="AT221" s="29">
        <v>3.44</v>
      </c>
      <c r="AU221" s="29">
        <v>2.4900000000000002</v>
      </c>
      <c r="AV221" s="29">
        <v>2.6995</v>
      </c>
      <c r="AW221" s="2">
        <v>2.6995</v>
      </c>
      <c r="AX221" s="2">
        <v>6.4386446606443171</v>
      </c>
      <c r="BF221" s="2">
        <v>0</v>
      </c>
      <c r="BG221" s="2">
        <v>0</v>
      </c>
      <c r="BH221" s="2">
        <v>0</v>
      </c>
      <c r="BI221" s="79" t="s">
        <v>1305</v>
      </c>
      <c r="BJ221" s="79">
        <v>1173</v>
      </c>
      <c r="BK221" s="79">
        <v>6</v>
      </c>
      <c r="BL221" s="79"/>
      <c r="BM221" s="79" t="s">
        <v>464</v>
      </c>
      <c r="BN221" s="79" t="s">
        <v>464</v>
      </c>
      <c r="BO221" s="79">
        <v>0</v>
      </c>
      <c r="BP221" s="86">
        <v>6.88</v>
      </c>
      <c r="BQ221" s="79">
        <v>1.54</v>
      </c>
      <c r="BR221" s="79"/>
      <c r="BS221" s="79"/>
      <c r="BT221" s="79"/>
      <c r="BU221" s="79" t="s">
        <v>1266</v>
      </c>
      <c r="BV221" s="79">
        <v>250</v>
      </c>
      <c r="BW221" s="79"/>
      <c r="BX221" s="79" t="s">
        <v>1287</v>
      </c>
      <c r="BY221" s="79">
        <v>293</v>
      </c>
      <c r="BZ221" s="81">
        <f>1627</f>
        <v>1627</v>
      </c>
      <c r="CA221">
        <f t="shared" si="34"/>
        <v>7.3944931072190379</v>
      </c>
    </row>
    <row r="222" spans="1:79" s="2" customFormat="1" x14ac:dyDescent="0.3">
      <c r="A222" s="2" t="s">
        <v>125</v>
      </c>
      <c r="B222" s="33" t="s">
        <v>926</v>
      </c>
      <c r="C222" s="34"/>
      <c r="D222" s="2">
        <v>4</v>
      </c>
      <c r="E222" s="2" t="s">
        <v>1316</v>
      </c>
      <c r="F222" s="35">
        <v>-2</v>
      </c>
      <c r="G222" s="2">
        <v>-1</v>
      </c>
      <c r="J222" s="29">
        <v>0</v>
      </c>
      <c r="K222" s="2">
        <v>0</v>
      </c>
      <c r="L222" s="2">
        <v>0</v>
      </c>
      <c r="R222" s="29">
        <v>0</v>
      </c>
      <c r="S222" s="29"/>
      <c r="T222" s="29"/>
      <c r="U222" s="2">
        <v>0</v>
      </c>
      <c r="X222" s="2">
        <v>0</v>
      </c>
      <c r="AB222" s="2">
        <v>14</v>
      </c>
      <c r="AC222" s="2">
        <f t="shared" si="37"/>
        <v>0</v>
      </c>
      <c r="AD222" s="29">
        <v>0</v>
      </c>
      <c r="AE222" s="2">
        <v>0</v>
      </c>
      <c r="AF222" s="2">
        <v>0</v>
      </c>
      <c r="AH222" s="29"/>
      <c r="AK222" s="2">
        <v>1.8389830508474569</v>
      </c>
      <c r="AL222" s="2">
        <v>2.398305084745763</v>
      </c>
      <c r="AM222" s="2">
        <v>0.59322033898305082</v>
      </c>
      <c r="AN222" s="2">
        <v>2.4915254237288131</v>
      </c>
      <c r="AO222" s="2">
        <v>0.25115740740740738</v>
      </c>
      <c r="AP222" s="2">
        <v>0.32754629629629628</v>
      </c>
      <c r="AQ222" s="2">
        <v>8.1018518518518517E-2</v>
      </c>
      <c r="AR222" s="2">
        <v>0.34027777777777768</v>
      </c>
      <c r="AS222" s="29">
        <v>0.89</v>
      </c>
      <c r="AT222" s="29">
        <v>3.44</v>
      </c>
      <c r="AU222" s="29">
        <v>2.5499999999999998</v>
      </c>
      <c r="AV222" s="29">
        <v>2.7266101694915248</v>
      </c>
      <c r="AW222" s="2">
        <v>2.7266101694915261</v>
      </c>
      <c r="AX222" s="2">
        <v>6.5117833191709238</v>
      </c>
      <c r="BF222" s="2">
        <v>0</v>
      </c>
      <c r="BG222" s="2">
        <v>0</v>
      </c>
      <c r="BH222" s="2">
        <v>0</v>
      </c>
      <c r="BI222" s="79" t="s">
        <v>1305</v>
      </c>
      <c r="BJ222" s="79">
        <v>1173</v>
      </c>
      <c r="BK222" s="79">
        <v>6</v>
      </c>
      <c r="BL222" s="79"/>
      <c r="BM222" s="79" t="s">
        <v>464</v>
      </c>
      <c r="BN222" s="79" t="s">
        <v>464</v>
      </c>
      <c r="BO222" s="79">
        <v>0</v>
      </c>
      <c r="BP222" s="86">
        <v>3.84</v>
      </c>
      <c r="BQ222" s="79">
        <v>1.54</v>
      </c>
      <c r="BR222" s="79"/>
      <c r="BS222" s="79"/>
      <c r="BT222" s="79"/>
      <c r="BU222" s="79" t="s">
        <v>1266</v>
      </c>
      <c r="BV222" s="79">
        <v>250</v>
      </c>
      <c r="BW222" s="79"/>
      <c r="BX222" s="79" t="s">
        <v>1287</v>
      </c>
      <c r="BY222" s="79">
        <v>293</v>
      </c>
      <c r="BZ222" s="81">
        <f>1893</f>
        <v>1893</v>
      </c>
      <c r="CA222">
        <f t="shared" si="34"/>
        <v>7.5459181512093227</v>
      </c>
    </row>
    <row r="223" spans="1:79" s="2" customFormat="1" x14ac:dyDescent="0.3">
      <c r="A223" s="2" t="s">
        <v>120</v>
      </c>
      <c r="B223" s="33" t="s">
        <v>927</v>
      </c>
      <c r="C223" s="34"/>
      <c r="D223" s="2">
        <v>4.3</v>
      </c>
      <c r="E223" s="2" t="s">
        <v>1316</v>
      </c>
      <c r="F223" s="35">
        <v>-2</v>
      </c>
      <c r="G223" s="2">
        <v>-1</v>
      </c>
      <c r="J223" s="29">
        <v>0</v>
      </c>
      <c r="K223" s="2">
        <v>0</v>
      </c>
      <c r="L223" s="2">
        <v>0</v>
      </c>
      <c r="R223" s="29">
        <v>0</v>
      </c>
      <c r="S223" s="29"/>
      <c r="T223" s="29"/>
      <c r="U223" s="2">
        <v>0</v>
      </c>
      <c r="X223" s="2">
        <v>0</v>
      </c>
      <c r="AB223" s="2">
        <v>14</v>
      </c>
      <c r="AC223" s="2">
        <f t="shared" si="37"/>
        <v>0</v>
      </c>
      <c r="AD223" s="29">
        <v>0</v>
      </c>
      <c r="AE223" s="2">
        <v>0</v>
      </c>
      <c r="AF223" s="2">
        <v>0</v>
      </c>
      <c r="AH223" s="29"/>
      <c r="AK223" s="2">
        <v>1.8135593220338979</v>
      </c>
      <c r="AL223" s="2">
        <v>2.398305084745763</v>
      </c>
      <c r="AM223" s="2">
        <v>0.63559322033898302</v>
      </c>
      <c r="AN223" s="2">
        <v>2.4915254237288131</v>
      </c>
      <c r="AO223" s="2">
        <v>0.24711316397228639</v>
      </c>
      <c r="AP223" s="2">
        <v>0.32678983833718239</v>
      </c>
      <c r="AQ223" s="2">
        <v>8.6605080831408776E-2</v>
      </c>
      <c r="AR223" s="2">
        <v>0.33949191685912239</v>
      </c>
      <c r="AS223" s="29">
        <v>0.82</v>
      </c>
      <c r="AT223" s="29">
        <v>3.44</v>
      </c>
      <c r="AU223" s="29">
        <v>2.62</v>
      </c>
      <c r="AV223" s="29">
        <v>2.733728813559321</v>
      </c>
      <c r="AW223" s="2">
        <v>2.7337288135593218</v>
      </c>
      <c r="AX223" s="2">
        <v>6.5217336360353304</v>
      </c>
      <c r="BF223" s="2">
        <v>0</v>
      </c>
      <c r="BG223" s="2">
        <v>0</v>
      </c>
      <c r="BH223" s="2">
        <v>0</v>
      </c>
      <c r="BI223" s="79" t="s">
        <v>1305</v>
      </c>
      <c r="BJ223" s="79">
        <v>1173</v>
      </c>
      <c r="BK223" s="79">
        <v>6</v>
      </c>
      <c r="BL223" s="79"/>
      <c r="BM223" s="79" t="s">
        <v>464</v>
      </c>
      <c r="BN223" s="79" t="s">
        <v>464</v>
      </c>
      <c r="BO223" s="79">
        <v>0</v>
      </c>
      <c r="BP223" s="86">
        <v>3.52</v>
      </c>
      <c r="BQ223" s="79">
        <v>1.54</v>
      </c>
      <c r="BR223" s="79"/>
      <c r="BS223" s="79"/>
      <c r="BT223" s="79"/>
      <c r="BU223" s="79" t="s">
        <v>1266</v>
      </c>
      <c r="BV223" s="79">
        <v>250</v>
      </c>
      <c r="BW223" s="79"/>
      <c r="BX223" s="79" t="s">
        <v>1287</v>
      </c>
      <c r="BY223" s="79">
        <v>293</v>
      </c>
      <c r="BZ223" s="81">
        <v>1195</v>
      </c>
      <c r="CA223">
        <f t="shared" si="34"/>
        <v>7.0859014643656106</v>
      </c>
    </row>
    <row r="224" spans="1:79" x14ac:dyDescent="0.3">
      <c r="A224" s="2" t="s">
        <v>129</v>
      </c>
      <c r="B224" s="13"/>
      <c r="C224" s="13"/>
      <c r="D224" s="2">
        <v>2.39</v>
      </c>
      <c r="E224" s="2" t="s">
        <v>126</v>
      </c>
      <c r="F224" s="9" t="s">
        <v>572</v>
      </c>
      <c r="G224">
        <v>-1</v>
      </c>
      <c r="H224" t="s">
        <v>1317</v>
      </c>
      <c r="I224" s="2"/>
      <c r="J224" s="25">
        <v>0</v>
      </c>
      <c r="K224">
        <v>0</v>
      </c>
      <c r="L224">
        <v>0</v>
      </c>
      <c r="M224" s="2">
        <v>5.4930000000000003</v>
      </c>
      <c r="N224" s="2">
        <v>5.4930000000000003</v>
      </c>
      <c r="O224" s="2">
        <v>28.75</v>
      </c>
      <c r="P224" s="2"/>
      <c r="Q224" s="2">
        <f>O224/2</f>
        <v>14.375</v>
      </c>
      <c r="R224" s="25">
        <v>0</v>
      </c>
      <c r="S224" s="25"/>
      <c r="T224" s="25"/>
      <c r="U224">
        <v>0</v>
      </c>
      <c r="X224">
        <v>0</v>
      </c>
      <c r="AA224" s="2"/>
      <c r="AB224">
        <v>2</v>
      </c>
      <c r="AC224" s="55">
        <f t="shared" si="37"/>
        <v>867.47515875000011</v>
      </c>
      <c r="AD224" s="57">
        <v>0</v>
      </c>
      <c r="AE224" s="55">
        <v>0</v>
      </c>
      <c r="AF224" s="55">
        <v>0</v>
      </c>
      <c r="AG224" s="52"/>
      <c r="AH224" s="51"/>
      <c r="AI224" s="52"/>
      <c r="AJ224" s="52"/>
      <c r="AK224" s="28">
        <v>1.428571428571429</v>
      </c>
      <c r="AL224" s="28">
        <v>1.5</v>
      </c>
      <c r="AM224" s="28">
        <v>5.1428571428571432</v>
      </c>
      <c r="AN224" s="28">
        <v>4</v>
      </c>
      <c r="AO224" s="28">
        <v>0.1183431952662722</v>
      </c>
      <c r="AP224" s="28">
        <v>0.1242603550295858</v>
      </c>
      <c r="AQ224" s="28">
        <v>0.42603550295857989</v>
      </c>
      <c r="AR224" s="28">
        <v>0.33136094674556221</v>
      </c>
      <c r="AS224" s="25">
        <v>1.6</v>
      </c>
      <c r="AT224" s="25">
        <v>3.44</v>
      </c>
      <c r="AU224" s="25">
        <v>1.84</v>
      </c>
      <c r="AV224" s="25">
        <v>1.9628571428571431</v>
      </c>
      <c r="AW224">
        <v>1.9628571428571431</v>
      </c>
      <c r="AX224">
        <v>4.4993245392857144</v>
      </c>
      <c r="AY224" s="75"/>
      <c r="AZ224" s="75"/>
      <c r="BA224" s="75"/>
      <c r="BF224">
        <v>0</v>
      </c>
      <c r="BG224">
        <v>0</v>
      </c>
      <c r="BH224">
        <v>0</v>
      </c>
      <c r="BI224" s="79" t="s">
        <v>1264</v>
      </c>
      <c r="BJ224" s="79">
        <v>1173</v>
      </c>
      <c r="BK224" s="79">
        <v>20</v>
      </c>
      <c r="BM224" s="79" t="s">
        <v>1268</v>
      </c>
      <c r="BN224" s="79" t="s">
        <v>863</v>
      </c>
      <c r="BO224" s="79">
        <v>0.5</v>
      </c>
      <c r="BQ224" s="79">
        <v>0.4</v>
      </c>
      <c r="BR224" s="79">
        <v>20</v>
      </c>
      <c r="BS224" s="79" t="s">
        <v>464</v>
      </c>
      <c r="BT224" s="79" t="s">
        <v>464</v>
      </c>
      <c r="BU224" s="79" t="s">
        <v>1271</v>
      </c>
      <c r="BV224" s="79">
        <v>300</v>
      </c>
      <c r="BW224" s="79">
        <v>300</v>
      </c>
      <c r="BX224" s="79" t="s">
        <v>1311</v>
      </c>
      <c r="BZ224" s="81">
        <v>0.94</v>
      </c>
      <c r="CA224">
        <f t="shared" si="34"/>
        <v>-6.1875403718087529E-2</v>
      </c>
    </row>
    <row r="225" spans="1:79" x14ac:dyDescent="0.3">
      <c r="A225" s="2" t="s">
        <v>129</v>
      </c>
      <c r="B225" s="13" t="s">
        <v>756</v>
      </c>
      <c r="C225" s="13"/>
      <c r="D225" s="2">
        <v>2.39</v>
      </c>
      <c r="E225" s="2" t="s">
        <v>133</v>
      </c>
      <c r="F225" s="9" t="s">
        <v>572</v>
      </c>
      <c r="G225" t="s">
        <v>650</v>
      </c>
      <c r="I225" s="2"/>
      <c r="J225" s="25">
        <v>4</v>
      </c>
      <c r="K225">
        <v>4</v>
      </c>
      <c r="L225">
        <v>0</v>
      </c>
      <c r="M225" s="2"/>
      <c r="N225" s="2"/>
      <c r="O225" s="2"/>
      <c r="P225" s="2"/>
      <c r="Q225" s="2"/>
      <c r="R225" s="25">
        <v>5.5026178200000002</v>
      </c>
      <c r="S225" s="25">
        <v>5.5582516699999998</v>
      </c>
      <c r="T225" s="25">
        <v>28.882220520000001</v>
      </c>
      <c r="U225">
        <v>5.4930000000000003</v>
      </c>
      <c r="V225">
        <v>5.4960000000000004</v>
      </c>
      <c r="W225">
        <v>28.75</v>
      </c>
      <c r="X225">
        <v>0</v>
      </c>
      <c r="AA225" s="2"/>
      <c r="AB225">
        <v>16</v>
      </c>
      <c r="AC225" s="55">
        <f t="shared" si="37"/>
        <v>0</v>
      </c>
      <c r="AD225" s="57">
        <v>883.36082823090169</v>
      </c>
      <c r="AE225" s="55">
        <v>867.94893000000013</v>
      </c>
      <c r="AF225" s="55">
        <v>0</v>
      </c>
      <c r="AG225" s="52"/>
      <c r="AH225" s="51">
        <v>7.2450575070407169E-2</v>
      </c>
      <c r="AI225" s="52">
        <v>7.3737057317416116E-2</v>
      </c>
      <c r="AJ225" s="52"/>
      <c r="AK225" s="28">
        <v>1.928571428571429</v>
      </c>
      <c r="AL225" s="28">
        <v>3.5</v>
      </c>
      <c r="AM225" s="28">
        <v>3.1428571428571428</v>
      </c>
      <c r="AN225" s="28">
        <v>4</v>
      </c>
      <c r="AO225" s="28">
        <v>0.15340909090909091</v>
      </c>
      <c r="AP225" s="28">
        <v>0.27840909090909088</v>
      </c>
      <c r="AQ225" s="28">
        <v>0.25</v>
      </c>
      <c r="AR225" s="28">
        <v>0.31818181818181818</v>
      </c>
      <c r="AS225" s="25">
        <v>1.6</v>
      </c>
      <c r="AT225" s="25">
        <v>3.44</v>
      </c>
      <c r="AU225" s="25">
        <v>1.84</v>
      </c>
      <c r="AV225" s="25">
        <v>2.882857142857143</v>
      </c>
      <c r="AW225">
        <v>2.882857142857143</v>
      </c>
      <c r="AX225">
        <v>6.350050364285714</v>
      </c>
      <c r="AY225" s="75">
        <v>0.52239337321040458</v>
      </c>
      <c r="AZ225" s="75">
        <v>0.53166934928012111</v>
      </c>
      <c r="BA225" s="75"/>
      <c r="BC225">
        <v>3.6225287535203578E-2</v>
      </c>
      <c r="BD225">
        <v>3.6868528658708058E-2</v>
      </c>
      <c r="BF225">
        <v>7.3093816193911643E-2</v>
      </c>
      <c r="BG225">
        <v>3.6546908096955821E-2</v>
      </c>
      <c r="BH225">
        <v>0.52703136124526284</v>
      </c>
      <c r="BI225" s="79" t="s">
        <v>1264</v>
      </c>
      <c r="BJ225" s="79">
        <v>1073</v>
      </c>
      <c r="BK225" s="79">
        <v>24</v>
      </c>
      <c r="BM225" s="79" t="s">
        <v>1275</v>
      </c>
      <c r="BN225" s="79" t="s">
        <v>863</v>
      </c>
      <c r="BO225" s="79">
        <v>0.375</v>
      </c>
      <c r="BQ225" s="79">
        <v>3</v>
      </c>
      <c r="BR225" s="79">
        <v>20</v>
      </c>
      <c r="BS225" s="79" t="s">
        <v>464</v>
      </c>
      <c r="BT225" s="79" t="s">
        <v>464</v>
      </c>
      <c r="BU225" s="79" t="s">
        <v>1271</v>
      </c>
      <c r="BV225" s="79">
        <v>300</v>
      </c>
      <c r="BW225" s="79">
        <v>420</v>
      </c>
      <c r="BX225" s="79" t="s">
        <v>1311</v>
      </c>
      <c r="BZ225" s="81">
        <f>0.3*BZ226</f>
        <v>0.19800000000000001</v>
      </c>
      <c r="CA225">
        <f t="shared" si="34"/>
        <v>-1.6194882482876019</v>
      </c>
    </row>
    <row r="226" spans="1:79" x14ac:dyDescent="0.3">
      <c r="A226" s="2" t="s">
        <v>130</v>
      </c>
      <c r="B226" s="13" t="s">
        <v>757</v>
      </c>
      <c r="C226" s="13"/>
      <c r="D226" s="2">
        <v>2.44</v>
      </c>
      <c r="E226" s="2" t="s">
        <v>133</v>
      </c>
      <c r="F226" s="9" t="s">
        <v>573</v>
      </c>
      <c r="G226">
        <v>-1</v>
      </c>
      <c r="I226" s="2"/>
      <c r="J226" s="25">
        <v>4</v>
      </c>
      <c r="K226">
        <v>0</v>
      </c>
      <c r="L226">
        <v>0</v>
      </c>
      <c r="M226" s="2"/>
      <c r="N226" s="2"/>
      <c r="O226" s="2"/>
      <c r="P226" s="2"/>
      <c r="Q226" s="2"/>
      <c r="R226" s="25">
        <v>5.5809040000000003</v>
      </c>
      <c r="S226" s="25">
        <v>5.6539380000000001</v>
      </c>
      <c r="T226" s="25">
        <v>29.812771999999999</v>
      </c>
      <c r="U226">
        <v>0</v>
      </c>
      <c r="X226">
        <v>0</v>
      </c>
      <c r="AA226" s="2"/>
      <c r="AB226">
        <v>16</v>
      </c>
      <c r="AC226" s="55">
        <f t="shared" si="37"/>
        <v>0</v>
      </c>
      <c r="AD226" s="57">
        <v>940.71474773474347</v>
      </c>
      <c r="AE226" s="55">
        <v>0</v>
      </c>
      <c r="AF226" s="55">
        <v>0</v>
      </c>
      <c r="AG226" s="52"/>
      <c r="AH226" s="51">
        <v>6.8033375849706881E-2</v>
      </c>
      <c r="AI226" s="52"/>
      <c r="AJ226" s="52"/>
      <c r="AK226" s="28">
        <v>1.928571428571429</v>
      </c>
      <c r="AL226" s="28">
        <v>3.5</v>
      </c>
      <c r="AM226" s="28">
        <v>3.8571428571428572</v>
      </c>
      <c r="AN226" s="28">
        <v>4</v>
      </c>
      <c r="AO226" s="28">
        <v>0.1451612903225806</v>
      </c>
      <c r="AP226" s="28">
        <v>0.26344086021505381</v>
      </c>
      <c r="AQ226" s="28">
        <v>0.29032258064516131</v>
      </c>
      <c r="AR226" s="28">
        <v>0.30107526881720431</v>
      </c>
      <c r="AS226" s="25">
        <v>1.6</v>
      </c>
      <c r="AT226" s="25">
        <v>3.44</v>
      </c>
      <c r="AU226" s="25">
        <v>1.84</v>
      </c>
      <c r="AV226" s="25">
        <v>2.8685714285714279</v>
      </c>
      <c r="AW226">
        <v>2.8685714285714279</v>
      </c>
      <c r="AX226">
        <v>6.299944650714286</v>
      </c>
      <c r="AY226" s="75">
        <v>0.51496474224831645</v>
      </c>
      <c r="AZ226" s="75"/>
      <c r="BA226" s="75"/>
      <c r="BC226">
        <v>3.4016687924853441E-2</v>
      </c>
      <c r="BF226">
        <v>6.8033375849706881E-2</v>
      </c>
      <c r="BG226">
        <v>3.4016687924853441E-2</v>
      </c>
      <c r="BH226">
        <v>0.51496474224831645</v>
      </c>
      <c r="BI226" s="79" t="s">
        <v>1264</v>
      </c>
      <c r="BJ226" s="79">
        <v>1073</v>
      </c>
      <c r="BK226" s="79">
        <v>24</v>
      </c>
      <c r="BM226" s="79" t="s">
        <v>1275</v>
      </c>
      <c r="BN226" s="79" t="s">
        <v>863</v>
      </c>
      <c r="BO226" s="79">
        <v>0.375</v>
      </c>
      <c r="BQ226" s="79">
        <v>3</v>
      </c>
      <c r="BR226" s="79">
        <v>20</v>
      </c>
      <c r="BS226" s="79" t="s">
        <v>464</v>
      </c>
      <c r="BT226" s="79" t="s">
        <v>464</v>
      </c>
      <c r="BU226" s="79" t="s">
        <v>1271</v>
      </c>
      <c r="BV226" s="79">
        <v>300</v>
      </c>
      <c r="BW226" s="79">
        <v>420</v>
      </c>
      <c r="BX226" s="79" t="s">
        <v>1311</v>
      </c>
      <c r="BZ226" s="81">
        <v>0.66</v>
      </c>
      <c r="CA226">
        <f t="shared" si="34"/>
        <v>-0.41551544396166579</v>
      </c>
    </row>
    <row r="227" spans="1:79" x14ac:dyDescent="0.3">
      <c r="A227" s="2" t="s">
        <v>131</v>
      </c>
      <c r="B227" s="13" t="s">
        <v>758</v>
      </c>
      <c r="C227" s="13"/>
      <c r="D227" s="2">
        <v>2.48</v>
      </c>
      <c r="E227" s="2" t="s">
        <v>133</v>
      </c>
      <c r="F227" s="9" t="s">
        <v>574</v>
      </c>
      <c r="G227" t="s">
        <v>651</v>
      </c>
      <c r="I227" s="2"/>
      <c r="J227" s="25">
        <v>1</v>
      </c>
      <c r="K227">
        <v>4</v>
      </c>
      <c r="L227">
        <v>0</v>
      </c>
      <c r="M227" s="2"/>
      <c r="N227" s="2"/>
      <c r="O227" s="2"/>
      <c r="P227" s="2"/>
      <c r="Q227" s="2"/>
      <c r="R227" s="25">
        <v>3.9070640000000001</v>
      </c>
      <c r="S227" s="25">
        <v>3.9070640000000001</v>
      </c>
      <c r="T227" s="25">
        <v>14.317354999999999</v>
      </c>
      <c r="U227">
        <v>5.4588999999999999</v>
      </c>
      <c r="V227">
        <v>5.5044000000000004</v>
      </c>
      <c r="W227">
        <v>28.6998</v>
      </c>
      <c r="X227">
        <v>0</v>
      </c>
      <c r="AA227" s="2"/>
      <c r="AB227">
        <v>16</v>
      </c>
      <c r="AC227" s="55">
        <f t="shared" si="37"/>
        <v>0</v>
      </c>
      <c r="AD227" s="57">
        <v>218.55655879400501</v>
      </c>
      <c r="AE227" s="55">
        <v>862.37070529816799</v>
      </c>
      <c r="AF227" s="55">
        <v>0</v>
      </c>
      <c r="AG227" s="52"/>
      <c r="AH227" s="51">
        <v>7.320759481338833E-2</v>
      </c>
      <c r="AI227" s="52">
        <v>7.4214023745010863E-2</v>
      </c>
      <c r="AJ227" s="52"/>
      <c r="AK227" s="28">
        <v>2</v>
      </c>
      <c r="AL227" s="28">
        <v>3.5</v>
      </c>
      <c r="AM227" s="28">
        <v>3.0714285714285721</v>
      </c>
      <c r="AN227" s="28">
        <v>5</v>
      </c>
      <c r="AO227" s="28">
        <v>0.14736842105263159</v>
      </c>
      <c r="AP227" s="28">
        <v>0.25789473684210529</v>
      </c>
      <c r="AQ227" s="28">
        <v>0.22631578947368419</v>
      </c>
      <c r="AR227" s="28">
        <v>0.36842105263157893</v>
      </c>
      <c r="AS227" s="25">
        <v>1.5</v>
      </c>
      <c r="AT227" s="25">
        <v>3.44</v>
      </c>
      <c r="AU227" s="25">
        <v>1.94</v>
      </c>
      <c r="AV227" s="25">
        <v>2.875714285714285</v>
      </c>
      <c r="AW227">
        <v>2.875714285714285</v>
      </c>
      <c r="AX227">
        <v>6.3570658642857136</v>
      </c>
      <c r="AY227" s="75">
        <v>0.52785174392365897</v>
      </c>
      <c r="AZ227" s="75">
        <v>0.53510844000890001</v>
      </c>
      <c r="BA227" s="75"/>
      <c r="BC227">
        <v>3.6603797406694158E-2</v>
      </c>
      <c r="BD227">
        <v>3.7107011872505431E-2</v>
      </c>
      <c r="BF227">
        <v>7.3710809279199596E-2</v>
      </c>
      <c r="BG227">
        <v>3.6855404639599798E-2</v>
      </c>
      <c r="BH227">
        <v>0.53148009196627943</v>
      </c>
      <c r="BI227" s="79" t="s">
        <v>1264</v>
      </c>
      <c r="BJ227" s="79">
        <v>1073</v>
      </c>
      <c r="BK227" s="79">
        <v>24</v>
      </c>
      <c r="BM227" s="79" t="s">
        <v>1275</v>
      </c>
      <c r="BN227" s="79" t="s">
        <v>863</v>
      </c>
      <c r="BO227" s="79">
        <v>0.375</v>
      </c>
      <c r="BQ227" s="79">
        <v>3</v>
      </c>
      <c r="BR227" s="79">
        <v>20</v>
      </c>
      <c r="BS227" s="79" t="s">
        <v>464</v>
      </c>
      <c r="BT227" s="79" t="s">
        <v>464</v>
      </c>
      <c r="BU227" s="79" t="s">
        <v>1271</v>
      </c>
      <c r="BV227" s="79">
        <v>300</v>
      </c>
      <c r="BW227" s="79">
        <v>420</v>
      </c>
      <c r="BX227" s="79" t="s">
        <v>1311</v>
      </c>
      <c r="BZ227" s="81">
        <f>0.2*BZ226</f>
        <v>0.13200000000000001</v>
      </c>
      <c r="CA227">
        <f t="shared" si="34"/>
        <v>-2.0249533563957662</v>
      </c>
    </row>
    <row r="228" spans="1:79" x14ac:dyDescent="0.3">
      <c r="A228" s="2" t="s">
        <v>132</v>
      </c>
      <c r="B228" s="13" t="s">
        <v>759</v>
      </c>
      <c r="C228" s="13"/>
      <c r="D228" s="2">
        <v>2.52</v>
      </c>
      <c r="E228" s="2" t="s">
        <v>133</v>
      </c>
      <c r="F228" s="9" t="s">
        <v>575</v>
      </c>
      <c r="G228">
        <v>-1</v>
      </c>
      <c r="I228" s="2"/>
      <c r="J228" s="25">
        <v>4</v>
      </c>
      <c r="K228">
        <v>0</v>
      </c>
      <c r="L228">
        <v>0</v>
      </c>
      <c r="M228" s="2"/>
      <c r="N228" s="2"/>
      <c r="O228" s="2"/>
      <c r="P228" s="2"/>
      <c r="Q228" s="2"/>
      <c r="R228" s="25">
        <v>5.4952131800000004</v>
      </c>
      <c r="S228" s="25">
        <v>5.5421627200000003</v>
      </c>
      <c r="T228" s="25">
        <v>29.451395720000001</v>
      </c>
      <c r="U228">
        <v>0</v>
      </c>
      <c r="X228">
        <v>0</v>
      </c>
      <c r="AA228" s="2"/>
      <c r="AB228">
        <v>16</v>
      </c>
      <c r="AC228" s="55">
        <f t="shared" si="37"/>
        <v>0</v>
      </c>
      <c r="AD228" s="57">
        <v>896.95302480881253</v>
      </c>
      <c r="AE228" s="55">
        <v>0</v>
      </c>
      <c r="AF228" s="55">
        <v>0</v>
      </c>
      <c r="AG228" s="52"/>
      <c r="AH228" s="51">
        <v>7.1352677598296457E-2</v>
      </c>
      <c r="AI228" s="52"/>
      <c r="AJ228" s="52"/>
      <c r="AK228" s="28">
        <v>2</v>
      </c>
      <c r="AL228" s="28">
        <v>3.5</v>
      </c>
      <c r="AM228" s="28">
        <v>3.785714285714286</v>
      </c>
      <c r="AN228" s="28">
        <v>5</v>
      </c>
      <c r="AO228" s="28">
        <v>0.14000000000000001</v>
      </c>
      <c r="AP228" s="28">
        <v>0.245</v>
      </c>
      <c r="AQ228" s="28">
        <v>0.26500000000000001</v>
      </c>
      <c r="AR228" s="28">
        <v>0.35</v>
      </c>
      <c r="AS228" s="25">
        <v>1.5</v>
      </c>
      <c r="AT228" s="25">
        <v>3.44</v>
      </c>
      <c r="AU228" s="25">
        <v>1.94</v>
      </c>
      <c r="AV228" s="25">
        <v>2.8614285714285721</v>
      </c>
      <c r="AW228">
        <v>2.8614285714285712</v>
      </c>
      <c r="AX228">
        <v>6.3069601507142856</v>
      </c>
      <c r="AY228" s="75">
        <v>0.54008951884595136</v>
      </c>
      <c r="AZ228" s="75"/>
      <c r="BA228" s="75"/>
      <c r="BC228">
        <v>3.5676338799148229E-2</v>
      </c>
      <c r="BF228">
        <v>7.1352677598296457E-2</v>
      </c>
      <c r="BG228">
        <v>3.5676338799148229E-2</v>
      </c>
      <c r="BH228">
        <v>0.54008951884595136</v>
      </c>
      <c r="BI228" s="79" t="s">
        <v>1264</v>
      </c>
      <c r="BJ228" s="79">
        <v>1073</v>
      </c>
      <c r="BK228" s="79">
        <v>24</v>
      </c>
      <c r="BM228" s="79" t="s">
        <v>1275</v>
      </c>
      <c r="BN228" s="79" t="s">
        <v>863</v>
      </c>
      <c r="BO228" s="79">
        <v>0.375</v>
      </c>
      <c r="BQ228" s="79">
        <v>3</v>
      </c>
      <c r="BR228" s="79">
        <v>20</v>
      </c>
      <c r="BS228" s="79" t="s">
        <v>464</v>
      </c>
      <c r="BT228" s="79" t="s">
        <v>464</v>
      </c>
      <c r="BU228" s="79" t="s">
        <v>1271</v>
      </c>
      <c r="BV228" s="79">
        <v>300</v>
      </c>
      <c r="BW228" s="79">
        <v>420</v>
      </c>
      <c r="BX228" s="79" t="s">
        <v>1311</v>
      </c>
      <c r="BZ228" s="81">
        <f>0.1*BZ226</f>
        <v>6.6000000000000003E-2</v>
      </c>
      <c r="CA228">
        <f t="shared" si="34"/>
        <v>-2.7181005369557116</v>
      </c>
    </row>
    <row r="229" spans="1:79" x14ac:dyDescent="0.3">
      <c r="A229" s="2" t="s">
        <v>136</v>
      </c>
      <c r="B229" s="13" t="s">
        <v>760</v>
      </c>
      <c r="C229" s="13"/>
      <c r="D229" s="2">
        <v>3.8</v>
      </c>
      <c r="E229" s="2" t="s">
        <v>135</v>
      </c>
      <c r="F229" s="88" t="s">
        <v>576</v>
      </c>
      <c r="G229">
        <v>-1</v>
      </c>
      <c r="H229" t="s">
        <v>1164</v>
      </c>
      <c r="I229" s="2"/>
      <c r="J229" s="25">
        <v>0</v>
      </c>
      <c r="K229">
        <v>0</v>
      </c>
      <c r="L229">
        <v>1</v>
      </c>
      <c r="M229" s="2">
        <v>3.89</v>
      </c>
      <c r="N229" s="2">
        <v>3.89</v>
      </c>
      <c r="O229" s="2">
        <v>10.34</v>
      </c>
      <c r="P229" s="2" t="s">
        <v>440</v>
      </c>
      <c r="Q229" s="2"/>
      <c r="R229" s="25">
        <v>0</v>
      </c>
      <c r="S229" s="25"/>
      <c r="T229" s="25"/>
      <c r="U229">
        <v>0</v>
      </c>
      <c r="X229">
        <v>3.88</v>
      </c>
      <c r="Y229">
        <v>3.88</v>
      </c>
      <c r="Z229">
        <v>10.66</v>
      </c>
      <c r="AA229" s="2">
        <v>2</v>
      </c>
      <c r="AB229">
        <v>14</v>
      </c>
      <c r="AC229" s="55">
        <f t="shared" si="37"/>
        <v>156.465914</v>
      </c>
      <c r="AD229" s="57">
        <v>0</v>
      </c>
      <c r="AE229" s="55">
        <v>0</v>
      </c>
      <c r="AF229" s="55">
        <v>160.479904</v>
      </c>
      <c r="AG229" s="52"/>
      <c r="AH229" s="51"/>
      <c r="AI229" s="52"/>
      <c r="AJ229" s="52">
        <v>8.7238337331009372E-2</v>
      </c>
      <c r="AK229" s="28">
        <v>1.9090909090909089</v>
      </c>
      <c r="AL229" s="28">
        <v>2.545454545454545</v>
      </c>
      <c r="AM229" s="28">
        <v>0.63636363636363635</v>
      </c>
      <c r="AN229" s="28">
        <v>2.545454545454545</v>
      </c>
      <c r="AO229" s="28">
        <v>0.25</v>
      </c>
      <c r="AP229" s="28">
        <v>0.33333333333333331</v>
      </c>
      <c r="AQ229" s="28">
        <v>8.3333333333333329E-2</v>
      </c>
      <c r="AR229" s="28">
        <v>0.33333333333333331</v>
      </c>
      <c r="AS229" s="25">
        <v>1.1000000000000001</v>
      </c>
      <c r="AT229" s="25">
        <v>3.44</v>
      </c>
      <c r="AU229" s="25">
        <v>2.34</v>
      </c>
      <c r="AV229" s="25">
        <v>2.7618181818181822</v>
      </c>
      <c r="AW229">
        <v>2.7618181818181822</v>
      </c>
      <c r="AX229">
        <v>6.4448628590773636</v>
      </c>
      <c r="AY229" s="75"/>
      <c r="AZ229" s="75"/>
      <c r="BA229" s="75">
        <v>0</v>
      </c>
      <c r="BE229">
        <v>4.3619168665504693E-2</v>
      </c>
      <c r="BF229">
        <v>8.7238337331009372E-2</v>
      </c>
      <c r="BG229">
        <v>4.3619168665504693E-2</v>
      </c>
      <c r="BH229">
        <v>0</v>
      </c>
      <c r="BI229" s="79" t="s">
        <v>1264</v>
      </c>
      <c r="BJ229" s="79">
        <v>1373</v>
      </c>
      <c r="BK229" s="79">
        <v>10</v>
      </c>
      <c r="BM229" s="79" t="s">
        <v>464</v>
      </c>
      <c r="BN229" s="79" t="s">
        <v>464</v>
      </c>
      <c r="BO229" s="79">
        <v>0</v>
      </c>
      <c r="BQ229" s="79">
        <v>1</v>
      </c>
      <c r="BR229" s="79">
        <v>0</v>
      </c>
      <c r="BS229" s="79" t="s">
        <v>464</v>
      </c>
      <c r="BT229" s="79" t="s">
        <v>464</v>
      </c>
      <c r="BU229" s="79" t="s">
        <v>1266</v>
      </c>
      <c r="BV229" s="79">
        <v>400</v>
      </c>
      <c r="BX229" s="79" t="s">
        <v>1287</v>
      </c>
      <c r="BZ229" s="81">
        <v>0</v>
      </c>
      <c r="CA229" t="e">
        <f t="shared" si="34"/>
        <v>#NUM!</v>
      </c>
    </row>
    <row r="230" spans="1:79" x14ac:dyDescent="0.3">
      <c r="A230" s="2" t="s">
        <v>137</v>
      </c>
      <c r="B230" s="13" t="s">
        <v>761</v>
      </c>
      <c r="C230" s="13"/>
      <c r="D230" s="2">
        <v>3.85</v>
      </c>
      <c r="E230" s="2" t="s">
        <v>135</v>
      </c>
      <c r="F230" s="9" t="s">
        <v>576</v>
      </c>
      <c r="G230" t="s">
        <v>652</v>
      </c>
      <c r="I230" s="2"/>
      <c r="J230" s="25">
        <v>1</v>
      </c>
      <c r="K230">
        <v>2</v>
      </c>
      <c r="L230">
        <v>0</v>
      </c>
      <c r="M230" s="2">
        <v>3.85</v>
      </c>
      <c r="N230" s="2">
        <v>3.85</v>
      </c>
      <c r="O230" s="2">
        <v>12.77</v>
      </c>
      <c r="P230" s="2" t="s">
        <v>440</v>
      </c>
      <c r="Q230" s="2"/>
      <c r="R230" s="25">
        <v>11.210029909999999</v>
      </c>
      <c r="S230" s="25">
        <v>11.210029909999999</v>
      </c>
      <c r="T230" s="25">
        <v>11.210029909999999</v>
      </c>
      <c r="U230">
        <v>3.8955000000000002</v>
      </c>
      <c r="V230">
        <v>3.8955000000000002</v>
      </c>
      <c r="W230">
        <v>21.436</v>
      </c>
      <c r="X230">
        <v>0</v>
      </c>
      <c r="AA230" s="2">
        <v>2</v>
      </c>
      <c r="AB230">
        <v>14</v>
      </c>
      <c r="AC230" s="55">
        <f t="shared" si="37"/>
        <v>189.28332500000002</v>
      </c>
      <c r="AD230" s="57">
        <v>167.3639996655379</v>
      </c>
      <c r="AE230" s="55">
        <v>325.28959047900003</v>
      </c>
      <c r="AF230" s="55">
        <v>0</v>
      </c>
      <c r="AG230" s="52"/>
      <c r="AH230" s="51">
        <v>8.365000853216796E-2</v>
      </c>
      <c r="AI230" s="52">
        <v>8.607714731593176E-2</v>
      </c>
      <c r="AJ230" s="52"/>
      <c r="AK230" s="28">
        <v>1.9090909090909089</v>
      </c>
      <c r="AL230" s="28">
        <v>2.545454545454545</v>
      </c>
      <c r="AM230" s="28">
        <v>0.63636363636363635</v>
      </c>
      <c r="AN230" s="28">
        <v>2.545454545454545</v>
      </c>
      <c r="AO230" s="28">
        <v>0.25</v>
      </c>
      <c r="AP230" s="28">
        <v>0.33333333333333331</v>
      </c>
      <c r="AQ230" s="28">
        <v>8.3333333333333329E-2</v>
      </c>
      <c r="AR230" s="28">
        <v>0.33333333333333331</v>
      </c>
      <c r="AS230" s="25">
        <v>0.93</v>
      </c>
      <c r="AT230" s="25">
        <v>3.44</v>
      </c>
      <c r="AU230" s="25">
        <v>2.5099999999999998</v>
      </c>
      <c r="AV230" s="25">
        <v>2.646363636363636</v>
      </c>
      <c r="AW230">
        <v>2.646363636363636</v>
      </c>
      <c r="AX230">
        <v>6.0509524322727266</v>
      </c>
      <c r="AY230" s="75">
        <v>0.45356967584663088</v>
      </c>
      <c r="AZ230" s="75">
        <v>0</v>
      </c>
      <c r="BA230" s="75"/>
      <c r="BC230">
        <v>4.1825004266083973E-2</v>
      </c>
      <c r="BD230">
        <v>4.303857365796588E-2</v>
      </c>
      <c r="BF230">
        <v>8.486357792404986E-2</v>
      </c>
      <c r="BG230">
        <v>4.243178896202493E-2</v>
      </c>
      <c r="BH230">
        <v>0.22678483792331541</v>
      </c>
      <c r="BI230" s="79" t="s">
        <v>1264</v>
      </c>
      <c r="BJ230" s="79">
        <v>1373</v>
      </c>
      <c r="BK230" s="79">
        <v>10</v>
      </c>
      <c r="BM230" s="79" t="s">
        <v>464</v>
      </c>
      <c r="BN230" s="79" t="s">
        <v>464</v>
      </c>
      <c r="BO230" s="79">
        <v>0</v>
      </c>
      <c r="BQ230" s="79">
        <v>1</v>
      </c>
      <c r="BR230" s="79">
        <v>0</v>
      </c>
      <c r="BS230" s="79" t="s">
        <v>464</v>
      </c>
      <c r="BT230" s="79" t="s">
        <v>464</v>
      </c>
      <c r="BU230" s="79" t="s">
        <v>1266</v>
      </c>
      <c r="BV230" s="79">
        <v>400</v>
      </c>
      <c r="BX230" s="79" t="s">
        <v>1287</v>
      </c>
      <c r="BZ230" s="81">
        <v>5</v>
      </c>
      <c r="CA230">
        <f t="shared" si="34"/>
        <v>1.6094379124341003</v>
      </c>
    </row>
    <row r="231" spans="1:79" x14ac:dyDescent="0.3">
      <c r="A231" s="2" t="s">
        <v>10</v>
      </c>
      <c r="B231" s="13" t="s">
        <v>695</v>
      </c>
      <c r="C231" s="13"/>
      <c r="D231" s="2">
        <v>3.9</v>
      </c>
      <c r="E231" s="2" t="s">
        <v>135</v>
      </c>
      <c r="F231" s="9" t="s">
        <v>531</v>
      </c>
      <c r="G231">
        <v>-1</v>
      </c>
      <c r="I231" s="2"/>
      <c r="J231" s="25">
        <v>1</v>
      </c>
      <c r="K231">
        <v>0</v>
      </c>
      <c r="L231">
        <v>0</v>
      </c>
      <c r="M231" s="2">
        <v>3.88</v>
      </c>
      <c r="N231" s="2">
        <v>3.88</v>
      </c>
      <c r="O231" s="2">
        <v>11.07</v>
      </c>
      <c r="P231" s="2" t="s">
        <v>439</v>
      </c>
      <c r="Q231" s="2"/>
      <c r="R231" s="25">
        <v>3.9103940000000001</v>
      </c>
      <c r="S231" s="25">
        <v>3.9103940000000001</v>
      </c>
      <c r="T231" s="25">
        <v>11.314458</v>
      </c>
      <c r="U231">
        <v>0</v>
      </c>
      <c r="X231">
        <v>0</v>
      </c>
      <c r="AA231" s="2">
        <v>2</v>
      </c>
      <c r="AB231">
        <v>14</v>
      </c>
      <c r="AC231" s="55">
        <f t="shared" si="37"/>
        <v>166.652208</v>
      </c>
      <c r="AD231" s="57">
        <v>173.0114278564659</v>
      </c>
      <c r="AE231" s="55">
        <v>0</v>
      </c>
      <c r="AF231" s="55">
        <v>0</v>
      </c>
      <c r="AG231" s="52"/>
      <c r="AH231" s="51">
        <v>8.0919510193365449E-2</v>
      </c>
      <c r="AI231" s="52"/>
      <c r="AJ231" s="52"/>
      <c r="AK231" s="28">
        <v>1.9090909090909089</v>
      </c>
      <c r="AL231" s="28">
        <v>2.545454545454545</v>
      </c>
      <c r="AM231" s="28">
        <v>0.63636363636363635</v>
      </c>
      <c r="AN231" s="28">
        <v>2.545454545454545</v>
      </c>
      <c r="AO231" s="28">
        <v>0.25</v>
      </c>
      <c r="AP231" s="28">
        <v>0.33333333333333331</v>
      </c>
      <c r="AQ231" s="28">
        <v>8.3333333333333329E-2</v>
      </c>
      <c r="AR231" s="28">
        <v>0.33333333333333331</v>
      </c>
      <c r="AS231" s="25">
        <v>0.82</v>
      </c>
      <c r="AT231" s="25">
        <v>3.44</v>
      </c>
      <c r="AU231" s="25">
        <v>2.62</v>
      </c>
      <c r="AV231" s="25">
        <v>2.6363636363636358</v>
      </c>
      <c r="AW231">
        <v>2.6363636363636371</v>
      </c>
      <c r="AX231">
        <v>6.0044088459090901</v>
      </c>
      <c r="AY231" s="75">
        <v>0.5117218936152963</v>
      </c>
      <c r="AZ231" s="75"/>
      <c r="BA231" s="75"/>
      <c r="BC231">
        <v>4.0459755096682717E-2</v>
      </c>
      <c r="BF231">
        <v>8.0919510193365449E-2</v>
      </c>
      <c r="BG231">
        <v>4.0459755096682717E-2</v>
      </c>
      <c r="BH231">
        <v>0.5117218936152963</v>
      </c>
      <c r="BI231" s="79" t="s">
        <v>1264</v>
      </c>
      <c r="BJ231" s="79">
        <v>1373</v>
      </c>
      <c r="BK231" s="79">
        <v>10</v>
      </c>
      <c r="BM231" s="79" t="s">
        <v>464</v>
      </c>
      <c r="BN231" s="79" t="s">
        <v>464</v>
      </c>
      <c r="BO231" s="79">
        <v>0</v>
      </c>
      <c r="BQ231" s="79">
        <v>1</v>
      </c>
      <c r="BR231" s="79">
        <v>0</v>
      </c>
      <c r="BS231" s="79" t="s">
        <v>464</v>
      </c>
      <c r="BT231" s="79" t="s">
        <v>464</v>
      </c>
      <c r="BU231" s="79" t="s">
        <v>1266</v>
      </c>
      <c r="BV231" s="79">
        <v>400</v>
      </c>
      <c r="BX231" s="79" t="s">
        <v>1287</v>
      </c>
      <c r="BZ231" s="81">
        <v>10</v>
      </c>
      <c r="CA231">
        <f t="shared" si="34"/>
        <v>2.3025850929940459</v>
      </c>
    </row>
    <row r="232" spans="1:79" x14ac:dyDescent="0.3">
      <c r="A232" s="2" t="s">
        <v>138</v>
      </c>
      <c r="B232" s="13" t="s">
        <v>762</v>
      </c>
      <c r="C232" s="13"/>
      <c r="D232" s="2">
        <v>3.95</v>
      </c>
      <c r="E232" s="2" t="s">
        <v>135</v>
      </c>
      <c r="F232" s="88" t="s">
        <v>576</v>
      </c>
      <c r="G232">
        <v>-1</v>
      </c>
      <c r="H232" t="s">
        <v>1165</v>
      </c>
      <c r="I232" s="2"/>
      <c r="J232" s="25">
        <v>0</v>
      </c>
      <c r="K232">
        <v>0</v>
      </c>
      <c r="L232">
        <v>1</v>
      </c>
      <c r="M232" s="2">
        <v>3.88</v>
      </c>
      <c r="N232" s="2">
        <v>3.88</v>
      </c>
      <c r="O232" s="2">
        <v>11.07</v>
      </c>
      <c r="P232" s="2" t="s">
        <v>439</v>
      </c>
      <c r="Q232" s="2"/>
      <c r="R232" s="25">
        <v>0</v>
      </c>
      <c r="S232" s="25"/>
      <c r="T232" s="25"/>
      <c r="U232">
        <v>0</v>
      </c>
      <c r="X232">
        <v>3.899</v>
      </c>
      <c r="Y232">
        <v>3.899</v>
      </c>
      <c r="Z232">
        <v>11.292</v>
      </c>
      <c r="AA232" s="2">
        <v>2</v>
      </c>
      <c r="AB232">
        <v>14</v>
      </c>
      <c r="AC232" s="55">
        <f t="shared" si="37"/>
        <v>166.652208</v>
      </c>
      <c r="AD232" s="57">
        <v>0</v>
      </c>
      <c r="AE232" s="55">
        <v>0</v>
      </c>
      <c r="AF232" s="55">
        <v>171.66325369200001</v>
      </c>
      <c r="AG232" s="52"/>
      <c r="AH232" s="51"/>
      <c r="AI232" s="52"/>
      <c r="AJ232" s="52">
        <v>8.1555019486691915E-2</v>
      </c>
      <c r="AK232" s="28">
        <v>1.9090909090909089</v>
      </c>
      <c r="AL232" s="28">
        <v>2.545454545454545</v>
      </c>
      <c r="AM232" s="28">
        <v>0.63636363636363635</v>
      </c>
      <c r="AN232" s="28">
        <v>2.545454545454545</v>
      </c>
      <c r="AO232" s="28">
        <v>0.25</v>
      </c>
      <c r="AP232" s="28">
        <v>0.33333333333333331</v>
      </c>
      <c r="AQ232" s="28">
        <v>8.3333333333333329E-2</v>
      </c>
      <c r="AR232" s="28">
        <v>0.33333333333333331</v>
      </c>
      <c r="AS232" s="25">
        <v>0.79</v>
      </c>
      <c r="AT232" s="25">
        <v>3.44</v>
      </c>
      <c r="AU232" s="25">
        <v>2.65</v>
      </c>
      <c r="AV232" s="25">
        <v>2.6336363636363629</v>
      </c>
      <c r="AW232">
        <v>2.6336363636363642</v>
      </c>
      <c r="AX232">
        <v>5.9908857398831818</v>
      </c>
      <c r="AY232" s="75"/>
      <c r="AZ232" s="75"/>
      <c r="BA232" s="75">
        <v>0.54881524259093173</v>
      </c>
      <c r="BE232">
        <v>4.0777509743345958E-2</v>
      </c>
      <c r="BF232">
        <v>8.1555019486691915E-2</v>
      </c>
      <c r="BG232">
        <v>4.0777509743345958E-2</v>
      </c>
      <c r="BH232">
        <v>0.54881524259093173</v>
      </c>
      <c r="BI232" s="79" t="s">
        <v>1264</v>
      </c>
      <c r="BJ232" s="79">
        <v>1373</v>
      </c>
      <c r="BK232" s="79">
        <v>10</v>
      </c>
      <c r="BM232" s="79" t="s">
        <v>464</v>
      </c>
      <c r="BN232" s="79" t="s">
        <v>464</v>
      </c>
      <c r="BO232" s="79">
        <v>0</v>
      </c>
      <c r="BQ232" s="79">
        <v>1</v>
      </c>
      <c r="BR232" s="79">
        <v>0</v>
      </c>
      <c r="BS232" s="79" t="s">
        <v>464</v>
      </c>
      <c r="BT232" s="79" t="s">
        <v>464</v>
      </c>
      <c r="BU232" s="79" t="s">
        <v>1266</v>
      </c>
      <c r="BV232" s="79">
        <v>400</v>
      </c>
      <c r="BX232" s="79" t="s">
        <v>1287</v>
      </c>
      <c r="BZ232" s="81">
        <v>15</v>
      </c>
      <c r="CA232">
        <f t="shared" si="34"/>
        <v>2.7080502011022101</v>
      </c>
    </row>
    <row r="233" spans="1:79" x14ac:dyDescent="0.3">
      <c r="A233" s="2" t="s">
        <v>139</v>
      </c>
      <c r="B233" s="13" t="s">
        <v>763</v>
      </c>
      <c r="C233" s="13"/>
      <c r="D233" s="2">
        <v>3.55</v>
      </c>
      <c r="E233" s="2" t="s">
        <v>135</v>
      </c>
      <c r="F233" s="88" t="s">
        <v>576</v>
      </c>
      <c r="G233">
        <v>-1</v>
      </c>
      <c r="I233" s="2">
        <v>1</v>
      </c>
      <c r="J233" s="25">
        <v>0</v>
      </c>
      <c r="K233">
        <v>0</v>
      </c>
      <c r="L233">
        <v>0</v>
      </c>
      <c r="M233" s="2">
        <v>3.9</v>
      </c>
      <c r="N233" s="2">
        <v>3.9</v>
      </c>
      <c r="O233" s="2">
        <v>11.07</v>
      </c>
      <c r="P233" s="2" t="s">
        <v>519</v>
      </c>
      <c r="Q233" s="2"/>
      <c r="R233" s="25">
        <v>0</v>
      </c>
      <c r="S233" s="25"/>
      <c r="T233" s="25"/>
      <c r="U233">
        <v>0</v>
      </c>
      <c r="X233">
        <v>0</v>
      </c>
      <c r="AA233" s="2">
        <v>2</v>
      </c>
      <c r="AB233">
        <v>14</v>
      </c>
      <c r="AC233" s="55">
        <f t="shared" si="37"/>
        <v>168.37469999999999</v>
      </c>
      <c r="AD233" s="57">
        <v>0</v>
      </c>
      <c r="AE233" s="55">
        <v>0</v>
      </c>
      <c r="AF233" s="55">
        <v>0</v>
      </c>
      <c r="AG233" s="52">
        <f>I233*AB233/AC233</f>
        <v>8.3147883856660179E-2</v>
      </c>
      <c r="AH233" s="51"/>
      <c r="AI233" s="52"/>
      <c r="AJ233" s="52"/>
      <c r="AK233" s="28">
        <v>1.9090909090909089</v>
      </c>
      <c r="AL233" s="28">
        <v>2.545454545454545</v>
      </c>
      <c r="AM233" s="28">
        <v>0.54545454545454541</v>
      </c>
      <c r="AN233" s="28">
        <v>2.8181818181818179</v>
      </c>
      <c r="AO233" s="28">
        <v>0.2441860465116279</v>
      </c>
      <c r="AP233" s="28">
        <v>0.32558139534883718</v>
      </c>
      <c r="AQ233" s="28">
        <v>6.9767441860465115E-2</v>
      </c>
      <c r="AR233" s="28">
        <v>0.3604651162790698</v>
      </c>
      <c r="AS233" s="25">
        <v>1.1299999999999999</v>
      </c>
      <c r="AT233" s="25">
        <v>3.44</v>
      </c>
      <c r="AU233" s="25">
        <v>2.31</v>
      </c>
      <c r="AV233" s="25">
        <v>2.7645454545454542</v>
      </c>
      <c r="AW233">
        <v>2.7645454545454551</v>
      </c>
      <c r="AX233">
        <v>6.4196350590773639</v>
      </c>
      <c r="AY233" s="75"/>
      <c r="AZ233" s="75"/>
      <c r="BA233" s="75"/>
      <c r="BB233">
        <v>4.157394192833009E-2</v>
      </c>
      <c r="BF233">
        <v>8.3147883856660179E-2</v>
      </c>
      <c r="BG233">
        <v>4.157394192833009E-2</v>
      </c>
      <c r="BH233">
        <v>0</v>
      </c>
      <c r="BI233" s="79" t="s">
        <v>1264</v>
      </c>
      <c r="BJ233" s="79">
        <v>1373</v>
      </c>
      <c r="BK233" s="79">
        <v>10</v>
      </c>
      <c r="BM233" s="79" t="s">
        <v>464</v>
      </c>
      <c r="BN233" s="79" t="s">
        <v>464</v>
      </c>
      <c r="BO233" s="79">
        <v>0</v>
      </c>
      <c r="BQ233" s="79">
        <v>1</v>
      </c>
      <c r="BR233" s="79">
        <v>0</v>
      </c>
      <c r="BS233" s="79" t="s">
        <v>464</v>
      </c>
      <c r="BT233" s="79" t="s">
        <v>464</v>
      </c>
      <c r="BU233" s="79" t="s">
        <v>1266</v>
      </c>
      <c r="BV233" s="79">
        <v>400</v>
      </c>
      <c r="BX233" s="79" t="s">
        <v>1287</v>
      </c>
      <c r="BZ233" s="81">
        <v>5</v>
      </c>
      <c r="CA233">
        <f t="shared" si="34"/>
        <v>1.6094379124341003</v>
      </c>
    </row>
    <row r="234" spans="1:79" x14ac:dyDescent="0.3">
      <c r="A234" s="2" t="s">
        <v>140</v>
      </c>
      <c r="B234" s="13" t="s">
        <v>764</v>
      </c>
      <c r="C234" s="13"/>
      <c r="D234" s="2">
        <v>3.55</v>
      </c>
      <c r="E234" s="2" t="s">
        <v>135</v>
      </c>
      <c r="F234" s="88" t="s">
        <v>576</v>
      </c>
      <c r="G234">
        <v>-1</v>
      </c>
      <c r="I234" s="2">
        <v>1</v>
      </c>
      <c r="J234" s="25">
        <v>0</v>
      </c>
      <c r="K234">
        <v>0</v>
      </c>
      <c r="L234">
        <v>0</v>
      </c>
      <c r="M234" s="2">
        <v>3.88</v>
      </c>
      <c r="N234" s="2">
        <v>3.88</v>
      </c>
      <c r="O234" s="2">
        <v>11.297000000000001</v>
      </c>
      <c r="P234" s="2" t="s">
        <v>439</v>
      </c>
      <c r="Q234" s="2"/>
      <c r="R234" s="25">
        <v>0</v>
      </c>
      <c r="S234" s="25"/>
      <c r="T234" s="25"/>
      <c r="U234">
        <v>0</v>
      </c>
      <c r="X234">
        <v>0</v>
      </c>
      <c r="AA234" s="2">
        <v>2</v>
      </c>
      <c r="AB234">
        <v>14</v>
      </c>
      <c r="AC234" s="55">
        <f t="shared" si="37"/>
        <v>170.06955680000002</v>
      </c>
      <c r="AD234" s="57">
        <v>0</v>
      </c>
      <c r="AE234" s="55">
        <v>0</v>
      </c>
      <c r="AF234" s="55">
        <v>0</v>
      </c>
      <c r="AG234" s="52">
        <f>I234*AB234/AC234</f>
        <v>8.2319259621896068E-2</v>
      </c>
      <c r="AH234" s="51"/>
      <c r="AI234" s="52"/>
      <c r="AJ234" s="52"/>
      <c r="AK234" s="28">
        <v>1.9090909090909089</v>
      </c>
      <c r="AL234" s="28">
        <v>2.545454545454545</v>
      </c>
      <c r="AM234" s="28">
        <v>0.54545454545454541</v>
      </c>
      <c r="AN234" s="28">
        <v>2.8181818181818179</v>
      </c>
      <c r="AO234" s="28">
        <v>0.2441860465116279</v>
      </c>
      <c r="AP234" s="28">
        <v>0.32558139534883718</v>
      </c>
      <c r="AQ234" s="28">
        <v>6.9767441860465115E-2</v>
      </c>
      <c r="AR234" s="28">
        <v>0.3604651162790698</v>
      </c>
      <c r="AS234" s="25">
        <v>0.93</v>
      </c>
      <c r="AT234" s="25">
        <v>3.44</v>
      </c>
      <c r="AU234" s="25">
        <v>2.5099999999999998</v>
      </c>
      <c r="AV234" s="25">
        <v>2.6490909090909089</v>
      </c>
      <c r="AW234">
        <v>2.6490909090909081</v>
      </c>
      <c r="AX234">
        <v>6.0257246322727269</v>
      </c>
      <c r="AY234" s="75"/>
      <c r="AZ234" s="75"/>
      <c r="BA234" s="75"/>
      <c r="BB234">
        <v>4.1159629810948027E-2</v>
      </c>
      <c r="BF234">
        <v>8.2319259621896068E-2</v>
      </c>
      <c r="BG234">
        <v>4.1159629810948027E-2</v>
      </c>
      <c r="BH234">
        <v>0</v>
      </c>
      <c r="BI234" s="79" t="s">
        <v>1264</v>
      </c>
      <c r="BJ234" s="79">
        <v>1373</v>
      </c>
      <c r="BK234" s="79">
        <v>10</v>
      </c>
      <c r="BM234" s="79" t="s">
        <v>464</v>
      </c>
      <c r="BN234" s="79" t="s">
        <v>464</v>
      </c>
      <c r="BO234" s="79">
        <v>0</v>
      </c>
      <c r="BQ234" s="79">
        <v>1</v>
      </c>
      <c r="BR234" s="79">
        <v>0</v>
      </c>
      <c r="BS234" s="79" t="s">
        <v>464</v>
      </c>
      <c r="BT234" s="79" t="s">
        <v>464</v>
      </c>
      <c r="BU234" s="79" t="s">
        <v>1266</v>
      </c>
      <c r="BV234" s="79">
        <v>400</v>
      </c>
      <c r="BX234" s="79" t="s">
        <v>1287</v>
      </c>
      <c r="BZ234" s="81">
        <v>5</v>
      </c>
      <c r="CA234">
        <f t="shared" si="34"/>
        <v>1.6094379124341003</v>
      </c>
    </row>
    <row r="235" spans="1:79" x14ac:dyDescent="0.3">
      <c r="A235" s="2" t="s">
        <v>11</v>
      </c>
      <c r="B235" s="13" t="s">
        <v>696</v>
      </c>
      <c r="C235" s="13"/>
      <c r="D235" s="2">
        <v>3.55</v>
      </c>
      <c r="E235" s="2" t="s">
        <v>135</v>
      </c>
      <c r="F235" s="88" t="s">
        <v>576</v>
      </c>
      <c r="G235">
        <v>-1</v>
      </c>
      <c r="H235" t="s">
        <v>1144</v>
      </c>
      <c r="I235" s="2">
        <v>1</v>
      </c>
      <c r="J235" s="25">
        <v>0</v>
      </c>
      <c r="K235">
        <v>0</v>
      </c>
      <c r="L235">
        <v>1</v>
      </c>
      <c r="M235" s="2">
        <v>3.88</v>
      </c>
      <c r="N235" s="2">
        <v>3.88</v>
      </c>
      <c r="O235" s="2">
        <v>10.647</v>
      </c>
      <c r="P235" s="2" t="s">
        <v>439</v>
      </c>
      <c r="Q235" s="2"/>
      <c r="R235" s="25">
        <v>0</v>
      </c>
      <c r="S235" s="25"/>
      <c r="T235" s="25"/>
      <c r="U235">
        <v>0</v>
      </c>
      <c r="X235">
        <v>3.8653</v>
      </c>
      <c r="Y235">
        <v>3.8653</v>
      </c>
      <c r="Z235">
        <v>11.0131</v>
      </c>
      <c r="AA235" s="2">
        <v>2</v>
      </c>
      <c r="AB235">
        <v>14</v>
      </c>
      <c r="AC235" s="55">
        <f t="shared" si="37"/>
        <v>160.28419679999999</v>
      </c>
      <c r="AD235" s="57">
        <v>0</v>
      </c>
      <c r="AE235" s="55">
        <v>0</v>
      </c>
      <c r="AF235" s="55">
        <v>164.541706117579</v>
      </c>
      <c r="AG235" s="52">
        <f>I235*AB235/AC235</f>
        <v>8.7344855447408651E-2</v>
      </c>
      <c r="AH235" s="51"/>
      <c r="AI235" s="52"/>
      <c r="AJ235" s="52">
        <v>8.5084811202795069E-2</v>
      </c>
      <c r="AK235" s="28">
        <v>1.9090909090909089</v>
      </c>
      <c r="AL235" s="28">
        <v>2.545454545454545</v>
      </c>
      <c r="AM235" s="28">
        <v>0.54545454545454541</v>
      </c>
      <c r="AN235" s="28">
        <v>2.8181818181818179</v>
      </c>
      <c r="AO235" s="28">
        <v>0.2441860465116279</v>
      </c>
      <c r="AP235" s="28">
        <v>0.32558139534883718</v>
      </c>
      <c r="AQ235" s="28">
        <v>6.9767441860465115E-2</v>
      </c>
      <c r="AR235" s="28">
        <v>0.3604651162790698</v>
      </c>
      <c r="AS235" s="25">
        <v>0.82</v>
      </c>
      <c r="AT235" s="25">
        <v>3.44</v>
      </c>
      <c r="AU235" s="25">
        <v>2.62</v>
      </c>
      <c r="AV235" s="25">
        <v>2.6390909090909092</v>
      </c>
      <c r="AW235">
        <v>2.6390909090909092</v>
      </c>
      <c r="AX235">
        <v>5.9791810459090904</v>
      </c>
      <c r="AY235" s="75"/>
      <c r="AZ235" s="75"/>
      <c r="BA235" s="75">
        <v>0.53381265134868672</v>
      </c>
      <c r="BB235">
        <v>4.3672427723704332E-2</v>
      </c>
      <c r="BE235">
        <v>4.2542405601397527E-2</v>
      </c>
      <c r="BF235">
        <v>8.6214833325101853E-2</v>
      </c>
      <c r="BG235">
        <v>4.3107416662550933E-2</v>
      </c>
      <c r="BH235">
        <v>0.53381265134868672</v>
      </c>
      <c r="BI235" s="79" t="s">
        <v>1264</v>
      </c>
      <c r="BJ235" s="79">
        <v>1373</v>
      </c>
      <c r="BK235" s="79">
        <v>10</v>
      </c>
      <c r="BM235" s="79" t="s">
        <v>464</v>
      </c>
      <c r="BN235" s="79" t="s">
        <v>464</v>
      </c>
      <c r="BO235" s="79">
        <v>0</v>
      </c>
      <c r="BQ235" s="79">
        <v>1</v>
      </c>
      <c r="BR235" s="79">
        <v>0</v>
      </c>
      <c r="BS235" s="79" t="s">
        <v>464</v>
      </c>
      <c r="BT235" s="79" t="s">
        <v>464</v>
      </c>
      <c r="BU235" s="79" t="s">
        <v>1266</v>
      </c>
      <c r="BV235" s="79">
        <v>400</v>
      </c>
      <c r="BX235" s="79" t="s">
        <v>1287</v>
      </c>
      <c r="BZ235" s="81">
        <v>5</v>
      </c>
      <c r="CA235">
        <f t="shared" si="34"/>
        <v>1.6094379124341003</v>
      </c>
    </row>
    <row r="236" spans="1:79" x14ac:dyDescent="0.3">
      <c r="A236" s="2" t="s">
        <v>141</v>
      </c>
      <c r="B236" s="13" t="s">
        <v>765</v>
      </c>
      <c r="C236" s="13"/>
      <c r="D236" s="2">
        <v>3.55</v>
      </c>
      <c r="E236" s="2" t="s">
        <v>135</v>
      </c>
      <c r="F236" s="88" t="s">
        <v>576</v>
      </c>
      <c r="G236">
        <v>-1</v>
      </c>
      <c r="I236" s="2">
        <v>1</v>
      </c>
      <c r="J236" s="25">
        <v>0</v>
      </c>
      <c r="K236">
        <v>0</v>
      </c>
      <c r="L236">
        <v>0</v>
      </c>
      <c r="M236" s="2">
        <v>3.88</v>
      </c>
      <c r="N236" s="2">
        <v>3.88</v>
      </c>
      <c r="O236" s="2">
        <v>11.066000000000001</v>
      </c>
      <c r="P236" s="2" t="s">
        <v>439</v>
      </c>
      <c r="Q236" s="2"/>
      <c r="R236" s="25">
        <v>0</v>
      </c>
      <c r="S236" s="25"/>
      <c r="T236" s="25"/>
      <c r="U236">
        <v>0</v>
      </c>
      <c r="X236">
        <v>0</v>
      </c>
      <c r="AA236" s="2">
        <v>2</v>
      </c>
      <c r="AB236">
        <v>14</v>
      </c>
      <c r="AC236" s="55">
        <f t="shared" si="37"/>
        <v>166.59199040000001</v>
      </c>
      <c r="AD236" s="57">
        <v>0</v>
      </c>
      <c r="AE236" s="55">
        <v>0</v>
      </c>
      <c r="AF236" s="55">
        <v>0</v>
      </c>
      <c r="AG236" s="52">
        <f>I236*AB236/AC236</f>
        <v>8.4037653709430671E-2</v>
      </c>
      <c r="AH236" s="51"/>
      <c r="AI236" s="52"/>
      <c r="AJ236" s="52"/>
      <c r="AK236" s="28">
        <v>1.9090909090909089</v>
      </c>
      <c r="AL236" s="28">
        <v>2.545454545454545</v>
      </c>
      <c r="AM236" s="28">
        <v>0.54545454545454541</v>
      </c>
      <c r="AN236" s="28">
        <v>2.8181818181818179</v>
      </c>
      <c r="AO236" s="28">
        <v>0.2441860465116279</v>
      </c>
      <c r="AP236" s="28">
        <v>0.32558139534883718</v>
      </c>
      <c r="AQ236" s="28">
        <v>6.9767441860465115E-2</v>
      </c>
      <c r="AR236" s="28">
        <v>0.3604651162790698</v>
      </c>
      <c r="AS236" s="25">
        <v>0.79</v>
      </c>
      <c r="AT236" s="25">
        <v>3.44</v>
      </c>
      <c r="AU236" s="25">
        <v>2.65</v>
      </c>
      <c r="AV236" s="25">
        <v>2.6363636363636358</v>
      </c>
      <c r="AW236">
        <v>2.6363636363636358</v>
      </c>
      <c r="AX236">
        <v>5.9656579398831813</v>
      </c>
      <c r="AY236" s="75"/>
      <c r="AZ236" s="75"/>
      <c r="BA236" s="75"/>
      <c r="BB236">
        <v>4.2018826854715342E-2</v>
      </c>
      <c r="BF236">
        <v>8.4037653709430671E-2</v>
      </c>
      <c r="BG236">
        <v>4.2018826854715342E-2</v>
      </c>
      <c r="BH236">
        <v>0</v>
      </c>
      <c r="BI236" s="79" t="s">
        <v>1264</v>
      </c>
      <c r="BJ236" s="79">
        <v>1373</v>
      </c>
      <c r="BK236" s="79">
        <v>10</v>
      </c>
      <c r="BM236" s="79" t="s">
        <v>464</v>
      </c>
      <c r="BN236" s="79" t="s">
        <v>464</v>
      </c>
      <c r="BO236" s="79">
        <v>0</v>
      </c>
      <c r="BQ236" s="79">
        <v>1</v>
      </c>
      <c r="BR236" s="79">
        <v>0</v>
      </c>
      <c r="BS236" s="79" t="s">
        <v>464</v>
      </c>
      <c r="BT236" s="79" t="s">
        <v>464</v>
      </c>
      <c r="BU236" s="79" t="s">
        <v>1266</v>
      </c>
      <c r="BV236" s="79">
        <v>400</v>
      </c>
      <c r="BX236" s="79" t="s">
        <v>1287</v>
      </c>
      <c r="BZ236" s="81">
        <v>5</v>
      </c>
      <c r="CA236">
        <f t="shared" si="34"/>
        <v>1.6094379124341003</v>
      </c>
    </row>
    <row r="237" spans="1:79" x14ac:dyDescent="0.3">
      <c r="A237" s="2" t="s">
        <v>142</v>
      </c>
      <c r="B237" s="13" t="s">
        <v>766</v>
      </c>
      <c r="C237" s="13"/>
      <c r="D237" s="2">
        <v>4.2</v>
      </c>
      <c r="E237" s="2" t="s">
        <v>135</v>
      </c>
      <c r="F237" s="88" t="s">
        <v>576</v>
      </c>
      <c r="G237">
        <v>-1</v>
      </c>
      <c r="I237" s="2">
        <v>1</v>
      </c>
      <c r="J237" s="25">
        <v>0</v>
      </c>
      <c r="K237">
        <v>0</v>
      </c>
      <c r="L237">
        <v>0</v>
      </c>
      <c r="M237" s="2">
        <v>3.92</v>
      </c>
      <c r="N237" s="2">
        <v>3.92</v>
      </c>
      <c r="O237" s="2">
        <v>11.065</v>
      </c>
      <c r="P237" s="2" t="s">
        <v>439</v>
      </c>
      <c r="Q237" s="2"/>
      <c r="R237" s="25">
        <v>0</v>
      </c>
      <c r="S237" s="25"/>
      <c r="T237" s="25"/>
      <c r="U237">
        <v>0</v>
      </c>
      <c r="X237">
        <v>0</v>
      </c>
      <c r="AA237" s="2">
        <v>2</v>
      </c>
      <c r="AB237">
        <v>14</v>
      </c>
      <c r="AC237" s="55">
        <f t="shared" si="37"/>
        <v>170.02921599999999</v>
      </c>
      <c r="AD237" s="57">
        <v>0</v>
      </c>
      <c r="AE237" s="55">
        <v>0</v>
      </c>
      <c r="AF237" s="55">
        <v>0</v>
      </c>
      <c r="AG237" s="52">
        <f t="shared" ref="AG237:AG244" si="38">I237*AB237/AC237</f>
        <v>8.2338790528799485E-2</v>
      </c>
      <c r="AH237" s="51"/>
      <c r="AI237" s="52"/>
      <c r="AJ237" s="52"/>
      <c r="AK237" s="28">
        <v>1.9090909090909089</v>
      </c>
      <c r="AL237" s="28">
        <v>2.545454545454545</v>
      </c>
      <c r="AM237" s="28">
        <v>0.54545454545454541</v>
      </c>
      <c r="AN237" s="28">
        <v>2.9090909090909092</v>
      </c>
      <c r="AO237" s="28">
        <v>0.2413793103448276</v>
      </c>
      <c r="AP237" s="28">
        <v>0.32183908045977011</v>
      </c>
      <c r="AQ237" s="28">
        <v>6.8965517241379309E-2</v>
      </c>
      <c r="AR237" s="28">
        <v>0.36781609195402298</v>
      </c>
      <c r="AS237" s="25">
        <v>1.1399999999999999</v>
      </c>
      <c r="AT237" s="25">
        <v>3.44</v>
      </c>
      <c r="AU237" s="25">
        <v>2.2999999999999998</v>
      </c>
      <c r="AV237" s="25">
        <v>2.7654545454545452</v>
      </c>
      <c r="AW237">
        <v>2.7654545454545461</v>
      </c>
      <c r="AX237">
        <v>6.4215922727137267</v>
      </c>
      <c r="AY237" s="75"/>
      <c r="AZ237" s="75"/>
      <c r="BA237" s="75"/>
      <c r="BB237">
        <v>4.1169395264399743E-2</v>
      </c>
      <c r="BF237">
        <v>8.2338790528799485E-2</v>
      </c>
      <c r="BG237">
        <v>4.1169395264399743E-2</v>
      </c>
      <c r="BH237">
        <v>0</v>
      </c>
      <c r="BI237" s="79" t="s">
        <v>1264</v>
      </c>
      <c r="BJ237" s="79">
        <v>1373</v>
      </c>
      <c r="BK237" s="79">
        <v>10</v>
      </c>
      <c r="BM237" s="79" t="s">
        <v>464</v>
      </c>
      <c r="BN237" s="79" t="s">
        <v>464</v>
      </c>
      <c r="BO237" s="79">
        <v>0</v>
      </c>
      <c r="BQ237" s="79">
        <v>1</v>
      </c>
      <c r="BR237" s="79">
        <v>0</v>
      </c>
      <c r="BS237" s="79" t="s">
        <v>464</v>
      </c>
      <c r="BT237" s="79" t="s">
        <v>464</v>
      </c>
      <c r="BU237" s="79" t="s">
        <v>1266</v>
      </c>
      <c r="BV237" s="79">
        <v>400</v>
      </c>
      <c r="BX237" s="79" t="s">
        <v>1287</v>
      </c>
      <c r="BZ237" s="81">
        <v>10</v>
      </c>
      <c r="CA237">
        <f t="shared" si="34"/>
        <v>2.3025850929940459</v>
      </c>
    </row>
    <row r="238" spans="1:79" x14ac:dyDescent="0.3">
      <c r="A238" s="2" t="s">
        <v>143</v>
      </c>
      <c r="B238" s="13" t="s">
        <v>767</v>
      </c>
      <c r="C238" s="13"/>
      <c r="D238" s="2">
        <v>4.1500000000000004</v>
      </c>
      <c r="E238" s="2" t="s">
        <v>135</v>
      </c>
      <c r="F238" s="88" t="s">
        <v>576</v>
      </c>
      <c r="G238">
        <v>-1</v>
      </c>
      <c r="I238" s="2">
        <v>1</v>
      </c>
      <c r="J238" s="25">
        <v>0</v>
      </c>
      <c r="K238">
        <v>0</v>
      </c>
      <c r="L238">
        <v>0</v>
      </c>
      <c r="M238" s="2">
        <v>3.92</v>
      </c>
      <c r="N238" s="2">
        <v>3.92</v>
      </c>
      <c r="O238" s="2">
        <v>11.7911</v>
      </c>
      <c r="P238" s="2" t="s">
        <v>439</v>
      </c>
      <c r="Q238" s="2"/>
      <c r="R238" s="25">
        <v>0</v>
      </c>
      <c r="S238" s="25"/>
      <c r="T238" s="25"/>
      <c r="U238">
        <v>0</v>
      </c>
      <c r="X238">
        <v>0</v>
      </c>
      <c r="AA238" s="2">
        <v>2</v>
      </c>
      <c r="AB238">
        <v>14</v>
      </c>
      <c r="AC238" s="55">
        <f t="shared" si="37"/>
        <v>181.18675904</v>
      </c>
      <c r="AD238" s="57">
        <v>0</v>
      </c>
      <c r="AE238" s="55">
        <v>0</v>
      </c>
      <c r="AF238" s="55">
        <v>0</v>
      </c>
      <c r="AG238" s="52">
        <f t="shared" si="38"/>
        <v>7.7268339442559744E-2</v>
      </c>
      <c r="AH238" s="51"/>
      <c r="AI238" s="52"/>
      <c r="AJ238" s="52"/>
      <c r="AK238" s="28">
        <v>1.9090909090909089</v>
      </c>
      <c r="AL238" s="28">
        <v>2.545454545454545</v>
      </c>
      <c r="AM238" s="28">
        <v>0.54545454545454541</v>
      </c>
      <c r="AN238" s="28">
        <v>2.9090909090909092</v>
      </c>
      <c r="AO238" s="28">
        <v>0.2413793103448276</v>
      </c>
      <c r="AP238" s="28">
        <v>0.32183908045977011</v>
      </c>
      <c r="AQ238" s="28">
        <v>6.8965517241379309E-2</v>
      </c>
      <c r="AR238" s="28">
        <v>0.36781609195402298</v>
      </c>
      <c r="AS238" s="25">
        <v>0.93</v>
      </c>
      <c r="AT238" s="25">
        <v>3.44</v>
      </c>
      <c r="AU238" s="25">
        <v>2.5099999999999998</v>
      </c>
      <c r="AV238" s="25">
        <v>2.65</v>
      </c>
      <c r="AW238">
        <v>2.649999999999999</v>
      </c>
      <c r="AX238">
        <v>6.0276818459090906</v>
      </c>
      <c r="AY238" s="75"/>
      <c r="AZ238" s="75"/>
      <c r="BA238" s="75"/>
      <c r="BB238">
        <v>3.8634169721279872E-2</v>
      </c>
      <c r="BF238">
        <v>7.7268339442559744E-2</v>
      </c>
      <c r="BG238">
        <v>3.8634169721279872E-2</v>
      </c>
      <c r="BH238">
        <v>0</v>
      </c>
      <c r="BI238" s="79" t="s">
        <v>1264</v>
      </c>
      <c r="BJ238" s="79">
        <v>1373</v>
      </c>
      <c r="BK238" s="79">
        <v>10</v>
      </c>
      <c r="BM238" s="79" t="s">
        <v>464</v>
      </c>
      <c r="BN238" s="79" t="s">
        <v>464</v>
      </c>
      <c r="BO238" s="79">
        <v>0</v>
      </c>
      <c r="BQ238" s="79">
        <v>1</v>
      </c>
      <c r="BR238" s="79">
        <v>0</v>
      </c>
      <c r="BS238" s="79" t="s">
        <v>464</v>
      </c>
      <c r="BT238" s="79" t="s">
        <v>464</v>
      </c>
      <c r="BU238" s="79" t="s">
        <v>1266</v>
      </c>
      <c r="BV238" s="79">
        <v>400</v>
      </c>
      <c r="BX238" s="79" t="s">
        <v>1287</v>
      </c>
      <c r="BZ238" s="81">
        <v>15</v>
      </c>
      <c r="CA238">
        <f t="shared" si="34"/>
        <v>2.7080502011022101</v>
      </c>
    </row>
    <row r="239" spans="1:79" x14ac:dyDescent="0.3">
      <c r="A239" s="2" t="s">
        <v>12</v>
      </c>
      <c r="B239" s="13" t="s">
        <v>697</v>
      </c>
      <c r="C239" s="13"/>
      <c r="D239" s="2">
        <v>4.1500000000000004</v>
      </c>
      <c r="E239" s="2" t="s">
        <v>135</v>
      </c>
      <c r="F239" s="88" t="s">
        <v>576</v>
      </c>
      <c r="G239">
        <v>-1</v>
      </c>
      <c r="I239" s="2">
        <v>1</v>
      </c>
      <c r="J239" s="25">
        <v>0</v>
      </c>
      <c r="K239">
        <v>0</v>
      </c>
      <c r="L239">
        <v>0</v>
      </c>
      <c r="M239" s="2">
        <v>3.92</v>
      </c>
      <c r="N239" s="2">
        <v>3.92</v>
      </c>
      <c r="O239" s="2">
        <v>11.5395</v>
      </c>
      <c r="P239" s="2" t="s">
        <v>439</v>
      </c>
      <c r="Q239" s="2"/>
      <c r="R239" s="25">
        <v>0</v>
      </c>
      <c r="S239" s="25"/>
      <c r="T239" s="25"/>
      <c r="U239">
        <v>0</v>
      </c>
      <c r="X239">
        <v>0</v>
      </c>
      <c r="AA239" s="2">
        <v>2</v>
      </c>
      <c r="AB239">
        <v>14</v>
      </c>
      <c r="AC239" s="55">
        <f t="shared" si="37"/>
        <v>177.32057279999998</v>
      </c>
      <c r="AD239" s="57">
        <v>0</v>
      </c>
      <c r="AE239" s="55">
        <v>0</v>
      </c>
      <c r="AF239" s="55">
        <v>0</v>
      </c>
      <c r="AG239" s="52">
        <f t="shared" si="38"/>
        <v>7.8953049716293272E-2</v>
      </c>
      <c r="AH239" s="51"/>
      <c r="AI239" s="52"/>
      <c r="AJ239" s="52"/>
      <c r="AK239" s="28">
        <v>1.9090909090909089</v>
      </c>
      <c r="AL239" s="28">
        <v>2.545454545454545</v>
      </c>
      <c r="AM239" s="28">
        <v>0.54545454545454541</v>
      </c>
      <c r="AN239" s="28">
        <v>2.9090909090909092</v>
      </c>
      <c r="AO239" s="28">
        <v>0.2413793103448276</v>
      </c>
      <c r="AP239" s="28">
        <v>0.32183908045977011</v>
      </c>
      <c r="AQ239" s="28">
        <v>6.8965517241379309E-2</v>
      </c>
      <c r="AR239" s="28">
        <v>0.36781609195402298</v>
      </c>
      <c r="AS239" s="25">
        <v>0.82</v>
      </c>
      <c r="AT239" s="25">
        <v>3.44</v>
      </c>
      <c r="AU239" s="25">
        <v>2.62</v>
      </c>
      <c r="AV239" s="25">
        <v>2.64</v>
      </c>
      <c r="AW239">
        <v>2.64</v>
      </c>
      <c r="AX239">
        <v>5.9811382595454541</v>
      </c>
      <c r="AY239" s="75"/>
      <c r="AZ239" s="75"/>
      <c r="BA239" s="75"/>
      <c r="BB239">
        <v>3.9476524858146643E-2</v>
      </c>
      <c r="BF239">
        <v>7.8953049716293272E-2</v>
      </c>
      <c r="BG239">
        <v>3.9476524858146643E-2</v>
      </c>
      <c r="BH239">
        <v>0</v>
      </c>
      <c r="BI239" s="79" t="s">
        <v>1264</v>
      </c>
      <c r="BJ239" s="79">
        <v>1373</v>
      </c>
      <c r="BK239" s="79">
        <v>10</v>
      </c>
      <c r="BM239" s="79" t="s">
        <v>464</v>
      </c>
      <c r="BN239" s="79" t="s">
        <v>464</v>
      </c>
      <c r="BO239" s="79">
        <v>0</v>
      </c>
      <c r="BQ239" s="79">
        <v>1</v>
      </c>
      <c r="BR239" s="79">
        <v>0</v>
      </c>
      <c r="BS239" s="79" t="s">
        <v>464</v>
      </c>
      <c r="BT239" s="79" t="s">
        <v>464</v>
      </c>
      <c r="BU239" s="79" t="s">
        <v>1266</v>
      </c>
      <c r="BV239" s="79">
        <v>400</v>
      </c>
      <c r="BX239" s="79" t="s">
        <v>1287</v>
      </c>
      <c r="BZ239" s="81">
        <v>235</v>
      </c>
      <c r="CA239">
        <f t="shared" si="34"/>
        <v>5.4595855141441589</v>
      </c>
    </row>
    <row r="240" spans="1:79" x14ac:dyDescent="0.3">
      <c r="A240" s="2" t="s">
        <v>144</v>
      </c>
      <c r="B240" s="13" t="s">
        <v>768</v>
      </c>
      <c r="C240" s="13"/>
      <c r="D240" s="2">
        <v>4.1500000000000004</v>
      </c>
      <c r="E240" s="2" t="s">
        <v>135</v>
      </c>
      <c r="F240" s="88" t="s">
        <v>576</v>
      </c>
      <c r="G240">
        <v>-1</v>
      </c>
      <c r="I240" s="2">
        <v>1</v>
      </c>
      <c r="J240" s="25">
        <v>0</v>
      </c>
      <c r="K240">
        <v>0</v>
      </c>
      <c r="L240">
        <v>0</v>
      </c>
      <c r="M240" s="2">
        <v>3.84</v>
      </c>
      <c r="N240" s="2">
        <v>3.84</v>
      </c>
      <c r="O240" s="2">
        <v>11.5395</v>
      </c>
      <c r="P240" s="2" t="s">
        <v>439</v>
      </c>
      <c r="Q240" s="2"/>
      <c r="R240" s="25">
        <v>0</v>
      </c>
      <c r="S240" s="25"/>
      <c r="T240" s="25"/>
      <c r="U240">
        <v>0</v>
      </c>
      <c r="X240">
        <v>0</v>
      </c>
      <c r="AA240" s="2">
        <v>2</v>
      </c>
      <c r="AB240">
        <v>14</v>
      </c>
      <c r="AC240" s="55">
        <f t="shared" si="37"/>
        <v>170.15685120000001</v>
      </c>
      <c r="AD240" s="57">
        <v>0</v>
      </c>
      <c r="AE240" s="55">
        <v>0</v>
      </c>
      <c r="AF240" s="55">
        <v>0</v>
      </c>
      <c r="AG240" s="52">
        <f t="shared" si="38"/>
        <v>8.2277027937855962E-2</v>
      </c>
      <c r="AH240" s="51"/>
      <c r="AI240" s="52"/>
      <c r="AJ240" s="52"/>
      <c r="AK240" s="28">
        <v>1.9090909090909089</v>
      </c>
      <c r="AL240" s="28">
        <v>2.545454545454545</v>
      </c>
      <c r="AM240" s="28">
        <v>0.54545454545454541</v>
      </c>
      <c r="AN240" s="28">
        <v>2.9090909090909092</v>
      </c>
      <c r="AO240" s="28">
        <v>0.2413793103448276</v>
      </c>
      <c r="AP240" s="28">
        <v>0.32183908045977011</v>
      </c>
      <c r="AQ240" s="28">
        <v>6.8965517241379309E-2</v>
      </c>
      <c r="AR240" s="28">
        <v>0.36781609195402298</v>
      </c>
      <c r="AS240" s="25">
        <v>0.79</v>
      </c>
      <c r="AT240" s="25">
        <v>3.44</v>
      </c>
      <c r="AU240" s="25">
        <v>2.65</v>
      </c>
      <c r="AV240" s="25">
        <v>2.6372727272727272</v>
      </c>
      <c r="AW240">
        <v>2.6372727272727272</v>
      </c>
      <c r="AX240">
        <v>5.967615153519545</v>
      </c>
      <c r="AY240" s="75"/>
      <c r="AZ240" s="75"/>
      <c r="BA240" s="75"/>
      <c r="BB240">
        <v>4.1138513968927981E-2</v>
      </c>
      <c r="BF240">
        <v>8.2277027937855962E-2</v>
      </c>
      <c r="BG240">
        <v>4.1138513968927981E-2</v>
      </c>
      <c r="BH240">
        <v>0</v>
      </c>
      <c r="BI240" s="79" t="s">
        <v>1264</v>
      </c>
      <c r="BJ240" s="79">
        <v>1373</v>
      </c>
      <c r="BK240" s="79">
        <v>10</v>
      </c>
      <c r="BM240" s="79" t="s">
        <v>464</v>
      </c>
      <c r="BN240" s="79" t="s">
        <v>464</v>
      </c>
      <c r="BO240" s="79">
        <v>0</v>
      </c>
      <c r="BQ240" s="79">
        <v>1</v>
      </c>
      <c r="BR240" s="79">
        <v>0</v>
      </c>
      <c r="BS240" s="79" t="s">
        <v>464</v>
      </c>
      <c r="BT240" s="79" t="s">
        <v>464</v>
      </c>
      <c r="BU240" s="79" t="s">
        <v>1266</v>
      </c>
      <c r="BV240" s="79">
        <v>400</v>
      </c>
      <c r="BX240" s="79" t="s">
        <v>1287</v>
      </c>
      <c r="BZ240" s="81">
        <v>70</v>
      </c>
      <c r="CA240">
        <f t="shared" si="34"/>
        <v>4.2484952420493594</v>
      </c>
    </row>
    <row r="241" spans="1:79" x14ac:dyDescent="0.3">
      <c r="A241" s="2" t="s">
        <v>145</v>
      </c>
      <c r="B241" s="13" t="s">
        <v>769</v>
      </c>
      <c r="C241" s="13"/>
      <c r="D241" s="2">
        <v>4.1500000000000004</v>
      </c>
      <c r="E241" s="2" t="s">
        <v>135</v>
      </c>
      <c r="F241" s="88" t="s">
        <v>576</v>
      </c>
      <c r="G241">
        <v>-1</v>
      </c>
      <c r="I241" s="2">
        <v>1</v>
      </c>
      <c r="J241" s="25">
        <v>0</v>
      </c>
      <c r="K241">
        <v>0</v>
      </c>
      <c r="L241">
        <v>0</v>
      </c>
      <c r="M241" s="2">
        <v>3.85</v>
      </c>
      <c r="N241" s="2">
        <v>3.85</v>
      </c>
      <c r="O241" s="2">
        <v>10.95</v>
      </c>
      <c r="P241" s="2" t="s">
        <v>439</v>
      </c>
      <c r="Q241" s="2"/>
      <c r="R241" s="25">
        <v>0</v>
      </c>
      <c r="S241" s="25"/>
      <c r="T241" s="25"/>
      <c r="U241">
        <v>0</v>
      </c>
      <c r="X241">
        <v>0</v>
      </c>
      <c r="AA241" s="2">
        <v>2</v>
      </c>
      <c r="AB241">
        <v>14</v>
      </c>
      <c r="AC241" s="55">
        <f t="shared" si="37"/>
        <v>162.306375</v>
      </c>
      <c r="AD241" s="57">
        <v>0</v>
      </c>
      <c r="AE241" s="55">
        <v>0</v>
      </c>
      <c r="AF241" s="55">
        <v>0</v>
      </c>
      <c r="AG241" s="52">
        <f t="shared" si="38"/>
        <v>8.6256624239189617E-2</v>
      </c>
      <c r="AH241" s="51"/>
      <c r="AI241" s="52"/>
      <c r="AJ241" s="52"/>
      <c r="AK241" s="28">
        <v>1.9090909090909089</v>
      </c>
      <c r="AL241" s="28">
        <v>2.545454545454545</v>
      </c>
      <c r="AM241" s="28">
        <v>0.54545454545454541</v>
      </c>
      <c r="AN241" s="28">
        <v>3.0909090909090908</v>
      </c>
      <c r="AO241" s="28">
        <v>0.2359550561797753</v>
      </c>
      <c r="AP241" s="28">
        <v>0.3146067415730337</v>
      </c>
      <c r="AQ241" s="28">
        <v>6.7415730337078636E-2</v>
      </c>
      <c r="AR241" s="28">
        <v>0.38202247191011229</v>
      </c>
      <c r="AS241" s="25">
        <v>1.17</v>
      </c>
      <c r="AT241" s="25">
        <v>3.44</v>
      </c>
      <c r="AU241" s="25">
        <v>2.27</v>
      </c>
      <c r="AV241" s="25">
        <v>2.7681818181818181</v>
      </c>
      <c r="AW241">
        <v>2.768181818181819</v>
      </c>
      <c r="AX241">
        <v>6.4299203045319091</v>
      </c>
      <c r="AY241" s="75"/>
      <c r="AZ241" s="75"/>
      <c r="BA241" s="75"/>
      <c r="BB241">
        <v>4.3128312119594808E-2</v>
      </c>
      <c r="BF241">
        <v>8.6256624239189617E-2</v>
      </c>
      <c r="BG241">
        <v>4.3128312119594808E-2</v>
      </c>
      <c r="BH241">
        <v>0</v>
      </c>
      <c r="BI241" s="79" t="s">
        <v>1264</v>
      </c>
      <c r="BJ241" s="79">
        <v>1373</v>
      </c>
      <c r="BK241" s="79">
        <v>10</v>
      </c>
      <c r="BM241" s="79" t="s">
        <v>464</v>
      </c>
      <c r="BN241" s="79" t="s">
        <v>464</v>
      </c>
      <c r="BO241" s="79">
        <v>0</v>
      </c>
      <c r="BQ241" s="79">
        <v>1</v>
      </c>
      <c r="BR241" s="79">
        <v>0</v>
      </c>
      <c r="BS241" s="79" t="s">
        <v>464</v>
      </c>
      <c r="BT241" s="79" t="s">
        <v>464</v>
      </c>
      <c r="BU241" s="79" t="s">
        <v>1266</v>
      </c>
      <c r="BV241" s="79">
        <v>400</v>
      </c>
      <c r="BX241" s="79" t="s">
        <v>1287</v>
      </c>
      <c r="BZ241" s="81">
        <v>5</v>
      </c>
      <c r="CA241">
        <f t="shared" si="34"/>
        <v>1.6094379124341003</v>
      </c>
    </row>
    <row r="242" spans="1:79" x14ac:dyDescent="0.3">
      <c r="A242" s="2" t="s">
        <v>146</v>
      </c>
      <c r="B242" s="13" t="s">
        <v>770</v>
      </c>
      <c r="C242" s="13"/>
      <c r="D242" s="2">
        <v>4.25</v>
      </c>
      <c r="E242" s="2" t="s">
        <v>135</v>
      </c>
      <c r="F242" s="88" t="s">
        <v>576</v>
      </c>
      <c r="G242">
        <v>-1</v>
      </c>
      <c r="I242" s="2">
        <v>1</v>
      </c>
      <c r="J242" s="25">
        <v>0</v>
      </c>
      <c r="K242">
        <v>0</v>
      </c>
      <c r="L242">
        <v>0</v>
      </c>
      <c r="M242" s="2">
        <v>3.88</v>
      </c>
      <c r="N242" s="2">
        <v>3.88</v>
      </c>
      <c r="O242" s="2">
        <v>11.54</v>
      </c>
      <c r="P242" s="2" t="s">
        <v>439</v>
      </c>
      <c r="Q242" s="2"/>
      <c r="R242" s="25">
        <v>0</v>
      </c>
      <c r="S242" s="25"/>
      <c r="T242" s="25"/>
      <c r="U242">
        <v>0</v>
      </c>
      <c r="X242">
        <v>0</v>
      </c>
      <c r="AA242" s="2">
        <v>2</v>
      </c>
      <c r="AB242">
        <v>14</v>
      </c>
      <c r="AC242" s="55">
        <f t="shared" si="37"/>
        <v>173.72777599999998</v>
      </c>
      <c r="AD242" s="57">
        <v>0</v>
      </c>
      <c r="AE242" s="55">
        <v>0</v>
      </c>
      <c r="AF242" s="55">
        <v>0</v>
      </c>
      <c r="AG242" s="52">
        <f t="shared" si="38"/>
        <v>8.0585847135923747E-2</v>
      </c>
      <c r="AH242" s="51"/>
      <c r="AI242" s="52"/>
      <c r="AJ242" s="52"/>
      <c r="AK242" s="28">
        <v>1.9090909090909089</v>
      </c>
      <c r="AL242" s="28">
        <v>2.545454545454545</v>
      </c>
      <c r="AM242" s="28">
        <v>0.54545454545454541</v>
      </c>
      <c r="AN242" s="28">
        <v>3.0909090909090908</v>
      </c>
      <c r="AO242" s="28">
        <v>0.2359550561797753</v>
      </c>
      <c r="AP242" s="28">
        <v>0.3146067415730337</v>
      </c>
      <c r="AQ242" s="28">
        <v>6.7415730337078636E-2</v>
      </c>
      <c r="AR242" s="28">
        <v>0.38202247191011229</v>
      </c>
      <c r="AS242" s="25">
        <v>0.93</v>
      </c>
      <c r="AT242" s="25">
        <v>3.44</v>
      </c>
      <c r="AU242" s="25">
        <v>2.5099999999999998</v>
      </c>
      <c r="AV242" s="25">
        <v>2.6527272727272728</v>
      </c>
      <c r="AW242">
        <v>2.6527272727272719</v>
      </c>
      <c r="AX242">
        <v>6.0360098777272722</v>
      </c>
      <c r="AY242" s="75"/>
      <c r="AZ242" s="75"/>
      <c r="BA242" s="75"/>
      <c r="BB242">
        <v>4.0292923567961873E-2</v>
      </c>
      <c r="BF242">
        <v>8.0585847135923747E-2</v>
      </c>
      <c r="BG242">
        <v>4.0292923567961873E-2</v>
      </c>
      <c r="BH242">
        <v>0</v>
      </c>
      <c r="BI242" s="79" t="s">
        <v>1264</v>
      </c>
      <c r="BJ242" s="79">
        <v>1373</v>
      </c>
      <c r="BK242" s="79">
        <v>10</v>
      </c>
      <c r="BM242" s="79" t="s">
        <v>464</v>
      </c>
      <c r="BN242" s="79" t="s">
        <v>464</v>
      </c>
      <c r="BO242" s="79">
        <v>0</v>
      </c>
      <c r="BQ242" s="79">
        <v>1</v>
      </c>
      <c r="BR242" s="79">
        <v>0</v>
      </c>
      <c r="BS242" s="79" t="s">
        <v>464</v>
      </c>
      <c r="BT242" s="79" t="s">
        <v>464</v>
      </c>
      <c r="BU242" s="79" t="s">
        <v>1266</v>
      </c>
      <c r="BV242" s="79">
        <v>400</v>
      </c>
      <c r="BX242" s="79" t="s">
        <v>1287</v>
      </c>
      <c r="BZ242" s="81">
        <v>10</v>
      </c>
      <c r="CA242">
        <f t="shared" si="34"/>
        <v>2.3025850929940459</v>
      </c>
    </row>
    <row r="243" spans="1:79" ht="15.6" customHeight="1" x14ac:dyDescent="0.3">
      <c r="A243" s="2" t="s">
        <v>13</v>
      </c>
      <c r="B243" s="13" t="s">
        <v>698</v>
      </c>
      <c r="C243" s="13"/>
      <c r="D243" s="2">
        <v>4.25</v>
      </c>
      <c r="E243" s="2" t="s">
        <v>135</v>
      </c>
      <c r="F243" s="88" t="s">
        <v>576</v>
      </c>
      <c r="G243">
        <v>-1</v>
      </c>
      <c r="I243" s="2">
        <v>1</v>
      </c>
      <c r="J243" s="25">
        <v>0</v>
      </c>
      <c r="K243">
        <v>0</v>
      </c>
      <c r="L243">
        <v>0</v>
      </c>
      <c r="M243" s="2">
        <v>3.85</v>
      </c>
      <c r="N243" s="2">
        <v>3.85</v>
      </c>
      <c r="O243" s="2">
        <v>11.3</v>
      </c>
      <c r="P243" s="2" t="s">
        <v>439</v>
      </c>
      <c r="Q243" s="2"/>
      <c r="R243" s="25">
        <v>0</v>
      </c>
      <c r="S243" s="25"/>
      <c r="T243" s="25"/>
      <c r="U243">
        <v>0</v>
      </c>
      <c r="X243">
        <v>0</v>
      </c>
      <c r="AA243" s="2">
        <v>2</v>
      </c>
      <c r="AB243">
        <v>14</v>
      </c>
      <c r="AC243" s="55">
        <f t="shared" si="37"/>
        <v>167.49425000000002</v>
      </c>
      <c r="AD243" s="57">
        <v>0</v>
      </c>
      <c r="AE243" s="55">
        <v>0</v>
      </c>
      <c r="AF243" s="55">
        <v>0</v>
      </c>
      <c r="AG243" s="52">
        <f t="shared" si="38"/>
        <v>8.3584958886648339E-2</v>
      </c>
      <c r="AH243" s="51"/>
      <c r="AI243" s="52"/>
      <c r="AJ243" s="52"/>
      <c r="AK243" s="28">
        <v>1.9090909090909089</v>
      </c>
      <c r="AL243" s="28">
        <v>2.545454545454545</v>
      </c>
      <c r="AM243" s="28">
        <v>0.54545454545454541</v>
      </c>
      <c r="AN243" s="28">
        <v>3.0909090909090908</v>
      </c>
      <c r="AO243" s="28">
        <v>0.2359550561797753</v>
      </c>
      <c r="AP243" s="28">
        <v>0.3146067415730337</v>
      </c>
      <c r="AQ243" s="28">
        <v>6.7415730337078636E-2</v>
      </c>
      <c r="AR243" s="28">
        <v>0.38202247191011229</v>
      </c>
      <c r="AS243" s="25">
        <v>0.82</v>
      </c>
      <c r="AT243" s="25">
        <v>3.44</v>
      </c>
      <c r="AU243" s="25">
        <v>2.62</v>
      </c>
      <c r="AV243" s="25">
        <v>2.642727272727273</v>
      </c>
      <c r="AW243">
        <v>2.642727272727273</v>
      </c>
      <c r="AX243">
        <v>5.9894662913636356</v>
      </c>
      <c r="AY243" s="75"/>
      <c r="AZ243" s="75"/>
      <c r="BA243" s="75"/>
      <c r="BB243">
        <v>4.1792479443324169E-2</v>
      </c>
      <c r="BF243">
        <v>8.3584958886648339E-2</v>
      </c>
      <c r="BG243">
        <v>4.1792479443324169E-2</v>
      </c>
      <c r="BH243">
        <v>0</v>
      </c>
      <c r="BI243" s="79" t="s">
        <v>1264</v>
      </c>
      <c r="BJ243" s="79">
        <v>1373</v>
      </c>
      <c r="BK243" s="79">
        <v>10</v>
      </c>
      <c r="BM243" s="79" t="s">
        <v>464</v>
      </c>
      <c r="BN243" s="79" t="s">
        <v>464</v>
      </c>
      <c r="BO243" s="79">
        <v>0</v>
      </c>
      <c r="BQ243" s="79">
        <v>1</v>
      </c>
      <c r="BR243" s="79">
        <v>0</v>
      </c>
      <c r="BS243" s="79" t="s">
        <v>464</v>
      </c>
      <c r="BT243" s="79" t="s">
        <v>464</v>
      </c>
      <c r="BU243" s="79" t="s">
        <v>1266</v>
      </c>
      <c r="BV243" s="79">
        <v>400</v>
      </c>
      <c r="BX243" s="79" t="s">
        <v>1287</v>
      </c>
      <c r="BZ243" s="81">
        <v>60</v>
      </c>
      <c r="CA243">
        <f t="shared" si="34"/>
        <v>4.0943445622221004</v>
      </c>
    </row>
    <row r="244" spans="1:79" x14ac:dyDescent="0.3">
      <c r="A244" s="2" t="s">
        <v>147</v>
      </c>
      <c r="B244" s="13" t="s">
        <v>771</v>
      </c>
      <c r="C244" s="13"/>
      <c r="D244" s="2">
        <v>4.25</v>
      </c>
      <c r="E244" s="2" t="s">
        <v>135</v>
      </c>
      <c r="F244" s="88" t="s">
        <v>576</v>
      </c>
      <c r="G244">
        <v>-1</v>
      </c>
      <c r="I244" s="2">
        <v>1</v>
      </c>
      <c r="J244" s="25">
        <v>0</v>
      </c>
      <c r="K244">
        <v>0</v>
      </c>
      <c r="L244">
        <v>0</v>
      </c>
      <c r="M244" s="2">
        <v>3.76</v>
      </c>
      <c r="N244" s="2">
        <v>3.76</v>
      </c>
      <c r="O244" s="2">
        <v>11.41</v>
      </c>
      <c r="P244" s="2" t="s">
        <v>439</v>
      </c>
      <c r="Q244" s="2"/>
      <c r="R244" s="25">
        <v>0</v>
      </c>
      <c r="S244" s="25"/>
      <c r="T244" s="25"/>
      <c r="U244">
        <v>0</v>
      </c>
      <c r="X244">
        <v>0</v>
      </c>
      <c r="AA244" s="2">
        <v>2</v>
      </c>
      <c r="AB244">
        <v>14</v>
      </c>
      <c r="AC244" s="55">
        <f t="shared" si="37"/>
        <v>161.31001599999999</v>
      </c>
      <c r="AD244" s="57">
        <v>0</v>
      </c>
      <c r="AE244" s="55">
        <v>0</v>
      </c>
      <c r="AF244" s="55">
        <v>0</v>
      </c>
      <c r="AG244" s="52">
        <f t="shared" si="38"/>
        <v>8.678940308331505E-2</v>
      </c>
      <c r="AH244" s="51"/>
      <c r="AI244" s="52"/>
      <c r="AJ244" s="52"/>
      <c r="AK244" s="28">
        <v>1.9090909090909089</v>
      </c>
      <c r="AL244" s="28">
        <v>2.545454545454545</v>
      </c>
      <c r="AM244" s="28">
        <v>0.54545454545454541</v>
      </c>
      <c r="AN244" s="28">
        <v>3.0909090909090908</v>
      </c>
      <c r="AO244" s="28">
        <v>0.2359550561797753</v>
      </c>
      <c r="AP244" s="28">
        <v>0.3146067415730337</v>
      </c>
      <c r="AQ244" s="28">
        <v>6.7415730337078636E-2</v>
      </c>
      <c r="AR244" s="28">
        <v>0.38202247191011229</v>
      </c>
      <c r="AS244" s="25">
        <v>0.79</v>
      </c>
      <c r="AT244" s="25">
        <v>3.44</v>
      </c>
      <c r="AU244" s="25">
        <v>2.65</v>
      </c>
      <c r="AV244" s="25">
        <v>2.64</v>
      </c>
      <c r="AW244">
        <v>2.64</v>
      </c>
      <c r="AX244">
        <v>5.9759431853377274</v>
      </c>
      <c r="AY244" s="75"/>
      <c r="AZ244" s="75"/>
      <c r="BA244" s="75"/>
      <c r="BB244">
        <v>4.3394701541657532E-2</v>
      </c>
      <c r="BF244">
        <v>8.678940308331505E-2</v>
      </c>
      <c r="BG244">
        <v>4.3394701541657532E-2</v>
      </c>
      <c r="BH244">
        <v>0</v>
      </c>
      <c r="BI244" s="79" t="s">
        <v>1264</v>
      </c>
      <c r="BJ244" s="79">
        <v>1373</v>
      </c>
      <c r="BK244" s="79">
        <v>10</v>
      </c>
      <c r="BM244" s="79" t="s">
        <v>464</v>
      </c>
      <c r="BN244" s="79" t="s">
        <v>464</v>
      </c>
      <c r="BO244" s="79">
        <v>0</v>
      </c>
      <c r="BQ244" s="79">
        <v>1</v>
      </c>
      <c r="BR244" s="79">
        <v>0</v>
      </c>
      <c r="BS244" s="79" t="s">
        <v>464</v>
      </c>
      <c r="BT244" s="79" t="s">
        <v>464</v>
      </c>
      <c r="BU244" s="79" t="s">
        <v>1266</v>
      </c>
      <c r="BV244" s="79">
        <v>400</v>
      </c>
      <c r="BX244" s="79" t="s">
        <v>1287</v>
      </c>
      <c r="BZ244" s="81">
        <v>10</v>
      </c>
      <c r="CA244">
        <f t="shared" si="34"/>
        <v>2.3025850929940459</v>
      </c>
    </row>
    <row r="245" spans="1:79" x14ac:dyDescent="0.3">
      <c r="A245" s="2" t="s">
        <v>136</v>
      </c>
      <c r="B245" s="13" t="s">
        <v>760</v>
      </c>
      <c r="C245" s="13"/>
      <c r="D245" s="2">
        <v>3.8</v>
      </c>
      <c r="E245" s="2" t="s">
        <v>135</v>
      </c>
      <c r="F245" s="88" t="s">
        <v>576</v>
      </c>
      <c r="G245">
        <v>-1</v>
      </c>
      <c r="H245" t="s">
        <v>1164</v>
      </c>
      <c r="I245" s="2"/>
      <c r="J245" s="25">
        <v>0</v>
      </c>
      <c r="K245">
        <v>0</v>
      </c>
      <c r="L245">
        <v>1</v>
      </c>
      <c r="M245" s="2">
        <v>3.89</v>
      </c>
      <c r="N245" s="2">
        <v>3.89</v>
      </c>
      <c r="O245" s="2">
        <v>10.34</v>
      </c>
      <c r="P245" s="2" t="s">
        <v>440</v>
      </c>
      <c r="Q245" s="2"/>
      <c r="R245" s="25">
        <v>0</v>
      </c>
      <c r="S245" s="25"/>
      <c r="T245" s="25"/>
      <c r="U245">
        <v>0</v>
      </c>
      <c r="X245">
        <v>3.88</v>
      </c>
      <c r="Y245">
        <v>3.88</v>
      </c>
      <c r="Z245">
        <v>10.66</v>
      </c>
      <c r="AA245" s="2">
        <v>2</v>
      </c>
      <c r="AB245">
        <v>14</v>
      </c>
      <c r="AC245" s="55">
        <f t="shared" ref="AC245:AC247" si="39">M245*N245*O245</f>
        <v>156.465914</v>
      </c>
      <c r="AD245" s="57">
        <v>0</v>
      </c>
      <c r="AE245" s="55">
        <v>0</v>
      </c>
      <c r="AF245" s="55">
        <v>160.479904</v>
      </c>
      <c r="AG245" s="52"/>
      <c r="AH245" s="51"/>
      <c r="AI245" s="52"/>
      <c r="AJ245" s="52">
        <v>8.7238337331009372E-2</v>
      </c>
      <c r="AK245" s="28">
        <v>1.9090909090909089</v>
      </c>
      <c r="AL245" s="28">
        <v>2.545454545454545</v>
      </c>
      <c r="AM245" s="28">
        <v>0.63636363636363635</v>
      </c>
      <c r="AN245" s="28">
        <v>2.545454545454545</v>
      </c>
      <c r="AO245" s="28">
        <v>0.25</v>
      </c>
      <c r="AP245" s="28">
        <v>0.33333333333333331</v>
      </c>
      <c r="AQ245" s="28">
        <v>8.3333333333333329E-2</v>
      </c>
      <c r="AR245" s="28">
        <v>0.33333333333333331</v>
      </c>
      <c r="AS245" s="25">
        <v>1.1000000000000001</v>
      </c>
      <c r="AT245" s="25">
        <v>3.44</v>
      </c>
      <c r="AU245" s="25">
        <v>2.34</v>
      </c>
      <c r="AV245" s="25">
        <v>2.7618181818181822</v>
      </c>
      <c r="AW245">
        <v>2.7618181818181822</v>
      </c>
      <c r="AX245">
        <v>6.4448628590773636</v>
      </c>
      <c r="AY245" s="75"/>
      <c r="AZ245" s="75"/>
      <c r="BA245" s="75">
        <v>0</v>
      </c>
      <c r="BE245">
        <v>4.3619168665504693E-2</v>
      </c>
      <c r="BF245">
        <v>8.7238337331009372E-2</v>
      </c>
      <c r="BG245">
        <v>4.3619168665504693E-2</v>
      </c>
      <c r="BH245">
        <v>0</v>
      </c>
      <c r="BI245" s="79" t="s">
        <v>1264</v>
      </c>
      <c r="BJ245" s="79">
        <v>1373</v>
      </c>
      <c r="BK245" s="79">
        <v>10</v>
      </c>
      <c r="BM245" s="79" t="s">
        <v>1275</v>
      </c>
      <c r="BN245" s="79" t="s">
        <v>56</v>
      </c>
      <c r="BO245" s="79">
        <v>0.5</v>
      </c>
      <c r="BQ245" s="79">
        <v>1</v>
      </c>
      <c r="BR245" s="79">
        <v>0</v>
      </c>
      <c r="BS245" s="79" t="s">
        <v>464</v>
      </c>
      <c r="BT245" s="79" t="s">
        <v>464</v>
      </c>
      <c r="BU245" s="79" t="s">
        <v>1266</v>
      </c>
      <c r="BV245" s="79">
        <v>400</v>
      </c>
      <c r="BX245" s="79" t="s">
        <v>1287</v>
      </c>
      <c r="BZ245" s="81">
        <f>5.3*5</f>
        <v>26.5</v>
      </c>
      <c r="CA245">
        <f t="shared" si="34"/>
        <v>3.2771447329921766</v>
      </c>
    </row>
    <row r="246" spans="1:79" x14ac:dyDescent="0.3">
      <c r="A246" s="2" t="s">
        <v>137</v>
      </c>
      <c r="B246" s="13" t="s">
        <v>761</v>
      </c>
      <c r="C246" s="13"/>
      <c r="D246" s="2">
        <v>3.85</v>
      </c>
      <c r="E246" s="2" t="s">
        <v>135</v>
      </c>
      <c r="F246" s="9" t="s">
        <v>576</v>
      </c>
      <c r="G246" t="s">
        <v>652</v>
      </c>
      <c r="H246" s="2"/>
      <c r="I246" s="2"/>
      <c r="J246" s="25">
        <v>1</v>
      </c>
      <c r="K246">
        <v>2</v>
      </c>
      <c r="L246">
        <v>0</v>
      </c>
      <c r="M246" s="2">
        <v>3.85</v>
      </c>
      <c r="N246" s="2">
        <v>3.85</v>
      </c>
      <c r="O246" s="2">
        <v>12.77</v>
      </c>
      <c r="P246" s="2" t="s">
        <v>440</v>
      </c>
      <c r="Q246" s="2"/>
      <c r="R246" s="25">
        <v>11.210029909999999</v>
      </c>
      <c r="S246" s="25">
        <v>11.210029909999999</v>
      </c>
      <c r="T246" s="25">
        <v>11.210029909999999</v>
      </c>
      <c r="U246">
        <v>3.8955000000000002</v>
      </c>
      <c r="V246">
        <v>3.8955000000000002</v>
      </c>
      <c r="W246">
        <v>21.436</v>
      </c>
      <c r="X246">
        <v>0</v>
      </c>
      <c r="AA246" s="2">
        <v>2</v>
      </c>
      <c r="AB246">
        <v>14</v>
      </c>
      <c r="AC246" s="55">
        <f t="shared" si="39"/>
        <v>189.28332500000002</v>
      </c>
      <c r="AD246" s="57">
        <v>167.3639996655379</v>
      </c>
      <c r="AE246" s="55">
        <v>325.28959047900003</v>
      </c>
      <c r="AF246" s="55">
        <v>0</v>
      </c>
      <c r="AG246" s="52"/>
      <c r="AH246" s="51">
        <v>8.365000853216796E-2</v>
      </c>
      <c r="AI246" s="52">
        <v>8.607714731593176E-2</v>
      </c>
      <c r="AJ246" s="52"/>
      <c r="AK246" s="28">
        <v>1.9090909090909089</v>
      </c>
      <c r="AL246" s="28">
        <v>2.545454545454545</v>
      </c>
      <c r="AM246" s="28">
        <v>0.63636363636363635</v>
      </c>
      <c r="AN246" s="28">
        <v>2.545454545454545</v>
      </c>
      <c r="AO246" s="28">
        <v>0.25</v>
      </c>
      <c r="AP246" s="28">
        <v>0.33333333333333331</v>
      </c>
      <c r="AQ246" s="28">
        <v>8.3333333333333329E-2</v>
      </c>
      <c r="AR246" s="28">
        <v>0.33333333333333331</v>
      </c>
      <c r="AS246" s="25">
        <v>0.93</v>
      </c>
      <c r="AT246" s="25">
        <v>3.44</v>
      </c>
      <c r="AU246" s="25">
        <v>2.5099999999999998</v>
      </c>
      <c r="AV246" s="25">
        <v>2.646363636363636</v>
      </c>
      <c r="AW246">
        <v>2.646363636363636</v>
      </c>
      <c r="AX246">
        <v>6.0509524322727266</v>
      </c>
      <c r="AY246" s="75">
        <v>0.45356967584663088</v>
      </c>
      <c r="AZ246" s="75">
        <v>0</v>
      </c>
      <c r="BA246" s="75"/>
      <c r="BC246">
        <v>4.1825004266083973E-2</v>
      </c>
      <c r="BD246">
        <v>4.303857365796588E-2</v>
      </c>
      <c r="BF246">
        <v>8.486357792404986E-2</v>
      </c>
      <c r="BG246">
        <v>4.243178896202493E-2</v>
      </c>
      <c r="BH246">
        <v>0.22678483792331541</v>
      </c>
      <c r="BI246" s="79" t="s">
        <v>1264</v>
      </c>
      <c r="BJ246" s="79">
        <v>1373</v>
      </c>
      <c r="BK246" s="79">
        <v>10</v>
      </c>
      <c r="BM246" s="79" t="s">
        <v>1275</v>
      </c>
      <c r="BN246" s="79" t="s">
        <v>56</v>
      </c>
      <c r="BO246" s="79">
        <v>0.5</v>
      </c>
      <c r="BQ246" s="79">
        <v>1</v>
      </c>
      <c r="BR246" s="79">
        <v>0</v>
      </c>
      <c r="BS246" s="79" t="s">
        <v>464</v>
      </c>
      <c r="BT246" s="79" t="s">
        <v>464</v>
      </c>
      <c r="BU246" s="79" t="s">
        <v>1266</v>
      </c>
      <c r="BV246" s="79">
        <v>400</v>
      </c>
      <c r="BX246" s="79" t="s">
        <v>1287</v>
      </c>
      <c r="BZ246" s="81">
        <f>55.3*5</f>
        <v>276.5</v>
      </c>
      <c r="CA246">
        <f t="shared" si="34"/>
        <v>5.6222108209623896</v>
      </c>
    </row>
    <row r="247" spans="1:79" x14ac:dyDescent="0.3">
      <c r="A247" s="2" t="s">
        <v>10</v>
      </c>
      <c r="B247" s="13" t="s">
        <v>695</v>
      </c>
      <c r="C247" s="13"/>
      <c r="D247" s="2">
        <v>3.9</v>
      </c>
      <c r="E247" s="2" t="s">
        <v>135</v>
      </c>
      <c r="F247" s="9" t="s">
        <v>531</v>
      </c>
      <c r="G247">
        <v>-1</v>
      </c>
      <c r="I247" s="2"/>
      <c r="J247" s="25">
        <v>1</v>
      </c>
      <c r="K247">
        <v>0</v>
      </c>
      <c r="L247">
        <v>0</v>
      </c>
      <c r="M247" s="2">
        <v>3.88</v>
      </c>
      <c r="N247" s="2">
        <v>3.88</v>
      </c>
      <c r="O247" s="2">
        <v>11.07</v>
      </c>
      <c r="P247" s="2" t="s">
        <v>439</v>
      </c>
      <c r="Q247" s="2"/>
      <c r="R247" s="25">
        <v>3.9103940000000001</v>
      </c>
      <c r="S247" s="25">
        <v>3.9103940000000001</v>
      </c>
      <c r="T247" s="25">
        <v>11.314458</v>
      </c>
      <c r="U247">
        <v>0</v>
      </c>
      <c r="X247">
        <v>0</v>
      </c>
      <c r="AA247" s="2">
        <v>2</v>
      </c>
      <c r="AB247">
        <v>14</v>
      </c>
      <c r="AC247" s="55">
        <f t="shared" si="39"/>
        <v>166.652208</v>
      </c>
      <c r="AD247" s="57">
        <v>173.0114278564659</v>
      </c>
      <c r="AE247" s="55">
        <v>0</v>
      </c>
      <c r="AF247" s="55">
        <v>0</v>
      </c>
      <c r="AG247" s="52"/>
      <c r="AH247" s="51">
        <v>8.0919510193365449E-2</v>
      </c>
      <c r="AI247" s="52"/>
      <c r="AJ247" s="52"/>
      <c r="AK247" s="28">
        <v>1.9090909090909089</v>
      </c>
      <c r="AL247" s="28">
        <v>2.545454545454545</v>
      </c>
      <c r="AM247" s="28">
        <v>0.63636363636363635</v>
      </c>
      <c r="AN247" s="28">
        <v>2.545454545454545</v>
      </c>
      <c r="AO247" s="28">
        <v>0.25</v>
      </c>
      <c r="AP247" s="28">
        <v>0.33333333333333331</v>
      </c>
      <c r="AQ247" s="28">
        <v>8.3333333333333329E-2</v>
      </c>
      <c r="AR247" s="28">
        <v>0.33333333333333331</v>
      </c>
      <c r="AS247" s="25">
        <v>0.82</v>
      </c>
      <c r="AT247" s="25">
        <v>3.44</v>
      </c>
      <c r="AU247" s="25">
        <v>2.62</v>
      </c>
      <c r="AV247" s="25">
        <v>2.6363636363636358</v>
      </c>
      <c r="AW247">
        <v>2.6363636363636371</v>
      </c>
      <c r="AX247">
        <v>6.0044088459090901</v>
      </c>
      <c r="AY247" s="75">
        <v>0.5117218936152963</v>
      </c>
      <c r="AZ247" s="75"/>
      <c r="BA247" s="75"/>
      <c r="BC247">
        <v>4.0459755096682717E-2</v>
      </c>
      <c r="BF247">
        <v>8.0919510193365449E-2</v>
      </c>
      <c r="BG247">
        <v>4.0459755096682717E-2</v>
      </c>
      <c r="BH247">
        <v>0.5117218936152963</v>
      </c>
      <c r="BI247" s="79" t="s">
        <v>1264</v>
      </c>
      <c r="BJ247" s="79">
        <v>1373</v>
      </c>
      <c r="BK247" s="79">
        <v>10</v>
      </c>
      <c r="BM247" s="79" t="s">
        <v>1275</v>
      </c>
      <c r="BN247" s="79" t="s">
        <v>56</v>
      </c>
      <c r="BO247" s="79">
        <v>0.5</v>
      </c>
      <c r="BQ247" s="79">
        <v>1</v>
      </c>
      <c r="BR247" s="79">
        <v>0</v>
      </c>
      <c r="BS247" s="79" t="s">
        <v>464</v>
      </c>
      <c r="BT247" s="79" t="s">
        <v>464</v>
      </c>
      <c r="BU247" s="79" t="s">
        <v>1266</v>
      </c>
      <c r="BV247" s="79">
        <v>400</v>
      </c>
      <c r="BX247" s="79" t="s">
        <v>1287</v>
      </c>
      <c r="BZ247" s="81">
        <f>55.5*5</f>
        <v>277.5</v>
      </c>
      <c r="CA247">
        <f t="shared" si="34"/>
        <v>5.625820933186489</v>
      </c>
    </row>
    <row r="248" spans="1:79" x14ac:dyDescent="0.3">
      <c r="A248" s="2" t="s">
        <v>148</v>
      </c>
      <c r="B248" s="13" t="s">
        <v>772</v>
      </c>
      <c r="C248" s="13"/>
      <c r="D248" s="2">
        <v>4.2</v>
      </c>
      <c r="E248" s="2" t="s">
        <v>149</v>
      </c>
      <c r="F248" s="9" t="s">
        <v>577</v>
      </c>
      <c r="G248" t="s">
        <v>653</v>
      </c>
      <c r="I248" s="2"/>
      <c r="J248" s="25">
        <v>1</v>
      </c>
      <c r="K248">
        <v>2</v>
      </c>
      <c r="L248">
        <v>0</v>
      </c>
      <c r="M248" s="2">
        <v>3.85</v>
      </c>
      <c r="N248" s="2">
        <v>3.85</v>
      </c>
      <c r="O248" s="2">
        <v>28.361999999999998</v>
      </c>
      <c r="P248" s="2" t="s">
        <v>440</v>
      </c>
      <c r="Q248" s="2"/>
      <c r="R248" s="25">
        <v>14.183127929999999</v>
      </c>
      <c r="S248" s="25">
        <v>14.183127929999999</v>
      </c>
      <c r="T248" s="25">
        <v>14.183127929999999</v>
      </c>
      <c r="U248">
        <v>3.8515000000000001</v>
      </c>
      <c r="V248">
        <v>3.8515000000000001</v>
      </c>
      <c r="W248">
        <v>28.338999999999999</v>
      </c>
      <c r="X248">
        <v>0</v>
      </c>
      <c r="AA248" s="2"/>
      <c r="AB248">
        <v>20</v>
      </c>
      <c r="AC248" s="55">
        <f t="shared" si="37"/>
        <v>420.39574500000003</v>
      </c>
      <c r="AD248" s="57">
        <v>215.8165104701838</v>
      </c>
      <c r="AE248" s="55">
        <v>420.38220671275002</v>
      </c>
      <c r="AF248" s="55">
        <v>0</v>
      </c>
      <c r="AG248" s="52"/>
      <c r="AH248" s="51">
        <v>9.2671315815585423E-2</v>
      </c>
      <c r="AI248" s="52">
        <v>9.5151505846992876E-2</v>
      </c>
      <c r="AJ248" s="52"/>
      <c r="AK248" s="28">
        <v>1.9375</v>
      </c>
      <c r="AL248" s="28">
        <v>2.5</v>
      </c>
      <c r="AM248" s="28">
        <v>0.5625</v>
      </c>
      <c r="AN248" s="28">
        <v>2.625</v>
      </c>
      <c r="AO248" s="28">
        <v>0.25409836065573771</v>
      </c>
      <c r="AP248" s="28">
        <v>0.32786885245901642</v>
      </c>
      <c r="AQ248" s="28">
        <v>7.3770491803278687E-2</v>
      </c>
      <c r="AR248" s="28">
        <v>0.34426229508196721</v>
      </c>
      <c r="AS248" s="25">
        <v>0.98</v>
      </c>
      <c r="AT248" s="25">
        <v>3.44</v>
      </c>
      <c r="AU248" s="25">
        <v>2.46</v>
      </c>
      <c r="AV248" s="25">
        <v>2.6175000000000002</v>
      </c>
      <c r="AW248">
        <v>2.6175000000000002</v>
      </c>
      <c r="AX248">
        <v>6.0217141611250007</v>
      </c>
      <c r="AY248" s="75">
        <v>0.48754533225959679</v>
      </c>
      <c r="AZ248" s="75">
        <v>0</v>
      </c>
      <c r="BA248" s="75"/>
      <c r="BC248">
        <v>4.6335657907792711E-2</v>
      </c>
      <c r="BD248">
        <v>4.7575752923496438E-2</v>
      </c>
      <c r="BF248">
        <v>9.3911410831289149E-2</v>
      </c>
      <c r="BG248">
        <v>4.6955705415644568E-2</v>
      </c>
      <c r="BH248">
        <v>0.24377266612979839</v>
      </c>
      <c r="BI248" s="79" t="s">
        <v>1264</v>
      </c>
      <c r="BJ248" s="79">
        <v>1273</v>
      </c>
      <c r="BM248" s="79" t="s">
        <v>1275</v>
      </c>
      <c r="BN248" s="79" t="s">
        <v>56</v>
      </c>
      <c r="BO248" s="79">
        <v>0.5</v>
      </c>
      <c r="BP248" s="79">
        <v>5</v>
      </c>
      <c r="BQ248" s="79">
        <v>1</v>
      </c>
      <c r="BR248" s="79">
        <v>0</v>
      </c>
      <c r="BS248" s="79" t="s">
        <v>464</v>
      </c>
      <c r="BT248" s="79" t="s">
        <v>464</v>
      </c>
      <c r="BU248" s="79" t="s">
        <v>1266</v>
      </c>
      <c r="BV248" s="79">
        <v>400</v>
      </c>
      <c r="BX248" s="79" t="s">
        <v>1287</v>
      </c>
      <c r="BZ248" s="81">
        <f>356*5</f>
        <v>1780</v>
      </c>
      <c r="CA248">
        <f t="shared" si="34"/>
        <v>7.4843686432861309</v>
      </c>
    </row>
    <row r="249" spans="1:79" x14ac:dyDescent="0.3">
      <c r="A249" s="2" t="s">
        <v>1318</v>
      </c>
      <c r="B249" s="13"/>
      <c r="C249" s="13"/>
      <c r="D249" s="2">
        <v>4.2</v>
      </c>
      <c r="E249" s="2" t="s">
        <v>149</v>
      </c>
      <c r="F249" s="9"/>
      <c r="I249" s="2"/>
      <c r="J249" s="25"/>
      <c r="M249" s="2"/>
      <c r="N249" s="2"/>
      <c r="O249" s="2"/>
      <c r="P249" s="2"/>
      <c r="Q249" s="2"/>
      <c r="R249" s="25"/>
      <c r="S249" s="25"/>
      <c r="T249" s="25"/>
      <c r="AA249" s="2"/>
      <c r="AC249" s="55"/>
      <c r="AD249" s="57"/>
      <c r="AE249" s="55"/>
      <c r="AF249" s="55"/>
      <c r="AG249" s="52"/>
      <c r="AH249" s="51"/>
      <c r="AI249" s="52"/>
      <c r="AJ249" s="52"/>
      <c r="AK249" s="28"/>
      <c r="AL249" s="28"/>
      <c r="AM249" s="28"/>
      <c r="AN249" s="28"/>
      <c r="AO249" s="28"/>
      <c r="AP249" s="28"/>
      <c r="AQ249" s="28"/>
      <c r="AR249" s="28"/>
      <c r="AS249" s="25"/>
      <c r="AT249" s="25"/>
      <c r="AU249" s="25"/>
      <c r="AV249" s="25"/>
      <c r="AY249" s="75"/>
      <c r="AZ249" s="75"/>
      <c r="BA249" s="75"/>
      <c r="BI249" s="79" t="s">
        <v>1264</v>
      </c>
      <c r="BJ249" s="79">
        <v>1273</v>
      </c>
      <c r="BM249" s="79" t="s">
        <v>1275</v>
      </c>
      <c r="BN249" s="79" t="s">
        <v>56</v>
      </c>
      <c r="BO249" s="79">
        <v>0.5</v>
      </c>
      <c r="BP249" s="79">
        <v>5</v>
      </c>
      <c r="BQ249" s="79">
        <v>1</v>
      </c>
      <c r="BR249" s="79">
        <v>0</v>
      </c>
      <c r="BS249" s="79" t="s">
        <v>464</v>
      </c>
      <c r="BT249" s="79" t="s">
        <v>464</v>
      </c>
      <c r="BU249" s="79" t="s">
        <v>1266</v>
      </c>
      <c r="BV249" s="79">
        <v>400</v>
      </c>
      <c r="BX249" s="79" t="s">
        <v>1287</v>
      </c>
      <c r="BZ249" s="81">
        <f>293*5</f>
        <v>1465</v>
      </c>
      <c r="CA249">
        <f t="shared" si="34"/>
        <v>7.2896105214511673</v>
      </c>
    </row>
    <row r="250" spans="1:79" x14ac:dyDescent="0.3">
      <c r="A250" s="2" t="s">
        <v>308</v>
      </c>
      <c r="B250" s="13"/>
      <c r="C250" s="13"/>
      <c r="D250" s="2">
        <v>4.2</v>
      </c>
      <c r="E250" s="2" t="s">
        <v>149</v>
      </c>
      <c r="F250" s="9"/>
      <c r="I250" s="2"/>
      <c r="J250" s="25"/>
      <c r="M250" s="2"/>
      <c r="N250" s="2"/>
      <c r="O250" s="2"/>
      <c r="P250" s="2"/>
      <c r="Q250" s="2"/>
      <c r="R250" s="25"/>
      <c r="S250" s="25"/>
      <c r="T250" s="25"/>
      <c r="AA250" s="2"/>
      <c r="AC250" s="55"/>
      <c r="AD250" s="57"/>
      <c r="AE250" s="55"/>
      <c r="AF250" s="55"/>
      <c r="AG250" s="52"/>
      <c r="AH250" s="51"/>
      <c r="AI250" s="52"/>
      <c r="AJ250" s="52"/>
      <c r="AK250" s="28"/>
      <c r="AL250" s="28"/>
      <c r="AM250" s="28"/>
      <c r="AN250" s="28"/>
      <c r="AO250" s="28"/>
      <c r="AP250" s="28"/>
      <c r="AQ250" s="28"/>
      <c r="AR250" s="28"/>
      <c r="AS250" s="25"/>
      <c r="AT250" s="25"/>
      <c r="AU250" s="25"/>
      <c r="AV250" s="25"/>
      <c r="AY250" s="75"/>
      <c r="AZ250" s="75"/>
      <c r="BA250" s="75"/>
      <c r="BI250" s="79" t="s">
        <v>1264</v>
      </c>
      <c r="BJ250" s="79">
        <v>1273</v>
      </c>
      <c r="BM250" s="79" t="s">
        <v>1275</v>
      </c>
      <c r="BN250" s="79" t="s">
        <v>56</v>
      </c>
      <c r="BO250" s="79">
        <v>0.5</v>
      </c>
      <c r="BP250" s="79">
        <v>5</v>
      </c>
      <c r="BQ250" s="79">
        <v>1</v>
      </c>
      <c r="BR250" s="79">
        <v>0</v>
      </c>
      <c r="BS250" s="79" t="s">
        <v>464</v>
      </c>
      <c r="BT250" s="79" t="s">
        <v>464</v>
      </c>
      <c r="BU250" s="79" t="s">
        <v>1266</v>
      </c>
      <c r="BV250" s="79">
        <v>400</v>
      </c>
      <c r="BX250" s="79" t="s">
        <v>1287</v>
      </c>
      <c r="BZ250" s="81">
        <f>177*5</f>
        <v>885</v>
      </c>
      <c r="CA250">
        <f t="shared" si="34"/>
        <v>6.7855876450079293</v>
      </c>
    </row>
    <row r="251" spans="1:79" x14ac:dyDescent="0.3">
      <c r="A251" s="2" t="s">
        <v>203</v>
      </c>
      <c r="B251" s="13"/>
      <c r="C251" s="13"/>
      <c r="D251" s="2">
        <v>4.2</v>
      </c>
      <c r="E251" s="2" t="s">
        <v>149</v>
      </c>
      <c r="F251" s="9"/>
      <c r="I251" s="2"/>
      <c r="J251" s="25"/>
      <c r="M251" s="2"/>
      <c r="N251" s="2"/>
      <c r="O251" s="2"/>
      <c r="P251" s="2"/>
      <c r="Q251" s="2"/>
      <c r="R251" s="25"/>
      <c r="S251" s="25"/>
      <c r="T251" s="25"/>
      <c r="AA251" s="2"/>
      <c r="AC251" s="55"/>
      <c r="AD251" s="57"/>
      <c r="AE251" s="55"/>
      <c r="AF251" s="55"/>
      <c r="AG251" s="52"/>
      <c r="AH251" s="51"/>
      <c r="AI251" s="52"/>
      <c r="AJ251" s="52"/>
      <c r="AK251" s="28"/>
      <c r="AL251" s="28"/>
      <c r="AM251" s="28"/>
      <c r="AN251" s="28"/>
      <c r="AO251" s="28"/>
      <c r="AP251" s="28"/>
      <c r="AQ251" s="28"/>
      <c r="AR251" s="28"/>
      <c r="AS251" s="25"/>
      <c r="AT251" s="25"/>
      <c r="AU251" s="25"/>
      <c r="AV251" s="25"/>
      <c r="AY251" s="75"/>
      <c r="AZ251" s="75"/>
      <c r="BA251" s="75"/>
      <c r="BI251" s="79" t="s">
        <v>1264</v>
      </c>
      <c r="BJ251" s="79">
        <v>1273</v>
      </c>
      <c r="BM251" s="79" t="s">
        <v>1275</v>
      </c>
      <c r="BN251" s="79" t="s">
        <v>56</v>
      </c>
      <c r="BO251" s="79">
        <v>0.5</v>
      </c>
      <c r="BP251" s="79">
        <v>5</v>
      </c>
      <c r="BQ251" s="79">
        <v>1</v>
      </c>
      <c r="BR251" s="79">
        <v>0</v>
      </c>
      <c r="BS251" s="79" t="s">
        <v>464</v>
      </c>
      <c r="BT251" s="79" t="s">
        <v>464</v>
      </c>
      <c r="BU251" s="79" t="s">
        <v>1266</v>
      </c>
      <c r="BV251" s="79">
        <v>400</v>
      </c>
      <c r="BX251" s="79" t="s">
        <v>1287</v>
      </c>
      <c r="BZ251" s="81">
        <f>180*5</f>
        <v>900</v>
      </c>
      <c r="CA251">
        <f t="shared" si="34"/>
        <v>6.8023947633243109</v>
      </c>
    </row>
    <row r="252" spans="1:79" ht="13.8" customHeight="1" x14ac:dyDescent="0.3">
      <c r="A252" s="2" t="s">
        <v>215</v>
      </c>
      <c r="B252" s="13"/>
      <c r="C252" s="13"/>
      <c r="D252" s="2">
        <v>4.2</v>
      </c>
      <c r="E252" s="2" t="s">
        <v>149</v>
      </c>
      <c r="F252" s="9"/>
      <c r="I252" s="2"/>
      <c r="J252" s="25"/>
      <c r="M252" s="2"/>
      <c r="N252" s="2"/>
      <c r="O252" s="2"/>
      <c r="P252" s="2"/>
      <c r="Q252" s="2"/>
      <c r="R252" s="25"/>
      <c r="S252" s="25"/>
      <c r="T252" s="25"/>
      <c r="AA252" s="2"/>
      <c r="AC252" s="55"/>
      <c r="AD252" s="57"/>
      <c r="AE252" s="55"/>
      <c r="AF252" s="55"/>
      <c r="AG252" s="52"/>
      <c r="AH252" s="51"/>
      <c r="AI252" s="52"/>
      <c r="AJ252" s="52"/>
      <c r="AK252" s="28"/>
      <c r="AL252" s="28"/>
      <c r="AM252" s="28"/>
      <c r="AN252" s="28"/>
      <c r="AO252" s="28"/>
      <c r="AP252" s="28"/>
      <c r="AQ252" s="28"/>
      <c r="AR252" s="28"/>
      <c r="AS252" s="25"/>
      <c r="AT252" s="25"/>
      <c r="AU252" s="25"/>
      <c r="AV252" s="25"/>
      <c r="AY252" s="75"/>
      <c r="AZ252" s="75"/>
      <c r="BA252" s="75"/>
      <c r="BI252" s="79" t="s">
        <v>1264</v>
      </c>
      <c r="BJ252" s="79">
        <v>1273</v>
      </c>
      <c r="BM252" s="79" t="s">
        <v>1275</v>
      </c>
      <c r="BN252" s="79" t="s">
        <v>56</v>
      </c>
      <c r="BO252" s="79">
        <v>0.5</v>
      </c>
      <c r="BP252" s="79">
        <v>5</v>
      </c>
      <c r="BQ252" s="79">
        <v>1</v>
      </c>
      <c r="BR252" s="79">
        <v>0</v>
      </c>
      <c r="BS252" s="79" t="s">
        <v>464</v>
      </c>
      <c r="BT252" s="79" t="s">
        <v>464</v>
      </c>
      <c r="BU252" s="79" t="s">
        <v>1266</v>
      </c>
      <c r="BV252" s="79">
        <v>400</v>
      </c>
      <c r="BX252" s="79" t="s">
        <v>1287</v>
      </c>
      <c r="BZ252" s="81">
        <f>89*5</f>
        <v>445</v>
      </c>
      <c r="CA252">
        <f t="shared" si="34"/>
        <v>6.0980742821662401</v>
      </c>
    </row>
    <row r="253" spans="1:79" x14ac:dyDescent="0.3">
      <c r="A253" s="2" t="s">
        <v>148</v>
      </c>
      <c r="B253" s="13" t="s">
        <v>772</v>
      </c>
      <c r="C253" s="13"/>
      <c r="D253" s="2">
        <v>4.2</v>
      </c>
      <c r="E253" s="2" t="s">
        <v>149</v>
      </c>
      <c r="F253" s="9" t="s">
        <v>577</v>
      </c>
      <c r="G253" t="s">
        <v>653</v>
      </c>
      <c r="I253" s="2"/>
      <c r="J253" s="25">
        <v>1</v>
      </c>
      <c r="K253">
        <v>2</v>
      </c>
      <c r="L253">
        <v>0</v>
      </c>
      <c r="M253" s="2">
        <v>3.85</v>
      </c>
      <c r="N253" s="2">
        <v>3.85</v>
      </c>
      <c r="O253" s="2">
        <f>14.1*2</f>
        <v>28.2</v>
      </c>
      <c r="P253" s="2" t="s">
        <v>440</v>
      </c>
      <c r="Q253" s="2"/>
      <c r="R253" s="25"/>
      <c r="S253" s="25"/>
      <c r="T253" s="25"/>
      <c r="AA253" s="2"/>
      <c r="AC253" s="55"/>
      <c r="AD253" s="57"/>
      <c r="AE253" s="55"/>
      <c r="AF253" s="55"/>
      <c r="AG253" s="52"/>
      <c r="AH253" s="51"/>
      <c r="AI253" s="52"/>
      <c r="AJ253" s="52"/>
      <c r="AK253" s="28"/>
      <c r="AL253" s="28"/>
      <c r="AM253" s="28"/>
      <c r="AN253" s="28"/>
      <c r="AO253" s="28"/>
      <c r="AP253" s="28"/>
      <c r="AQ253" s="28"/>
      <c r="AR253" s="28"/>
      <c r="AS253" s="25"/>
      <c r="AT253" s="25"/>
      <c r="AU253" s="25"/>
      <c r="AV253" s="25"/>
      <c r="AY253" s="75"/>
      <c r="AZ253" s="75"/>
      <c r="BA253" s="75"/>
      <c r="BI253" s="79" t="s">
        <v>1264</v>
      </c>
      <c r="BJ253" s="79">
        <v>1273</v>
      </c>
      <c r="BM253" s="79" t="s">
        <v>1275</v>
      </c>
      <c r="BN253" s="79" t="s">
        <v>56</v>
      </c>
      <c r="BO253" s="79">
        <v>0.5</v>
      </c>
      <c r="BP253" s="79">
        <v>5</v>
      </c>
      <c r="BQ253" s="79">
        <v>1</v>
      </c>
      <c r="BR253" s="79">
        <v>0</v>
      </c>
      <c r="BS253" s="79" t="s">
        <v>464</v>
      </c>
      <c r="BT253" s="79" t="s">
        <v>464</v>
      </c>
      <c r="BU253" s="79" t="s">
        <v>1266</v>
      </c>
      <c r="BV253" s="79">
        <v>400</v>
      </c>
      <c r="BX253" s="79" t="s">
        <v>1287</v>
      </c>
      <c r="BZ253" s="81">
        <v>2860</v>
      </c>
      <c r="CA253">
        <f t="shared" si="34"/>
        <v>7.9585769038138983</v>
      </c>
    </row>
    <row r="254" spans="1:79" x14ac:dyDescent="0.3">
      <c r="A254" s="2" t="s">
        <v>1319</v>
      </c>
      <c r="B254" s="13"/>
      <c r="C254" s="13"/>
      <c r="D254" s="2">
        <v>4.2</v>
      </c>
      <c r="E254" s="2" t="s">
        <v>149</v>
      </c>
      <c r="F254" s="9"/>
      <c r="I254" s="2"/>
      <c r="J254" s="25"/>
      <c r="M254" s="2"/>
      <c r="N254" s="2"/>
      <c r="O254" s="2">
        <f>14.2*2</f>
        <v>28.4</v>
      </c>
      <c r="P254" s="2"/>
      <c r="Q254" s="2"/>
      <c r="R254" s="25"/>
      <c r="S254" s="25"/>
      <c r="T254" s="25"/>
      <c r="AA254" s="2"/>
      <c r="AC254" s="55"/>
      <c r="AD254" s="57"/>
      <c r="AE254" s="55"/>
      <c r="AF254" s="55"/>
      <c r="AG254" s="52"/>
      <c r="AH254" s="51"/>
      <c r="AI254" s="52"/>
      <c r="AJ254" s="52"/>
      <c r="AK254" s="28"/>
      <c r="AL254" s="28"/>
      <c r="AM254" s="28"/>
      <c r="AN254" s="28"/>
      <c r="AO254" s="28"/>
      <c r="AP254" s="28"/>
      <c r="AQ254" s="28"/>
      <c r="AR254" s="28"/>
      <c r="AS254" s="25"/>
      <c r="AT254" s="25"/>
      <c r="AU254" s="25"/>
      <c r="AV254" s="25"/>
      <c r="AY254" s="75"/>
      <c r="AZ254" s="75"/>
      <c r="BA254" s="75"/>
      <c r="BI254" s="79" t="s">
        <v>1264</v>
      </c>
      <c r="BJ254" s="79">
        <v>1274</v>
      </c>
      <c r="BM254" s="79" t="s">
        <v>1275</v>
      </c>
      <c r="BN254" s="79" t="s">
        <v>56</v>
      </c>
      <c r="BO254" s="79">
        <v>0.5</v>
      </c>
      <c r="BP254" s="79">
        <v>5</v>
      </c>
      <c r="BQ254" s="79">
        <v>1</v>
      </c>
      <c r="BR254" s="79">
        <v>0</v>
      </c>
      <c r="BS254" s="79" t="s">
        <v>464</v>
      </c>
      <c r="BT254" s="79" t="s">
        <v>464</v>
      </c>
      <c r="BU254" s="79" t="s">
        <v>1266</v>
      </c>
      <c r="BV254" s="79">
        <v>400</v>
      </c>
      <c r="BX254" s="79" t="s">
        <v>1287</v>
      </c>
      <c r="BZ254" s="81">
        <v>5780</v>
      </c>
      <c r="CA254">
        <f t="shared" si="34"/>
        <v>8.6621589616664227</v>
      </c>
    </row>
    <row r="255" spans="1:79" x14ac:dyDescent="0.3">
      <c r="A255" s="2" t="s">
        <v>1320</v>
      </c>
      <c r="B255" s="13"/>
      <c r="C255" s="13"/>
      <c r="D255" s="2">
        <v>4.2</v>
      </c>
      <c r="E255" s="2" t="s">
        <v>149</v>
      </c>
      <c r="F255" s="9"/>
      <c r="I255" s="2"/>
      <c r="J255" s="25"/>
      <c r="M255" s="2"/>
      <c r="N255" s="2"/>
      <c r="O255" s="2">
        <f>14.5*2</f>
        <v>29</v>
      </c>
      <c r="P255" s="2"/>
      <c r="Q255" s="2"/>
      <c r="R255" s="25"/>
      <c r="S255" s="25"/>
      <c r="T255" s="25"/>
      <c r="AA255" s="2"/>
      <c r="AC255" s="55"/>
      <c r="AD255" s="57"/>
      <c r="AE255" s="55"/>
      <c r="AF255" s="55"/>
      <c r="AG255" s="52"/>
      <c r="AH255" s="51"/>
      <c r="AI255" s="52"/>
      <c r="AJ255" s="52"/>
      <c r="AK255" s="28"/>
      <c r="AL255" s="28"/>
      <c r="AM255" s="28"/>
      <c r="AN255" s="28"/>
      <c r="AO255" s="28"/>
      <c r="AP255" s="28"/>
      <c r="AQ255" s="28"/>
      <c r="AR255" s="28"/>
      <c r="AS255" s="25"/>
      <c r="AT255" s="25"/>
      <c r="AU255" s="25"/>
      <c r="AV255" s="25"/>
      <c r="AY255" s="75"/>
      <c r="AZ255" s="75"/>
      <c r="BA255" s="75"/>
      <c r="BI255" s="79" t="s">
        <v>1264</v>
      </c>
      <c r="BJ255" s="79">
        <v>1275</v>
      </c>
      <c r="BM255" s="79" t="s">
        <v>1275</v>
      </c>
      <c r="BN255" s="79" t="s">
        <v>56</v>
      </c>
      <c r="BO255" s="79">
        <v>0.5</v>
      </c>
      <c r="BP255" s="79">
        <v>5</v>
      </c>
      <c r="BQ255" s="79">
        <v>1</v>
      </c>
      <c r="BR255" s="79">
        <v>0</v>
      </c>
      <c r="BS255" s="79" t="s">
        <v>464</v>
      </c>
      <c r="BT255" s="79" t="s">
        <v>464</v>
      </c>
      <c r="BU255" s="79" t="s">
        <v>1266</v>
      </c>
      <c r="BV255" s="79">
        <v>400</v>
      </c>
      <c r="BX255" s="79" t="s">
        <v>1287</v>
      </c>
      <c r="BZ255" s="81">
        <v>6380</v>
      </c>
      <c r="CA255">
        <f t="shared" si="34"/>
        <v>8.7609233763388357</v>
      </c>
    </row>
    <row r="256" spans="1:79" x14ac:dyDescent="0.3">
      <c r="A256" s="2" t="s">
        <v>1321</v>
      </c>
      <c r="B256" s="13"/>
      <c r="C256" s="13"/>
      <c r="D256" s="2">
        <v>4.2</v>
      </c>
      <c r="E256" s="2" t="s">
        <v>149</v>
      </c>
      <c r="F256" s="9"/>
      <c r="I256" s="2"/>
      <c r="J256" s="25"/>
      <c r="M256" s="2"/>
      <c r="N256" s="2"/>
      <c r="O256" s="2">
        <f>14.8*2</f>
        <v>29.6</v>
      </c>
      <c r="P256" s="2"/>
      <c r="Q256" s="2"/>
      <c r="R256" s="25"/>
      <c r="S256" s="25"/>
      <c r="T256" s="25"/>
      <c r="AA256" s="2"/>
      <c r="AC256" s="55"/>
      <c r="AD256" s="57"/>
      <c r="AE256" s="55"/>
      <c r="AF256" s="55"/>
      <c r="AG256" s="52"/>
      <c r="AH256" s="51"/>
      <c r="AI256" s="52"/>
      <c r="AJ256" s="52"/>
      <c r="AK256" s="28"/>
      <c r="AL256" s="28"/>
      <c r="AM256" s="28"/>
      <c r="AN256" s="28"/>
      <c r="AO256" s="28"/>
      <c r="AP256" s="28"/>
      <c r="AQ256" s="28"/>
      <c r="AR256" s="28"/>
      <c r="AS256" s="25"/>
      <c r="AT256" s="25"/>
      <c r="AU256" s="25"/>
      <c r="AV256" s="25"/>
      <c r="AY256" s="75"/>
      <c r="AZ256" s="75"/>
      <c r="BA256" s="75"/>
      <c r="BI256" s="79" t="s">
        <v>1264</v>
      </c>
      <c r="BJ256" s="79">
        <v>1277</v>
      </c>
      <c r="BM256" s="79" t="s">
        <v>1275</v>
      </c>
      <c r="BN256" s="79" t="s">
        <v>56</v>
      </c>
      <c r="BO256" s="79">
        <v>0.5</v>
      </c>
      <c r="BP256" s="79">
        <v>5</v>
      </c>
      <c r="BQ256" s="79">
        <v>1</v>
      </c>
      <c r="BR256" s="79">
        <v>0</v>
      </c>
      <c r="BS256" s="79" t="s">
        <v>464</v>
      </c>
      <c r="BT256" s="79" t="s">
        <v>464</v>
      </c>
      <c r="BU256" s="79" t="s">
        <v>1266</v>
      </c>
      <c r="BV256" s="79">
        <v>400</v>
      </c>
      <c r="BX256" s="79" t="s">
        <v>1287</v>
      </c>
      <c r="BZ256" s="81">
        <v>7080</v>
      </c>
      <c r="CA256">
        <f t="shared" si="34"/>
        <v>8.8650291866877655</v>
      </c>
    </row>
    <row r="257" spans="1:79" x14ac:dyDescent="0.3">
      <c r="A257" s="2" t="s">
        <v>1322</v>
      </c>
      <c r="B257" s="13"/>
      <c r="C257" s="13"/>
      <c r="D257" s="2">
        <v>4.2</v>
      </c>
      <c r="E257" s="2" t="s">
        <v>149</v>
      </c>
      <c r="F257" s="9"/>
      <c r="I257" s="2"/>
      <c r="J257" s="25"/>
      <c r="M257" s="2"/>
      <c r="N257" s="2"/>
      <c r="O257" s="2">
        <f>15.1*2</f>
        <v>30.2</v>
      </c>
      <c r="P257" s="2"/>
      <c r="Q257" s="2"/>
      <c r="R257" s="25"/>
      <c r="S257" s="25"/>
      <c r="T257" s="25"/>
      <c r="AA257" s="2"/>
      <c r="AC257" s="55"/>
      <c r="AD257" s="57"/>
      <c r="AE257" s="55"/>
      <c r="AF257" s="55"/>
      <c r="AG257" s="52"/>
      <c r="AH257" s="51"/>
      <c r="AI257" s="52"/>
      <c r="AJ257" s="52"/>
      <c r="AK257" s="28"/>
      <c r="AL257" s="28"/>
      <c r="AM257" s="28"/>
      <c r="AN257" s="28"/>
      <c r="AO257" s="28"/>
      <c r="AP257" s="28"/>
      <c r="AQ257" s="28"/>
      <c r="AR257" s="28"/>
      <c r="AS257" s="25"/>
      <c r="AT257" s="25"/>
      <c r="AU257" s="25"/>
      <c r="AV257" s="25"/>
      <c r="AY257" s="75"/>
      <c r="AZ257" s="75"/>
      <c r="BA257" s="75"/>
      <c r="BI257" s="79" t="s">
        <v>1264</v>
      </c>
      <c r="BJ257" s="79">
        <v>1278</v>
      </c>
      <c r="BM257" s="79" t="s">
        <v>1275</v>
      </c>
      <c r="BN257" s="79" t="s">
        <v>56</v>
      </c>
      <c r="BO257" s="79">
        <v>0.5</v>
      </c>
      <c r="BP257" s="79">
        <v>5</v>
      </c>
      <c r="BQ257" s="79">
        <v>1</v>
      </c>
      <c r="BR257" s="79">
        <v>0</v>
      </c>
      <c r="BS257" s="79" t="s">
        <v>464</v>
      </c>
      <c r="BT257" s="79" t="s">
        <v>464</v>
      </c>
      <c r="BU257" s="79" t="s">
        <v>1266</v>
      </c>
      <c r="BV257" s="79">
        <v>400</v>
      </c>
      <c r="BX257" s="79" t="s">
        <v>1287</v>
      </c>
      <c r="BZ257" s="81">
        <v>4940</v>
      </c>
      <c r="CA257">
        <f t="shared" si="34"/>
        <v>8.5051206101819687</v>
      </c>
    </row>
    <row r="258" spans="1:79" x14ac:dyDescent="0.3">
      <c r="A258" s="2" t="s">
        <v>1323</v>
      </c>
      <c r="B258" s="13"/>
      <c r="C258" s="13"/>
      <c r="D258" s="2">
        <v>4.2</v>
      </c>
      <c r="E258" s="2" t="s">
        <v>149</v>
      </c>
      <c r="F258" s="9"/>
      <c r="I258" s="2"/>
      <c r="J258" s="25"/>
      <c r="M258" s="2"/>
      <c r="N258" s="2"/>
      <c r="O258" s="2">
        <f>14.4*2</f>
        <v>28.8</v>
      </c>
      <c r="P258" s="2"/>
      <c r="Q258" s="2"/>
      <c r="R258" s="25"/>
      <c r="S258" s="25"/>
      <c r="T258" s="25"/>
      <c r="AA258" s="2"/>
      <c r="AC258" s="55"/>
      <c r="AD258" s="57"/>
      <c r="AE258" s="55"/>
      <c r="AF258" s="55"/>
      <c r="AG258" s="52"/>
      <c r="AH258" s="51"/>
      <c r="AI258" s="52"/>
      <c r="AJ258" s="52"/>
      <c r="AK258" s="28"/>
      <c r="AL258" s="28"/>
      <c r="AM258" s="28"/>
      <c r="AN258" s="28"/>
      <c r="AO258" s="28"/>
      <c r="AP258" s="28"/>
      <c r="AQ258" s="28"/>
      <c r="AR258" s="28"/>
      <c r="AS258" s="25"/>
      <c r="AT258" s="25"/>
      <c r="AU258" s="25"/>
      <c r="AV258" s="25"/>
      <c r="AY258" s="75"/>
      <c r="AZ258" s="75"/>
      <c r="BA258" s="75"/>
      <c r="BI258" s="79" t="s">
        <v>1264</v>
      </c>
      <c r="BJ258" s="79">
        <v>1279</v>
      </c>
      <c r="BM258" s="79" t="s">
        <v>1275</v>
      </c>
      <c r="BN258" s="79" t="s">
        <v>56</v>
      </c>
      <c r="BO258" s="79">
        <v>0.5</v>
      </c>
      <c r="BP258" s="79">
        <v>5</v>
      </c>
      <c r="BQ258" s="79">
        <v>1</v>
      </c>
      <c r="BR258" s="79">
        <v>0</v>
      </c>
      <c r="BS258" s="79" t="s">
        <v>464</v>
      </c>
      <c r="BT258" s="79" t="s">
        <v>464</v>
      </c>
      <c r="BU258" s="79" t="s">
        <v>1266</v>
      </c>
      <c r="BV258" s="79">
        <v>400</v>
      </c>
      <c r="BX258" s="79" t="s">
        <v>1287</v>
      </c>
      <c r="BZ258" s="81">
        <v>5310</v>
      </c>
      <c r="CA258">
        <f t="shared" si="34"/>
        <v>8.5773471142359838</v>
      </c>
    </row>
    <row r="259" spans="1:79" x14ac:dyDescent="0.3">
      <c r="A259" s="2" t="s">
        <v>1324</v>
      </c>
      <c r="B259" s="13"/>
      <c r="C259" s="13"/>
      <c r="D259" s="2">
        <v>4.2</v>
      </c>
      <c r="E259" s="2" t="s">
        <v>149</v>
      </c>
      <c r="F259" s="9"/>
      <c r="I259" s="2"/>
      <c r="J259" s="25"/>
      <c r="M259" s="2"/>
      <c r="N259" s="2"/>
      <c r="O259" s="2">
        <f>14.7*2</f>
        <v>29.4</v>
      </c>
      <c r="P259" s="2"/>
      <c r="Q259" s="2"/>
      <c r="R259" s="25"/>
      <c r="S259" s="25"/>
      <c r="T259" s="25"/>
      <c r="AA259" s="2"/>
      <c r="AC259" s="55"/>
      <c r="AD259" s="57"/>
      <c r="AE259" s="55"/>
      <c r="AF259" s="55"/>
      <c r="AG259" s="52"/>
      <c r="AH259" s="51"/>
      <c r="AI259" s="52"/>
      <c r="AJ259" s="52"/>
      <c r="AK259" s="28"/>
      <c r="AL259" s="28"/>
      <c r="AM259" s="28"/>
      <c r="AN259" s="28"/>
      <c r="AO259" s="28"/>
      <c r="AP259" s="28"/>
      <c r="AQ259" s="28"/>
      <c r="AR259" s="28"/>
      <c r="AS259" s="25"/>
      <c r="AT259" s="25"/>
      <c r="AU259" s="25"/>
      <c r="AV259" s="25"/>
      <c r="AY259" s="75"/>
      <c r="AZ259" s="75"/>
      <c r="BA259" s="75"/>
      <c r="BI259" s="79" t="s">
        <v>1264</v>
      </c>
      <c r="BJ259" s="79">
        <v>1280</v>
      </c>
      <c r="BM259" s="79" t="s">
        <v>1275</v>
      </c>
      <c r="BN259" s="79" t="s">
        <v>56</v>
      </c>
      <c r="BO259" s="79">
        <v>0.5</v>
      </c>
      <c r="BP259" s="79">
        <v>5</v>
      </c>
      <c r="BQ259" s="79">
        <v>1</v>
      </c>
      <c r="BR259" s="79">
        <v>0</v>
      </c>
      <c r="BS259" s="79" t="s">
        <v>464</v>
      </c>
      <c r="BT259" s="79" t="s">
        <v>464</v>
      </c>
      <c r="BU259" s="79" t="s">
        <v>1266</v>
      </c>
      <c r="BV259" s="79">
        <v>400</v>
      </c>
      <c r="BX259" s="79" t="s">
        <v>1287</v>
      </c>
      <c r="BZ259" s="81">
        <v>6320</v>
      </c>
      <c r="CA259">
        <f t="shared" ref="CA259:CA322" si="40">LN(BZ259)</f>
        <v>8.7514744871409036</v>
      </c>
    </row>
    <row r="260" spans="1:79" x14ac:dyDescent="0.3">
      <c r="A260" s="2" t="s">
        <v>1325</v>
      </c>
      <c r="B260" s="13"/>
      <c r="C260" s="13"/>
      <c r="D260" s="2">
        <v>4.2</v>
      </c>
      <c r="E260" s="2" t="s">
        <v>149</v>
      </c>
      <c r="F260" s="9"/>
      <c r="I260" s="2"/>
      <c r="J260" s="25"/>
      <c r="M260" s="2"/>
      <c r="N260" s="2"/>
      <c r="O260" s="2">
        <f>14.9*2</f>
        <v>29.8</v>
      </c>
      <c r="P260" s="2"/>
      <c r="Q260" s="2"/>
      <c r="R260" s="25"/>
      <c r="S260" s="25"/>
      <c r="T260" s="25"/>
      <c r="AA260" s="2"/>
      <c r="AC260" s="55"/>
      <c r="AD260" s="57"/>
      <c r="AE260" s="55"/>
      <c r="AF260" s="55"/>
      <c r="AG260" s="52"/>
      <c r="AH260" s="51"/>
      <c r="AI260" s="52"/>
      <c r="AJ260" s="52"/>
      <c r="AK260" s="28"/>
      <c r="AL260" s="28"/>
      <c r="AM260" s="28"/>
      <c r="AN260" s="28"/>
      <c r="AO260" s="28"/>
      <c r="AP260" s="28"/>
      <c r="AQ260" s="28"/>
      <c r="AR260" s="28"/>
      <c r="AS260" s="25"/>
      <c r="AT260" s="25"/>
      <c r="AU260" s="25"/>
      <c r="AV260" s="25"/>
      <c r="AY260" s="75"/>
      <c r="AZ260" s="75"/>
      <c r="BA260" s="75"/>
      <c r="BI260" s="79" t="s">
        <v>1264</v>
      </c>
      <c r="BJ260" s="79">
        <v>1281</v>
      </c>
      <c r="BM260" s="79" t="s">
        <v>1275</v>
      </c>
      <c r="BN260" s="79" t="s">
        <v>56</v>
      </c>
      <c r="BO260" s="79">
        <v>0.5</v>
      </c>
      <c r="BP260" s="79">
        <v>5</v>
      </c>
      <c r="BQ260" s="79">
        <v>1</v>
      </c>
      <c r="BR260" s="79">
        <v>0</v>
      </c>
      <c r="BS260" s="79" t="s">
        <v>464</v>
      </c>
      <c r="BT260" s="79" t="s">
        <v>464</v>
      </c>
      <c r="BU260" s="79" t="s">
        <v>1266</v>
      </c>
      <c r="BV260" s="79">
        <v>400</v>
      </c>
      <c r="BX260" s="79" t="s">
        <v>1287</v>
      </c>
      <c r="BZ260" s="81">
        <v>4240</v>
      </c>
      <c r="CA260">
        <f t="shared" si="40"/>
        <v>8.3523185482260036</v>
      </c>
    </row>
    <row r="261" spans="1:79" x14ac:dyDescent="0.3">
      <c r="A261" s="2" t="s">
        <v>1326</v>
      </c>
      <c r="B261" s="13"/>
      <c r="C261" s="13"/>
      <c r="D261" s="2">
        <v>4.2</v>
      </c>
      <c r="E261" s="2" t="s">
        <v>149</v>
      </c>
      <c r="F261" s="9"/>
      <c r="I261" s="2"/>
      <c r="J261" s="25"/>
      <c r="M261" s="2"/>
      <c r="N261" s="2"/>
      <c r="O261" s="2">
        <f>15*2</f>
        <v>30</v>
      </c>
      <c r="P261" s="2"/>
      <c r="Q261" s="2"/>
      <c r="R261" s="25"/>
      <c r="S261" s="25"/>
      <c r="T261" s="25"/>
      <c r="AA261" s="2"/>
      <c r="AC261" s="55"/>
      <c r="AD261" s="57"/>
      <c r="AE261" s="55"/>
      <c r="AF261" s="55"/>
      <c r="AG261" s="52"/>
      <c r="AH261" s="51"/>
      <c r="AI261" s="52"/>
      <c r="AJ261" s="52"/>
      <c r="AK261" s="28"/>
      <c r="AL261" s="28"/>
      <c r="AM261" s="28"/>
      <c r="AN261" s="28"/>
      <c r="AO261" s="28"/>
      <c r="AP261" s="28"/>
      <c r="AQ261" s="28"/>
      <c r="AR261" s="28"/>
      <c r="AS261" s="25"/>
      <c r="AT261" s="25"/>
      <c r="AU261" s="25"/>
      <c r="AV261" s="25"/>
      <c r="AY261" s="75"/>
      <c r="AZ261" s="75"/>
      <c r="BA261" s="75"/>
      <c r="BI261" s="79" t="s">
        <v>1264</v>
      </c>
      <c r="BJ261" s="79">
        <v>1282</v>
      </c>
      <c r="BM261" s="79" t="s">
        <v>1275</v>
      </c>
      <c r="BN261" s="79" t="s">
        <v>56</v>
      </c>
      <c r="BO261" s="79">
        <v>0.5</v>
      </c>
      <c r="BP261" s="79">
        <v>5</v>
      </c>
      <c r="BQ261" s="79">
        <v>1</v>
      </c>
      <c r="BR261" s="79">
        <v>0</v>
      </c>
      <c r="BS261" s="79" t="s">
        <v>464</v>
      </c>
      <c r="BT261" s="79" t="s">
        <v>464</v>
      </c>
      <c r="BU261" s="79" t="s">
        <v>1266</v>
      </c>
      <c r="BV261" s="79">
        <v>400</v>
      </c>
      <c r="BX261" s="79" t="s">
        <v>1287</v>
      </c>
      <c r="BZ261" s="81">
        <v>5070</v>
      </c>
      <c r="CA261">
        <f t="shared" si="40"/>
        <v>8.5310960965852285</v>
      </c>
    </row>
    <row r="262" spans="1:79" x14ac:dyDescent="0.3">
      <c r="A262" s="2" t="s">
        <v>1327</v>
      </c>
      <c r="B262" s="13"/>
      <c r="C262" s="13"/>
      <c r="D262" s="2">
        <v>4.2</v>
      </c>
      <c r="E262" s="2" t="s">
        <v>149</v>
      </c>
      <c r="F262" s="9"/>
      <c r="I262" s="2"/>
      <c r="J262" s="25"/>
      <c r="M262" s="2"/>
      <c r="N262" s="2"/>
      <c r="O262" s="2">
        <f>14.5*2</f>
        <v>29</v>
      </c>
      <c r="P262" s="2"/>
      <c r="Q262" s="2"/>
      <c r="R262" s="25"/>
      <c r="S262" s="25"/>
      <c r="T262" s="25"/>
      <c r="AA262" s="2"/>
      <c r="AC262" s="55"/>
      <c r="AD262" s="57"/>
      <c r="AE262" s="55"/>
      <c r="AF262" s="55"/>
      <c r="AG262" s="52"/>
      <c r="AH262" s="51"/>
      <c r="AI262" s="52"/>
      <c r="AJ262" s="52"/>
      <c r="AK262" s="28"/>
      <c r="AL262" s="28"/>
      <c r="AM262" s="28"/>
      <c r="AN262" s="28"/>
      <c r="AO262" s="28"/>
      <c r="AP262" s="28"/>
      <c r="AQ262" s="28"/>
      <c r="AR262" s="28"/>
      <c r="AS262" s="25"/>
      <c r="AT262" s="25"/>
      <c r="AU262" s="25"/>
      <c r="AV262" s="25"/>
      <c r="AY262" s="75"/>
      <c r="AZ262" s="75"/>
      <c r="BA262" s="75"/>
      <c r="BI262" s="79" t="s">
        <v>1264</v>
      </c>
      <c r="BJ262" s="79">
        <v>1283</v>
      </c>
      <c r="BM262" s="79" t="s">
        <v>1275</v>
      </c>
      <c r="BN262" s="79" t="s">
        <v>56</v>
      </c>
      <c r="BO262" s="79">
        <v>0.5</v>
      </c>
      <c r="BP262" s="79">
        <v>5</v>
      </c>
      <c r="BQ262" s="79">
        <v>1</v>
      </c>
      <c r="BR262" s="79">
        <v>0</v>
      </c>
      <c r="BS262" s="79" t="s">
        <v>464</v>
      </c>
      <c r="BT262" s="79" t="s">
        <v>464</v>
      </c>
      <c r="BU262" s="79" t="s">
        <v>1266</v>
      </c>
      <c r="BV262" s="79">
        <v>400</v>
      </c>
      <c r="BX262" s="79" t="s">
        <v>1287</v>
      </c>
      <c r="BZ262" s="81">
        <v>6660</v>
      </c>
      <c r="CA262">
        <f t="shared" si="40"/>
        <v>8.8038747635344343</v>
      </c>
    </row>
    <row r="263" spans="1:79" x14ac:dyDescent="0.3">
      <c r="A263" s="2" t="s">
        <v>1328</v>
      </c>
      <c r="B263" s="13"/>
      <c r="C263" s="13"/>
      <c r="D263" s="2">
        <v>4.2</v>
      </c>
      <c r="E263" s="2" t="s">
        <v>149</v>
      </c>
      <c r="F263" s="9"/>
      <c r="I263" s="2"/>
      <c r="J263" s="25"/>
      <c r="M263" s="2"/>
      <c r="N263" s="2"/>
      <c r="O263" s="2">
        <f>14.9*2</f>
        <v>29.8</v>
      </c>
      <c r="P263" s="2"/>
      <c r="Q263" s="2"/>
      <c r="R263" s="25"/>
      <c r="S263" s="25"/>
      <c r="T263" s="25"/>
      <c r="AA263" s="2"/>
      <c r="AC263" s="55"/>
      <c r="AD263" s="57"/>
      <c r="AE263" s="55"/>
      <c r="AF263" s="55"/>
      <c r="AG263" s="52"/>
      <c r="AH263" s="51"/>
      <c r="AI263" s="52"/>
      <c r="AJ263" s="52"/>
      <c r="AK263" s="28"/>
      <c r="AL263" s="28"/>
      <c r="AM263" s="28"/>
      <c r="AN263" s="28"/>
      <c r="AO263" s="28"/>
      <c r="AP263" s="28"/>
      <c r="AQ263" s="28"/>
      <c r="AR263" s="28"/>
      <c r="AS263" s="25"/>
      <c r="AT263" s="25"/>
      <c r="AU263" s="25"/>
      <c r="AV263" s="25"/>
      <c r="AY263" s="75"/>
      <c r="AZ263" s="75"/>
      <c r="BA263" s="75"/>
      <c r="BI263" s="79" t="s">
        <v>1264</v>
      </c>
      <c r="BJ263" s="79">
        <v>1284</v>
      </c>
      <c r="BM263" s="79" t="s">
        <v>1275</v>
      </c>
      <c r="BN263" s="79" t="s">
        <v>56</v>
      </c>
      <c r="BO263" s="79">
        <v>0.5</v>
      </c>
      <c r="BP263" s="79">
        <v>5</v>
      </c>
      <c r="BQ263" s="79">
        <v>1</v>
      </c>
      <c r="BR263" s="79">
        <v>0</v>
      </c>
      <c r="BS263" s="79" t="s">
        <v>464</v>
      </c>
      <c r="BT263" s="79" t="s">
        <v>464</v>
      </c>
      <c r="BU263" s="79" t="s">
        <v>1266</v>
      </c>
      <c r="BV263" s="79">
        <v>400</v>
      </c>
      <c r="BX263" s="79" t="s">
        <v>1287</v>
      </c>
      <c r="BZ263" s="81">
        <v>5090</v>
      </c>
      <c r="CA263">
        <f t="shared" si="40"/>
        <v>8.5350331095445693</v>
      </c>
    </row>
    <row r="264" spans="1:79" x14ac:dyDescent="0.3">
      <c r="A264" s="2" t="s">
        <v>1329</v>
      </c>
      <c r="B264" s="13"/>
      <c r="C264" s="13"/>
      <c r="D264" s="2">
        <v>4.2</v>
      </c>
      <c r="E264" s="2" t="s">
        <v>149</v>
      </c>
      <c r="F264" s="9"/>
      <c r="I264" s="2"/>
      <c r="J264" s="25"/>
      <c r="M264" s="2"/>
      <c r="N264" s="2"/>
      <c r="O264" s="2">
        <f>15.2*2</f>
        <v>30.4</v>
      </c>
      <c r="P264" s="2"/>
      <c r="Q264" s="2"/>
      <c r="R264" s="25"/>
      <c r="S264" s="25"/>
      <c r="T264" s="25"/>
      <c r="AA264" s="2"/>
      <c r="AC264" s="55"/>
      <c r="AD264" s="57"/>
      <c r="AE264" s="55"/>
      <c r="AF264" s="55"/>
      <c r="AG264" s="52"/>
      <c r="AH264" s="51"/>
      <c r="AI264" s="52"/>
      <c r="AJ264" s="52"/>
      <c r="AK264" s="28"/>
      <c r="AL264" s="28"/>
      <c r="AM264" s="28"/>
      <c r="AN264" s="28"/>
      <c r="AO264" s="28"/>
      <c r="AP264" s="28"/>
      <c r="AQ264" s="28"/>
      <c r="AR264" s="28"/>
      <c r="AS264" s="25"/>
      <c r="AT264" s="25"/>
      <c r="AU264" s="25"/>
      <c r="AV264" s="25"/>
      <c r="AY264" s="75"/>
      <c r="AZ264" s="75"/>
      <c r="BA264" s="75"/>
      <c r="BI264" s="79" t="s">
        <v>1264</v>
      </c>
      <c r="BJ264" s="79">
        <v>1285</v>
      </c>
      <c r="BM264" s="79" t="s">
        <v>1275</v>
      </c>
      <c r="BN264" s="79" t="s">
        <v>56</v>
      </c>
      <c r="BO264" s="79">
        <v>0.5</v>
      </c>
      <c r="BP264" s="79">
        <v>5</v>
      </c>
      <c r="BQ264" s="79">
        <v>1</v>
      </c>
      <c r="BR264" s="79">
        <v>0</v>
      </c>
      <c r="BS264" s="79" t="s">
        <v>464</v>
      </c>
      <c r="BT264" s="79" t="s">
        <v>464</v>
      </c>
      <c r="BU264" s="79" t="s">
        <v>1266</v>
      </c>
      <c r="BV264" s="79">
        <v>400</v>
      </c>
      <c r="BX264" s="79" t="s">
        <v>1287</v>
      </c>
      <c r="BZ264" s="81">
        <v>2870</v>
      </c>
      <c r="CA264">
        <f t="shared" si="40"/>
        <v>7.9620673087536664</v>
      </c>
    </row>
    <row r="265" spans="1:79" x14ac:dyDescent="0.3">
      <c r="A265" s="2" t="s">
        <v>63</v>
      </c>
      <c r="B265" s="13" t="s">
        <v>773</v>
      </c>
      <c r="C265" s="13"/>
      <c r="D265" s="2">
        <v>3.5</v>
      </c>
      <c r="E265" s="2" t="s">
        <v>152</v>
      </c>
      <c r="F265" s="9">
        <v>-1</v>
      </c>
      <c r="G265">
        <v>-1</v>
      </c>
      <c r="H265" t="s">
        <v>1144</v>
      </c>
      <c r="I265" s="2"/>
      <c r="J265" s="25">
        <v>0</v>
      </c>
      <c r="K265">
        <v>0</v>
      </c>
      <c r="L265">
        <v>1</v>
      </c>
      <c r="M265" s="2">
        <v>3.85</v>
      </c>
      <c r="N265" s="2">
        <v>3.85</v>
      </c>
      <c r="O265" s="2">
        <v>29.296700000000001</v>
      </c>
      <c r="P265" s="2" t="s">
        <v>519</v>
      </c>
      <c r="R265" s="25">
        <v>0</v>
      </c>
      <c r="S265" s="25"/>
      <c r="T265" s="25"/>
      <c r="U265">
        <v>0</v>
      </c>
      <c r="X265">
        <v>3.8653</v>
      </c>
      <c r="Y265">
        <v>3.8653</v>
      </c>
      <c r="Z265">
        <v>11.0131</v>
      </c>
      <c r="AA265" s="2"/>
      <c r="AB265">
        <v>20</v>
      </c>
      <c r="AC265" s="55">
        <f t="shared" si="37"/>
        <v>434.25033575000009</v>
      </c>
      <c r="AD265" s="57">
        <v>0</v>
      </c>
      <c r="AE265" s="55">
        <v>0</v>
      </c>
      <c r="AF265" s="55">
        <v>164.541706117579</v>
      </c>
      <c r="AG265" s="52"/>
      <c r="AH265" s="51"/>
      <c r="AI265" s="52"/>
      <c r="AJ265" s="52">
        <v>0.12154973028970729</v>
      </c>
      <c r="AK265" s="28">
        <v>1.75</v>
      </c>
      <c r="AL265" s="28">
        <v>2.5</v>
      </c>
      <c r="AM265" s="28">
        <v>0.75</v>
      </c>
      <c r="AN265" s="28">
        <v>0</v>
      </c>
      <c r="AO265" s="28">
        <v>0.35</v>
      </c>
      <c r="AP265" s="28">
        <v>0.5</v>
      </c>
      <c r="AQ265" s="28">
        <v>0.15</v>
      </c>
      <c r="AR265" s="28">
        <v>0</v>
      </c>
      <c r="AS265" s="25">
        <v>1</v>
      </c>
      <c r="AT265" s="25">
        <v>3.44</v>
      </c>
      <c r="AU265" s="25">
        <v>2.44</v>
      </c>
      <c r="AV265" s="25">
        <v>2.7124999999999999</v>
      </c>
      <c r="AW265">
        <v>2.7124999999999999</v>
      </c>
      <c r="AX265">
        <v>6.264025610615688</v>
      </c>
      <c r="AY265" s="75"/>
      <c r="AZ265" s="75"/>
      <c r="BA265" s="75">
        <v>0.53381265134868672</v>
      </c>
      <c r="BE265">
        <v>6.0774865144853633E-2</v>
      </c>
      <c r="BF265">
        <v>0.12154973028970729</v>
      </c>
      <c r="BG265">
        <v>6.0774865144853633E-2</v>
      </c>
      <c r="BH265">
        <v>0.53381265134868672</v>
      </c>
      <c r="BI265" s="79" t="s">
        <v>1264</v>
      </c>
      <c r="BJ265" s="79">
        <f>1250+273</f>
        <v>1523</v>
      </c>
      <c r="BK265" s="79">
        <v>2</v>
      </c>
      <c r="BM265" s="79" t="s">
        <v>1268</v>
      </c>
      <c r="BN265" s="79" t="s">
        <v>863</v>
      </c>
      <c r="BO265" s="79">
        <v>0.3</v>
      </c>
      <c r="BP265" s="79">
        <v>50</v>
      </c>
      <c r="BQ265" s="79">
        <v>2.5</v>
      </c>
      <c r="BR265" s="79">
        <v>7</v>
      </c>
      <c r="BS265" s="79" t="s">
        <v>464</v>
      </c>
      <c r="BT265" s="79" t="s">
        <v>464</v>
      </c>
      <c r="BU265" s="79" t="s">
        <v>1271</v>
      </c>
      <c r="BV265" s="79">
        <v>300</v>
      </c>
      <c r="BW265" s="79">
        <v>300</v>
      </c>
      <c r="BX265" s="79" t="s">
        <v>1311</v>
      </c>
      <c r="BZ265" s="81">
        <f>4.2*200</f>
        <v>840</v>
      </c>
      <c r="CA265">
        <f t="shared" si="40"/>
        <v>6.7334018918373593</v>
      </c>
    </row>
    <row r="266" spans="1:79" x14ac:dyDescent="0.3">
      <c r="A266" s="2" t="s">
        <v>151</v>
      </c>
      <c r="B266" s="13" t="s">
        <v>774</v>
      </c>
      <c r="C266" s="13"/>
      <c r="D266" s="2">
        <v>3.3</v>
      </c>
      <c r="E266" s="2" t="s">
        <v>152</v>
      </c>
      <c r="F266" s="9">
        <v>-1</v>
      </c>
      <c r="G266">
        <v>-1</v>
      </c>
      <c r="I266" s="2">
        <v>2</v>
      </c>
      <c r="J266" s="25">
        <v>0</v>
      </c>
      <c r="K266">
        <v>0</v>
      </c>
      <c r="L266">
        <v>0</v>
      </c>
      <c r="M266" s="2">
        <v>3.89</v>
      </c>
      <c r="N266" s="2">
        <v>3.89</v>
      </c>
      <c r="O266" s="2">
        <v>33.299999999999997</v>
      </c>
      <c r="P266" s="2" t="s">
        <v>519</v>
      </c>
      <c r="Q266" s="2"/>
      <c r="R266" s="25">
        <v>0</v>
      </c>
      <c r="S266" s="25"/>
      <c r="T266" s="25"/>
      <c r="U266">
        <v>0</v>
      </c>
      <c r="X266">
        <v>0</v>
      </c>
      <c r="AA266" s="2"/>
      <c r="AB266">
        <v>20</v>
      </c>
      <c r="AC266" s="55">
        <f t="shared" si="37"/>
        <v>503.89893000000001</v>
      </c>
      <c r="AD266" s="57">
        <v>0</v>
      </c>
      <c r="AE266" s="55">
        <v>0</v>
      </c>
      <c r="AF266" s="55">
        <v>0</v>
      </c>
      <c r="AG266" s="52">
        <f t="shared" ref="AG266:AG304" si="41">I266*AB266/AC266</f>
        <v>7.9380998090232108E-2</v>
      </c>
      <c r="AH266" s="51"/>
      <c r="AI266" s="52"/>
      <c r="AJ266" s="52"/>
      <c r="AK266" s="28">
        <v>1.75</v>
      </c>
      <c r="AL266" s="28">
        <v>2.5</v>
      </c>
      <c r="AM266" s="28">
        <v>0.75</v>
      </c>
      <c r="AN266" s="28">
        <v>0</v>
      </c>
      <c r="AO266" s="28">
        <v>0.35</v>
      </c>
      <c r="AP266" s="28">
        <v>0.5</v>
      </c>
      <c r="AQ266" s="28">
        <v>0.15</v>
      </c>
      <c r="AR266" s="28">
        <v>0</v>
      </c>
      <c r="AS266" s="25">
        <v>0.95</v>
      </c>
      <c r="AT266" s="25">
        <v>3.44</v>
      </c>
      <c r="AU266" s="25">
        <v>2.4900000000000002</v>
      </c>
      <c r="AV266" s="25">
        <v>2.7062499999999998</v>
      </c>
      <c r="AW266">
        <v>2.7062499999999998</v>
      </c>
      <c r="AX266">
        <v>6.2396022968656872</v>
      </c>
      <c r="AY266" s="75"/>
      <c r="AZ266" s="75"/>
      <c r="BA266" s="75"/>
      <c r="BB266">
        <v>3.9690499045116047E-2</v>
      </c>
      <c r="BF266">
        <v>7.9380998090232108E-2</v>
      </c>
      <c r="BG266">
        <v>3.9690499045116047E-2</v>
      </c>
      <c r="BH266">
        <v>0</v>
      </c>
      <c r="BI266" s="79" t="s">
        <v>1264</v>
      </c>
      <c r="BJ266" s="79">
        <f>1250+273</f>
        <v>1523</v>
      </c>
      <c r="BK266" s="79">
        <v>2</v>
      </c>
      <c r="BM266" s="79" t="s">
        <v>1268</v>
      </c>
      <c r="BN266" s="79" t="s">
        <v>863</v>
      </c>
      <c r="BO266" s="79">
        <v>0.3</v>
      </c>
      <c r="BP266" s="79">
        <v>56</v>
      </c>
      <c r="BQ266" s="79">
        <v>2.5</v>
      </c>
      <c r="BR266" s="79">
        <v>7</v>
      </c>
      <c r="BS266" s="79" t="s">
        <v>464</v>
      </c>
      <c r="BT266" s="79" t="s">
        <v>464</v>
      </c>
      <c r="BU266" s="79" t="s">
        <v>1271</v>
      </c>
      <c r="BV266" s="79">
        <v>300</v>
      </c>
      <c r="BW266" s="79">
        <v>300</v>
      </c>
      <c r="BX266" s="79" t="s">
        <v>1311</v>
      </c>
      <c r="BZ266" s="81">
        <f>4.5*200</f>
        <v>900</v>
      </c>
      <c r="CA266">
        <f t="shared" si="40"/>
        <v>6.8023947633243109</v>
      </c>
    </row>
    <row r="267" spans="1:79" x14ac:dyDescent="0.3">
      <c r="A267" s="2" t="s">
        <v>153</v>
      </c>
      <c r="B267" s="13" t="s">
        <v>775</v>
      </c>
      <c r="C267" s="13"/>
      <c r="D267" s="2">
        <v>3.23</v>
      </c>
      <c r="E267" s="2" t="s">
        <v>152</v>
      </c>
      <c r="F267" s="9" t="s">
        <v>578</v>
      </c>
      <c r="G267">
        <v>-1</v>
      </c>
      <c r="H267" t="s">
        <v>1166</v>
      </c>
      <c r="I267" s="2"/>
      <c r="J267" s="25">
        <v>1</v>
      </c>
      <c r="K267">
        <v>0</v>
      </c>
      <c r="L267">
        <v>1</v>
      </c>
      <c r="M267" s="2">
        <v>3.89</v>
      </c>
      <c r="N267" s="2">
        <v>3.89</v>
      </c>
      <c r="O267" s="2">
        <v>21.29</v>
      </c>
      <c r="P267" s="2" t="s">
        <v>519</v>
      </c>
      <c r="Q267" s="2"/>
      <c r="R267" s="25">
        <v>3.9263319999999999</v>
      </c>
      <c r="S267" s="25">
        <v>3.9263319999999999</v>
      </c>
      <c r="T267" s="25">
        <v>10.74639</v>
      </c>
      <c r="U267">
        <v>0</v>
      </c>
      <c r="X267">
        <v>3.8913000000000002</v>
      </c>
      <c r="Y267">
        <v>3.8913000000000002</v>
      </c>
      <c r="Z267">
        <v>10.47</v>
      </c>
      <c r="AA267" s="2"/>
      <c r="AB267">
        <v>14</v>
      </c>
      <c r="AC267" s="55">
        <f t="shared" si="37"/>
        <v>322.16240900000003</v>
      </c>
      <c r="AD267" s="57">
        <v>165.66723991337099</v>
      </c>
      <c r="AE267" s="55">
        <v>0</v>
      </c>
      <c r="AF267" s="55">
        <v>158.53899827430001</v>
      </c>
      <c r="AG267" s="52"/>
      <c r="AH267" s="51">
        <v>8.4506749839743392E-2</v>
      </c>
      <c r="AI267" s="52"/>
      <c r="AJ267" s="52">
        <v>8.8306348295310685E-2</v>
      </c>
      <c r="AK267" s="28">
        <v>1.7272727272727271</v>
      </c>
      <c r="AL267" s="28">
        <v>2.545454545454545</v>
      </c>
      <c r="AM267" s="28">
        <v>0.81818181818181823</v>
      </c>
      <c r="AN267" s="28">
        <v>0</v>
      </c>
      <c r="AO267" s="28">
        <v>0.3392857142857143</v>
      </c>
      <c r="AP267" s="28">
        <v>0.5</v>
      </c>
      <c r="AQ267" s="28">
        <v>0.1607142857142857</v>
      </c>
      <c r="AR267" s="28">
        <v>0</v>
      </c>
      <c r="AS267" s="25">
        <v>1.1000000000000001</v>
      </c>
      <c r="AT267" s="25">
        <v>3.44</v>
      </c>
      <c r="AU267" s="25">
        <v>2.34</v>
      </c>
      <c r="AV267" s="25">
        <v>2.78</v>
      </c>
      <c r="AW267">
        <v>2.78</v>
      </c>
      <c r="AX267">
        <v>6.4270052227137269</v>
      </c>
      <c r="AY267" s="75">
        <v>0.41874886813759421</v>
      </c>
      <c r="AZ267" s="75"/>
      <c r="BA267" s="75">
        <v>0</v>
      </c>
      <c r="BC267">
        <v>4.2253374919871717E-2</v>
      </c>
      <c r="BE267">
        <v>4.4153174147655357E-2</v>
      </c>
      <c r="BF267">
        <v>8.6406549067527039E-2</v>
      </c>
      <c r="BG267">
        <v>4.3203274533763533E-2</v>
      </c>
      <c r="BH267">
        <v>0.20937443406879711</v>
      </c>
      <c r="BI267" s="79" t="s">
        <v>1264</v>
      </c>
      <c r="BJ267" s="79">
        <f>1150+273</f>
        <v>1423</v>
      </c>
      <c r="BK267" s="79">
        <f>48</f>
        <v>48</v>
      </c>
      <c r="BM267" s="79" t="s">
        <v>1268</v>
      </c>
      <c r="BN267" s="79" t="s">
        <v>863</v>
      </c>
      <c r="BO267" s="79">
        <v>0.3</v>
      </c>
      <c r="BP267" s="79">
        <v>68</v>
      </c>
      <c r="BQ267" s="79">
        <v>2.5</v>
      </c>
      <c r="BR267" s="79">
        <v>7</v>
      </c>
      <c r="BS267" s="79" t="s">
        <v>464</v>
      </c>
      <c r="BT267" s="79" t="s">
        <v>464</v>
      </c>
      <c r="BU267" s="79" t="s">
        <v>1271</v>
      </c>
      <c r="BV267" s="79">
        <v>300</v>
      </c>
      <c r="BW267" s="79">
        <v>300</v>
      </c>
      <c r="BX267" s="79" t="s">
        <v>1311</v>
      </c>
      <c r="BZ267" s="81">
        <f>0.3*200</f>
        <v>60</v>
      </c>
      <c r="CA267">
        <f t="shared" si="40"/>
        <v>4.0943445622221004</v>
      </c>
    </row>
    <row r="268" spans="1:79" x14ac:dyDescent="0.3">
      <c r="A268" s="2" t="s">
        <v>7</v>
      </c>
      <c r="B268" s="13" t="s">
        <v>692</v>
      </c>
      <c r="C268" s="13"/>
      <c r="D268" s="2">
        <v>3.47</v>
      </c>
      <c r="E268" s="2" t="s">
        <v>154</v>
      </c>
      <c r="F268" s="9">
        <v>-1</v>
      </c>
      <c r="G268">
        <v>-1</v>
      </c>
      <c r="I268" s="2">
        <v>8</v>
      </c>
      <c r="J268" s="25">
        <v>0</v>
      </c>
      <c r="K268">
        <v>0</v>
      </c>
      <c r="L268">
        <v>0</v>
      </c>
      <c r="M268" s="2">
        <v>7.8209999999999997</v>
      </c>
      <c r="N268" s="2">
        <v>7.7649999999999997</v>
      </c>
      <c r="O268" s="2">
        <v>30.08</v>
      </c>
      <c r="P268" t="s">
        <v>495</v>
      </c>
      <c r="R268" s="25">
        <v>0</v>
      </c>
      <c r="S268" s="25"/>
      <c r="T268" s="25"/>
      <c r="U268">
        <v>0</v>
      </c>
      <c r="X268">
        <v>0</v>
      </c>
      <c r="AA268" s="2"/>
      <c r="AB268">
        <v>20</v>
      </c>
      <c r="AC268" s="55">
        <f t="shared" si="37"/>
        <v>1826.7603551999998</v>
      </c>
      <c r="AD268" s="57">
        <v>0</v>
      </c>
      <c r="AE268" s="55">
        <v>0</v>
      </c>
      <c r="AF268" s="55">
        <v>0</v>
      </c>
      <c r="AG268" s="52">
        <f t="shared" si="41"/>
        <v>8.7586748609115E-2</v>
      </c>
      <c r="AH268" s="51"/>
      <c r="AI268" s="52"/>
      <c r="AJ268" s="52"/>
      <c r="AK268" s="28">
        <v>1.75</v>
      </c>
      <c r="AL268" s="28">
        <v>2.5</v>
      </c>
      <c r="AM268" s="28">
        <v>0.75</v>
      </c>
      <c r="AN268" s="28">
        <v>0</v>
      </c>
      <c r="AO268" s="28">
        <v>0.35</v>
      </c>
      <c r="AP268" s="28">
        <v>0.5</v>
      </c>
      <c r="AQ268" s="28">
        <v>0.15</v>
      </c>
      <c r="AR268" s="28">
        <v>0</v>
      </c>
      <c r="AS268" s="25">
        <v>0.82</v>
      </c>
      <c r="AT268" s="25">
        <v>3.44</v>
      </c>
      <c r="AU268" s="25">
        <v>2.62</v>
      </c>
      <c r="AV268" s="25">
        <v>2.62</v>
      </c>
      <c r="AW268">
        <v>2.62</v>
      </c>
      <c r="AX268">
        <v>5.9423863675000002</v>
      </c>
      <c r="AY268" s="75"/>
      <c r="AZ268" s="75"/>
      <c r="BA268" s="75"/>
      <c r="BB268">
        <v>4.37933743045575E-2</v>
      </c>
      <c r="BF268">
        <v>8.7586748609115E-2</v>
      </c>
      <c r="BG268">
        <v>4.37933743045575E-2</v>
      </c>
      <c r="BH268">
        <v>0</v>
      </c>
      <c r="BI268" s="79" t="s">
        <v>1264</v>
      </c>
      <c r="BJ268" s="79">
        <v>1423</v>
      </c>
      <c r="BK268" s="79">
        <v>24</v>
      </c>
      <c r="BM268" s="79" t="s">
        <v>464</v>
      </c>
      <c r="BN268" s="79" t="s">
        <v>464</v>
      </c>
      <c r="BO268" s="79">
        <v>0</v>
      </c>
      <c r="BP268" s="79">
        <v>11.22</v>
      </c>
      <c r="BQ268" s="79">
        <v>2</v>
      </c>
      <c r="BR268" s="79">
        <v>10</v>
      </c>
      <c r="BS268" s="79" t="s">
        <v>464</v>
      </c>
      <c r="BT268" s="79" t="s">
        <v>464</v>
      </c>
      <c r="BU268" s="79" t="s">
        <v>1266</v>
      </c>
      <c r="BV268" s="79">
        <v>100</v>
      </c>
      <c r="BW268" s="79">
        <v>400</v>
      </c>
      <c r="BX268" s="79" t="s">
        <v>1311</v>
      </c>
      <c r="BY268" s="79">
        <v>333</v>
      </c>
      <c r="CA268" t="e">
        <f t="shared" si="40"/>
        <v>#NUM!</v>
      </c>
    </row>
    <row r="269" spans="1:79" x14ac:dyDescent="0.3">
      <c r="A269" s="2" t="s">
        <v>155</v>
      </c>
      <c r="B269" s="13" t="s">
        <v>776</v>
      </c>
      <c r="C269" s="13"/>
      <c r="D269" s="2">
        <v>3.76</v>
      </c>
      <c r="E269" s="2" t="s">
        <v>154</v>
      </c>
      <c r="F269" s="9">
        <v>-1</v>
      </c>
      <c r="G269">
        <v>-1</v>
      </c>
      <c r="I269" s="2">
        <v>8</v>
      </c>
      <c r="J269" s="25">
        <v>0</v>
      </c>
      <c r="K269">
        <v>0</v>
      </c>
      <c r="L269">
        <v>0</v>
      </c>
      <c r="M269" s="2">
        <v>7.8209999999999997</v>
      </c>
      <c r="N269" s="2">
        <v>7.7649999999999997</v>
      </c>
      <c r="O269" s="2">
        <v>30.96</v>
      </c>
      <c r="P269" t="s">
        <v>495</v>
      </c>
      <c r="R269" s="25">
        <v>0</v>
      </c>
      <c r="S269" s="25"/>
      <c r="T269" s="25"/>
      <c r="U269">
        <v>0</v>
      </c>
      <c r="X269">
        <v>0</v>
      </c>
      <c r="AA269" s="2"/>
      <c r="AB269">
        <v>20</v>
      </c>
      <c r="AC269" s="55">
        <f t="shared" si="37"/>
        <v>1880.2028123999999</v>
      </c>
      <c r="AD269" s="57">
        <v>0</v>
      </c>
      <c r="AE269" s="55">
        <v>0</v>
      </c>
      <c r="AF269" s="55">
        <v>0</v>
      </c>
      <c r="AG269" s="52">
        <f t="shared" si="41"/>
        <v>8.5097202783016121E-2</v>
      </c>
      <c r="AH269" s="51"/>
      <c r="AI269" s="52"/>
      <c r="AJ269" s="52"/>
      <c r="AK269" s="28">
        <v>1.8125</v>
      </c>
      <c r="AL269" s="28">
        <v>2.5</v>
      </c>
      <c r="AM269" s="28">
        <v>0.6875</v>
      </c>
      <c r="AN269" s="28">
        <v>0.875</v>
      </c>
      <c r="AO269" s="28">
        <v>0.30851063829787229</v>
      </c>
      <c r="AP269" s="28">
        <v>0.42553191489361702</v>
      </c>
      <c r="AQ269" s="28">
        <v>0.1170212765957447</v>
      </c>
      <c r="AR269" s="28">
        <v>0.14893617021276601</v>
      </c>
      <c r="AS269" s="25">
        <v>0.82</v>
      </c>
      <c r="AT269" s="25">
        <v>3.44</v>
      </c>
      <c r="AU269" s="25">
        <v>2.62</v>
      </c>
      <c r="AV269" s="25">
        <v>2.61375</v>
      </c>
      <c r="AW269">
        <v>2.61375</v>
      </c>
      <c r="AX269">
        <v>5.9485249299999996</v>
      </c>
      <c r="AY269" s="75"/>
      <c r="AZ269" s="75"/>
      <c r="BA269" s="75"/>
      <c r="BB269">
        <v>4.254860139150806E-2</v>
      </c>
      <c r="BF269">
        <v>8.5097202783016121E-2</v>
      </c>
      <c r="BG269">
        <v>4.254860139150806E-2</v>
      </c>
      <c r="BH269">
        <v>0</v>
      </c>
      <c r="BI269" s="79" t="s">
        <v>1264</v>
      </c>
      <c r="BJ269" s="79">
        <v>1423</v>
      </c>
      <c r="BK269" s="79">
        <v>24</v>
      </c>
      <c r="BM269" s="79" t="s">
        <v>464</v>
      </c>
      <c r="BN269" s="79" t="s">
        <v>464</v>
      </c>
      <c r="BO269" s="79">
        <v>0</v>
      </c>
      <c r="BP269" s="79">
        <v>11.6</v>
      </c>
      <c r="BQ269" s="79">
        <v>2</v>
      </c>
      <c r="BR269" s="79">
        <v>10</v>
      </c>
      <c r="BS269" s="79" t="s">
        <v>464</v>
      </c>
      <c r="BT269" s="79" t="s">
        <v>464</v>
      </c>
      <c r="BU269" s="79" t="s">
        <v>1266</v>
      </c>
      <c r="BV269" s="79">
        <v>100</v>
      </c>
      <c r="BW269" s="79">
        <v>400</v>
      </c>
      <c r="BX269" s="79" t="s">
        <v>1311</v>
      </c>
      <c r="BY269" s="79">
        <v>333</v>
      </c>
      <c r="CA269" t="e">
        <f t="shared" si="40"/>
        <v>#NUM!</v>
      </c>
    </row>
    <row r="270" spans="1:79" x14ac:dyDescent="0.3">
      <c r="A270" s="2" t="s">
        <v>156</v>
      </c>
      <c r="B270" s="13" t="s">
        <v>777</v>
      </c>
      <c r="C270" s="13"/>
      <c r="D270" s="2">
        <v>3.76</v>
      </c>
      <c r="E270" s="2" t="s">
        <v>154</v>
      </c>
      <c r="F270" s="9">
        <v>-1</v>
      </c>
      <c r="G270">
        <v>-1</v>
      </c>
      <c r="I270" s="2">
        <v>8</v>
      </c>
      <c r="J270" s="25">
        <v>0</v>
      </c>
      <c r="K270">
        <v>0</v>
      </c>
      <c r="L270">
        <v>0</v>
      </c>
      <c r="M270" s="2">
        <v>7.8209999999999997</v>
      </c>
      <c r="N270" s="2">
        <v>7.7649999999999997</v>
      </c>
      <c r="O270" s="2">
        <v>29.84</v>
      </c>
      <c r="P270" t="s">
        <v>495</v>
      </c>
      <c r="R270" s="25">
        <v>0</v>
      </c>
      <c r="S270" s="25"/>
      <c r="T270" s="25"/>
      <c r="U270">
        <v>0</v>
      </c>
      <c r="X270">
        <v>0</v>
      </c>
      <c r="AA270" s="2"/>
      <c r="AB270">
        <v>20</v>
      </c>
      <c r="AC270" s="55">
        <f t="shared" si="37"/>
        <v>1812.1851396</v>
      </c>
      <c r="AD270" s="57">
        <v>0</v>
      </c>
      <c r="AE270" s="55">
        <v>0</v>
      </c>
      <c r="AF270" s="55">
        <v>0</v>
      </c>
      <c r="AG270" s="52">
        <f t="shared" si="41"/>
        <v>8.8291199670314305E-2</v>
      </c>
      <c r="AH270" s="51"/>
      <c r="AI270" s="52"/>
      <c r="AJ270" s="52"/>
      <c r="AK270" s="28">
        <v>1.8666666666666669</v>
      </c>
      <c r="AL270" s="28">
        <v>2.666666666666667</v>
      </c>
      <c r="AM270" s="28">
        <v>0.46666666666666667</v>
      </c>
      <c r="AN270" s="28">
        <v>0.93333333333333335</v>
      </c>
      <c r="AO270" s="28">
        <v>0.3146067415730337</v>
      </c>
      <c r="AP270" s="28">
        <v>0.44943820224719089</v>
      </c>
      <c r="AQ270" s="28">
        <v>7.8651685393258425E-2</v>
      </c>
      <c r="AR270" s="28">
        <v>0.15730337078651679</v>
      </c>
      <c r="AS270" s="25">
        <v>0.82</v>
      </c>
      <c r="AT270" s="25">
        <v>3.44</v>
      </c>
      <c r="AU270" s="25">
        <v>2.62</v>
      </c>
      <c r="AV270" s="25">
        <v>2.6813333333333329</v>
      </c>
      <c r="AW270">
        <v>2.6813333333333329</v>
      </c>
      <c r="AX270">
        <v>6.0892180253333326</v>
      </c>
      <c r="AY270" s="75"/>
      <c r="AZ270" s="75"/>
      <c r="BA270" s="75"/>
      <c r="BB270">
        <v>4.4145599835157152E-2</v>
      </c>
      <c r="BF270">
        <v>8.8291199670314305E-2</v>
      </c>
      <c r="BG270">
        <v>4.4145599835157152E-2</v>
      </c>
      <c r="BH270">
        <v>0</v>
      </c>
      <c r="BI270" s="79" t="s">
        <v>1264</v>
      </c>
      <c r="BJ270" s="79">
        <v>1423</v>
      </c>
      <c r="BK270" s="79">
        <v>24</v>
      </c>
      <c r="BM270" s="79" t="s">
        <v>464</v>
      </c>
      <c r="BN270" s="79" t="s">
        <v>464</v>
      </c>
      <c r="BO270" s="79">
        <v>0</v>
      </c>
      <c r="BP270" s="79">
        <v>10.76</v>
      </c>
      <c r="BQ270" s="79">
        <v>2</v>
      </c>
      <c r="BR270" s="79">
        <v>10</v>
      </c>
      <c r="BS270" s="79" t="s">
        <v>464</v>
      </c>
      <c r="BT270" s="79" t="s">
        <v>464</v>
      </c>
      <c r="BU270" s="79" t="s">
        <v>1266</v>
      </c>
      <c r="BV270" s="79">
        <v>100</v>
      </c>
      <c r="BW270" s="79">
        <v>400</v>
      </c>
      <c r="BX270" s="79" t="s">
        <v>1311</v>
      </c>
      <c r="BY270" s="79">
        <v>333</v>
      </c>
      <c r="CA270" t="e">
        <f t="shared" si="40"/>
        <v>#NUM!</v>
      </c>
    </row>
    <row r="271" spans="1:79" x14ac:dyDescent="0.3">
      <c r="A271" s="2" t="s">
        <v>157</v>
      </c>
      <c r="B271" s="13" t="s">
        <v>778</v>
      </c>
      <c r="C271" s="13"/>
      <c r="D271" s="2">
        <v>3.91</v>
      </c>
      <c r="E271" s="2" t="s">
        <v>154</v>
      </c>
      <c r="F271" s="9">
        <v>-1</v>
      </c>
      <c r="G271">
        <v>-1</v>
      </c>
      <c r="I271" s="2">
        <v>8</v>
      </c>
      <c r="J271" s="25">
        <v>0</v>
      </c>
      <c r="K271">
        <v>0</v>
      </c>
      <c r="L271">
        <v>0</v>
      </c>
      <c r="M271" s="2">
        <v>7.8209999999999997</v>
      </c>
      <c r="N271" s="2">
        <v>7.7649999999999997</v>
      </c>
      <c r="O271" s="2">
        <v>30.08</v>
      </c>
      <c r="P271" t="s">
        <v>495</v>
      </c>
      <c r="R271" s="25">
        <v>0</v>
      </c>
      <c r="S271" s="25"/>
      <c r="T271" s="25"/>
      <c r="U271">
        <v>0</v>
      </c>
      <c r="X271">
        <v>0</v>
      </c>
      <c r="AA271" s="2"/>
      <c r="AB271">
        <v>20</v>
      </c>
      <c r="AC271" s="55">
        <f t="shared" si="37"/>
        <v>1826.7603551999998</v>
      </c>
      <c r="AD271" s="57">
        <v>0</v>
      </c>
      <c r="AE271" s="55">
        <v>0</v>
      </c>
      <c r="AF271" s="55">
        <v>0</v>
      </c>
      <c r="AG271" s="52">
        <f t="shared" si="41"/>
        <v>8.7586748609115E-2</v>
      </c>
      <c r="AH271" s="51"/>
      <c r="AI271" s="52"/>
      <c r="AJ271" s="52"/>
      <c r="AK271" s="28">
        <v>1.875</v>
      </c>
      <c r="AL271" s="28">
        <v>2.5</v>
      </c>
      <c r="AM271" s="28">
        <v>0.625</v>
      </c>
      <c r="AN271" s="28">
        <v>1.75</v>
      </c>
      <c r="AO271" s="28">
        <v>0.27777777777777779</v>
      </c>
      <c r="AP271" s="28">
        <v>0.37037037037037029</v>
      </c>
      <c r="AQ271" s="28">
        <v>9.2592592592592587E-2</v>
      </c>
      <c r="AR271" s="28">
        <v>0.25925925925925919</v>
      </c>
      <c r="AS271" s="25">
        <v>0.82</v>
      </c>
      <c r="AT271" s="25">
        <v>3.44</v>
      </c>
      <c r="AU271" s="25">
        <v>2.62</v>
      </c>
      <c r="AV271" s="25">
        <v>2.6074999999999999</v>
      </c>
      <c r="AW271">
        <v>2.6074999999999999</v>
      </c>
      <c r="AX271">
        <v>5.9546634925000008</v>
      </c>
      <c r="AY271" s="75"/>
      <c r="AZ271" s="75"/>
      <c r="BA271" s="75"/>
      <c r="BB271">
        <v>4.37933743045575E-2</v>
      </c>
      <c r="BF271">
        <v>8.7586748609115E-2</v>
      </c>
      <c r="BG271">
        <v>4.37933743045575E-2</v>
      </c>
      <c r="BH271">
        <v>0</v>
      </c>
      <c r="BI271" s="79" t="s">
        <v>1264</v>
      </c>
      <c r="BJ271" s="79">
        <v>1423</v>
      </c>
      <c r="BK271" s="79">
        <v>24</v>
      </c>
      <c r="BM271" s="79" t="s">
        <v>464</v>
      </c>
      <c r="BN271" s="79" t="s">
        <v>464</v>
      </c>
      <c r="BO271" s="79">
        <v>0</v>
      </c>
      <c r="BP271" s="79">
        <v>11.35</v>
      </c>
      <c r="BQ271" s="79">
        <v>2</v>
      </c>
      <c r="BR271" s="79">
        <v>10</v>
      </c>
      <c r="BS271" s="79" t="s">
        <v>464</v>
      </c>
      <c r="BT271" s="79" t="s">
        <v>464</v>
      </c>
      <c r="BU271" s="79" t="s">
        <v>1266</v>
      </c>
      <c r="BV271" s="79">
        <v>100</v>
      </c>
      <c r="BW271" s="79">
        <v>400</v>
      </c>
      <c r="BX271" s="79" t="s">
        <v>1311</v>
      </c>
      <c r="BY271" s="79">
        <v>333</v>
      </c>
      <c r="CA271" t="e">
        <f t="shared" si="40"/>
        <v>#NUM!</v>
      </c>
    </row>
    <row r="272" spans="1:79" x14ac:dyDescent="0.3">
      <c r="A272" s="2" t="s">
        <v>158</v>
      </c>
      <c r="B272" s="13" t="s">
        <v>779</v>
      </c>
      <c r="C272" s="13"/>
      <c r="D272" s="2">
        <v>4.29</v>
      </c>
      <c r="E272" s="2" t="s">
        <v>154</v>
      </c>
      <c r="F272" s="9">
        <v>-1</v>
      </c>
      <c r="G272">
        <v>-1</v>
      </c>
      <c r="I272" s="2">
        <v>8</v>
      </c>
      <c r="J272" s="25">
        <v>0</v>
      </c>
      <c r="K272">
        <v>0</v>
      </c>
      <c r="L272">
        <v>0</v>
      </c>
      <c r="M272" s="2">
        <v>7.8440000000000003</v>
      </c>
      <c r="N272" s="2">
        <v>7.7690000000000001</v>
      </c>
      <c r="O272" s="2">
        <v>29.72</v>
      </c>
      <c r="P272" t="s">
        <v>495</v>
      </c>
      <c r="R272" s="25">
        <v>0</v>
      </c>
      <c r="S272" s="25"/>
      <c r="T272" s="25"/>
      <c r="U272">
        <v>0</v>
      </c>
      <c r="X272">
        <v>0</v>
      </c>
      <c r="AA272" s="2"/>
      <c r="AB272">
        <v>20</v>
      </c>
      <c r="AC272" s="55">
        <f t="shared" si="37"/>
        <v>1811.1378699200002</v>
      </c>
      <c r="AD272" s="57">
        <v>0</v>
      </c>
      <c r="AE272" s="55">
        <v>0</v>
      </c>
      <c r="AF272" s="55">
        <v>0</v>
      </c>
      <c r="AG272" s="52">
        <f t="shared" si="41"/>
        <v>8.8342253042871535E-2</v>
      </c>
      <c r="AH272" s="51"/>
      <c r="AI272" s="52"/>
      <c r="AJ272" s="52"/>
      <c r="AK272" s="28">
        <v>1.9375</v>
      </c>
      <c r="AL272" s="28">
        <v>2.5</v>
      </c>
      <c r="AM272" s="28">
        <v>0.5625</v>
      </c>
      <c r="AN272" s="28">
        <v>2.625</v>
      </c>
      <c r="AO272" s="28">
        <v>0.25409836065573771</v>
      </c>
      <c r="AP272" s="28">
        <v>0.32786885245901642</v>
      </c>
      <c r="AQ272" s="28">
        <v>7.3770491803278687E-2</v>
      </c>
      <c r="AR272" s="28">
        <v>0.34426229508196721</v>
      </c>
      <c r="AS272" s="25">
        <v>0.82</v>
      </c>
      <c r="AT272" s="25">
        <v>3.44</v>
      </c>
      <c r="AU272" s="25">
        <v>2.62</v>
      </c>
      <c r="AV272" s="25">
        <v>2.6012499999999998</v>
      </c>
      <c r="AW272">
        <v>2.6012499999999998</v>
      </c>
      <c r="AX272">
        <v>5.9608020550000003</v>
      </c>
      <c r="AY272" s="75"/>
      <c r="AZ272" s="75"/>
      <c r="BA272" s="75"/>
      <c r="BB272">
        <v>4.4171126521435768E-2</v>
      </c>
      <c r="BF272">
        <v>8.8342253042871535E-2</v>
      </c>
      <c r="BG272">
        <v>4.4171126521435768E-2</v>
      </c>
      <c r="BH272">
        <v>0</v>
      </c>
      <c r="BI272" s="79" t="s">
        <v>1264</v>
      </c>
      <c r="BJ272" s="79">
        <v>1423</v>
      </c>
      <c r="BK272" s="79">
        <v>24</v>
      </c>
      <c r="BM272" s="79" t="s">
        <v>464</v>
      </c>
      <c r="BN272" s="79" t="s">
        <v>464</v>
      </c>
      <c r="BO272" s="79">
        <v>0</v>
      </c>
      <c r="BP272" s="79">
        <v>11.24</v>
      </c>
      <c r="BQ272" s="79">
        <v>2</v>
      </c>
      <c r="BR272" s="79">
        <v>10</v>
      </c>
      <c r="BS272" s="79" t="s">
        <v>464</v>
      </c>
      <c r="BT272" s="79" t="s">
        <v>464</v>
      </c>
      <c r="BU272" s="79" t="s">
        <v>1266</v>
      </c>
      <c r="BV272" s="79">
        <v>100</v>
      </c>
      <c r="BW272" s="79">
        <v>400</v>
      </c>
      <c r="BX272" s="79" t="s">
        <v>1311</v>
      </c>
      <c r="BY272" s="79">
        <v>333</v>
      </c>
      <c r="CA272" t="e">
        <f t="shared" si="40"/>
        <v>#NUM!</v>
      </c>
    </row>
    <row r="273" spans="1:79" x14ac:dyDescent="0.3">
      <c r="A273" s="2" t="s">
        <v>151</v>
      </c>
      <c r="B273" s="13" t="s">
        <v>774</v>
      </c>
      <c r="C273" s="13"/>
      <c r="D273" s="2">
        <v>3.5</v>
      </c>
      <c r="E273" s="2" t="s">
        <v>154</v>
      </c>
      <c r="F273" s="9">
        <v>-1</v>
      </c>
      <c r="G273">
        <v>-1</v>
      </c>
      <c r="I273" s="2">
        <v>8</v>
      </c>
      <c r="J273" s="25">
        <v>0</v>
      </c>
      <c r="K273">
        <v>0</v>
      </c>
      <c r="L273">
        <v>0</v>
      </c>
      <c r="M273" s="2">
        <f>3.907*2</f>
        <v>7.8140000000000001</v>
      </c>
      <c r="N273" s="2">
        <f>3.907*2</f>
        <v>7.8140000000000001</v>
      </c>
      <c r="O273" s="2">
        <v>33.06</v>
      </c>
      <c r="P273" s="2"/>
      <c r="Q273" s="2"/>
      <c r="R273" s="25">
        <v>0</v>
      </c>
      <c r="S273" s="25"/>
      <c r="T273" s="25"/>
      <c r="U273">
        <v>0</v>
      </c>
      <c r="X273">
        <v>0</v>
      </c>
      <c r="AA273" s="2"/>
      <c r="AB273">
        <v>20</v>
      </c>
      <c r="AC273" s="55">
        <f t="shared" si="37"/>
        <v>2018.5971837600002</v>
      </c>
      <c r="AD273" s="57">
        <v>0</v>
      </c>
      <c r="AE273" s="55">
        <v>0</v>
      </c>
      <c r="AF273" s="55">
        <v>0</v>
      </c>
      <c r="AG273" s="52">
        <f t="shared" si="41"/>
        <v>7.9262966027710005E-2</v>
      </c>
      <c r="AH273" s="51"/>
      <c r="AI273" s="52"/>
      <c r="AJ273" s="52"/>
      <c r="AK273" s="28">
        <v>1.75</v>
      </c>
      <c r="AL273" s="28">
        <v>2.5</v>
      </c>
      <c r="AM273" s="28">
        <v>0.75</v>
      </c>
      <c r="AN273" s="28">
        <v>0</v>
      </c>
      <c r="AO273" s="28">
        <v>0.35</v>
      </c>
      <c r="AP273" s="28">
        <v>0.5</v>
      </c>
      <c r="AQ273" s="28">
        <v>0.15</v>
      </c>
      <c r="AR273" s="28">
        <v>0</v>
      </c>
      <c r="AS273" s="25">
        <v>0.95</v>
      </c>
      <c r="AT273" s="25">
        <v>3.44</v>
      </c>
      <c r="AU273" s="25">
        <v>2.4900000000000002</v>
      </c>
      <c r="AV273" s="25">
        <v>2.7062499999999998</v>
      </c>
      <c r="AW273">
        <v>2.7062499999999998</v>
      </c>
      <c r="AX273">
        <v>6.2396022968656872</v>
      </c>
      <c r="AY273" s="75"/>
      <c r="AZ273" s="75"/>
      <c r="BA273" s="75"/>
      <c r="BB273">
        <v>3.9631483013855003E-2</v>
      </c>
      <c r="BF273">
        <v>7.9262966027710005E-2</v>
      </c>
      <c r="BG273">
        <v>3.9631483013855003E-2</v>
      </c>
      <c r="BH273">
        <v>0</v>
      </c>
      <c r="BI273" s="79" t="s">
        <v>1264</v>
      </c>
      <c r="BJ273" s="79">
        <v>1423</v>
      </c>
      <c r="BK273" s="79">
        <v>24</v>
      </c>
      <c r="BM273" s="79" t="s">
        <v>464</v>
      </c>
      <c r="BN273" s="79" t="s">
        <v>464</v>
      </c>
      <c r="BO273" s="79">
        <v>0</v>
      </c>
      <c r="BP273" s="79">
        <v>12.12</v>
      </c>
      <c r="BQ273" s="79">
        <v>2</v>
      </c>
      <c r="BR273" s="79">
        <v>10</v>
      </c>
      <c r="BS273" s="79" t="s">
        <v>464</v>
      </c>
      <c r="BT273" s="79" t="s">
        <v>464</v>
      </c>
      <c r="BU273" s="79" t="s">
        <v>1266</v>
      </c>
      <c r="BV273" s="79">
        <v>100</v>
      </c>
      <c r="BW273" s="79">
        <v>400</v>
      </c>
      <c r="BX273" s="79" t="s">
        <v>1311</v>
      </c>
      <c r="BY273" s="79">
        <v>333</v>
      </c>
      <c r="BZ273" s="81">
        <v>1017.8571428571429</v>
      </c>
      <c r="CA273">
        <f t="shared" si="40"/>
        <v>6.9254548560815383</v>
      </c>
    </row>
    <row r="274" spans="1:79" x14ac:dyDescent="0.3">
      <c r="A274" s="2" t="s">
        <v>159</v>
      </c>
      <c r="B274" s="13" t="s">
        <v>780</v>
      </c>
      <c r="C274" s="13"/>
      <c r="D274" s="2">
        <v>3.77</v>
      </c>
      <c r="E274" s="2" t="s">
        <v>154</v>
      </c>
      <c r="F274" s="9">
        <v>-1</v>
      </c>
      <c r="G274">
        <v>-1</v>
      </c>
      <c r="I274" s="2">
        <v>8</v>
      </c>
      <c r="J274" s="25">
        <v>0</v>
      </c>
      <c r="K274">
        <v>0</v>
      </c>
      <c r="L274">
        <v>0</v>
      </c>
      <c r="M274" s="2">
        <f t="shared" ref="M274:N277" si="42">3.907*2</f>
        <v>7.8140000000000001</v>
      </c>
      <c r="N274" s="2">
        <f t="shared" si="42"/>
        <v>7.8140000000000001</v>
      </c>
      <c r="O274" s="2">
        <v>32.86</v>
      </c>
      <c r="P274" s="2"/>
      <c r="Q274" s="2"/>
      <c r="R274" s="25">
        <v>0</v>
      </c>
      <c r="S274" s="25"/>
      <c r="T274" s="25"/>
      <c r="U274">
        <v>0</v>
      </c>
      <c r="X274">
        <v>0</v>
      </c>
      <c r="AA274" s="2"/>
      <c r="AB274">
        <v>20</v>
      </c>
      <c r="AC274" s="55">
        <f t="shared" si="37"/>
        <v>2006.3854645599999</v>
      </c>
      <c r="AD274" s="57">
        <v>0</v>
      </c>
      <c r="AE274" s="55">
        <v>0</v>
      </c>
      <c r="AF274" s="55">
        <v>0</v>
      </c>
      <c r="AG274" s="52">
        <f t="shared" si="41"/>
        <v>7.9745394305419756E-2</v>
      </c>
      <c r="AH274" s="51"/>
      <c r="AI274" s="52"/>
      <c r="AJ274" s="52"/>
      <c r="AK274" s="28">
        <v>1.8125</v>
      </c>
      <c r="AL274" s="28">
        <v>2.5</v>
      </c>
      <c r="AM274" s="28">
        <v>0.6875</v>
      </c>
      <c r="AN274" s="28">
        <v>0.875</v>
      </c>
      <c r="AO274" s="28">
        <v>0.30851063829787229</v>
      </c>
      <c r="AP274" s="28">
        <v>0.42553191489361702</v>
      </c>
      <c r="AQ274" s="28">
        <v>0.1170212765957447</v>
      </c>
      <c r="AR274" s="28">
        <v>0.14893617021276601</v>
      </c>
      <c r="AS274" s="25">
        <v>0.95</v>
      </c>
      <c r="AT274" s="25">
        <v>3.44</v>
      </c>
      <c r="AU274" s="25">
        <v>2.4900000000000002</v>
      </c>
      <c r="AV274" s="25">
        <v>2.7</v>
      </c>
      <c r="AW274">
        <v>2.7</v>
      </c>
      <c r="AX274">
        <v>6.2457408593656876</v>
      </c>
      <c r="AY274" s="75"/>
      <c r="AZ274" s="75"/>
      <c r="BA274" s="75"/>
      <c r="BB274">
        <v>3.9872697152709878E-2</v>
      </c>
      <c r="BF274">
        <v>7.9745394305419756E-2</v>
      </c>
      <c r="BG274">
        <v>3.9872697152709878E-2</v>
      </c>
      <c r="BH274">
        <v>0</v>
      </c>
      <c r="BI274" s="79" t="s">
        <v>1264</v>
      </c>
      <c r="BJ274" s="79">
        <v>1423</v>
      </c>
      <c r="BK274" s="79">
        <v>24</v>
      </c>
      <c r="BM274" s="79" t="s">
        <v>464</v>
      </c>
      <c r="BN274" s="79" t="s">
        <v>464</v>
      </c>
      <c r="BO274" s="79">
        <v>0</v>
      </c>
      <c r="BP274" s="79">
        <v>10.54</v>
      </c>
      <c r="BQ274" s="79">
        <v>2</v>
      </c>
      <c r="BR274" s="79">
        <v>10</v>
      </c>
      <c r="BS274" s="79" t="s">
        <v>464</v>
      </c>
      <c r="BT274" s="79" t="s">
        <v>464</v>
      </c>
      <c r="BU274" s="79" t="s">
        <v>1266</v>
      </c>
      <c r="BV274" s="79">
        <v>100</v>
      </c>
      <c r="BW274" s="79">
        <v>400</v>
      </c>
      <c r="BX274" s="79" t="s">
        <v>1311</v>
      </c>
      <c r="BY274" s="79">
        <v>333</v>
      </c>
      <c r="BZ274" s="81">
        <v>276.78571428571428</v>
      </c>
      <c r="CA274">
        <f t="shared" si="40"/>
        <v>5.6232436121721889</v>
      </c>
    </row>
    <row r="275" spans="1:79" x14ac:dyDescent="0.3">
      <c r="A275" s="2" t="s">
        <v>160</v>
      </c>
      <c r="B275" s="13" t="s">
        <v>781</v>
      </c>
      <c r="C275" s="13"/>
      <c r="D275" s="2">
        <v>3.8</v>
      </c>
      <c r="E275" s="2" t="s">
        <v>154</v>
      </c>
      <c r="F275" s="9">
        <v>-1</v>
      </c>
      <c r="G275">
        <v>-1</v>
      </c>
      <c r="I275" s="2">
        <v>8</v>
      </c>
      <c r="J275" s="25">
        <v>0</v>
      </c>
      <c r="K275">
        <v>0</v>
      </c>
      <c r="L275">
        <v>0</v>
      </c>
      <c r="M275" s="2">
        <f t="shared" si="42"/>
        <v>7.8140000000000001</v>
      </c>
      <c r="N275" s="2">
        <f t="shared" si="42"/>
        <v>7.8140000000000001</v>
      </c>
      <c r="O275" s="2">
        <v>32.42</v>
      </c>
      <c r="P275" s="2"/>
      <c r="Q275" s="2"/>
      <c r="R275" s="25">
        <v>0</v>
      </c>
      <c r="S275" s="25"/>
      <c r="T275" s="25"/>
      <c r="U275">
        <v>0</v>
      </c>
      <c r="X275">
        <v>0</v>
      </c>
      <c r="AA275" s="2"/>
      <c r="AB275">
        <v>20</v>
      </c>
      <c r="AC275" s="55">
        <f t="shared" si="37"/>
        <v>1979.5196823200001</v>
      </c>
      <c r="AD275" s="57">
        <v>0</v>
      </c>
      <c r="AE275" s="55">
        <v>0</v>
      </c>
      <c r="AF275" s="55">
        <v>0</v>
      </c>
      <c r="AG275" s="52">
        <f t="shared" si="41"/>
        <v>8.082768836755376E-2</v>
      </c>
      <c r="AH275" s="51"/>
      <c r="AI275" s="52"/>
      <c r="AJ275" s="52"/>
      <c r="AK275" s="28">
        <v>1.8666666666666669</v>
      </c>
      <c r="AL275" s="28">
        <v>2.666666666666667</v>
      </c>
      <c r="AM275" s="28">
        <v>0.46666666666666667</v>
      </c>
      <c r="AN275" s="28">
        <v>0.93333333333333335</v>
      </c>
      <c r="AO275" s="28">
        <v>0.3146067415730337</v>
      </c>
      <c r="AP275" s="28">
        <v>0.44943820224719089</v>
      </c>
      <c r="AQ275" s="28">
        <v>7.8651685393258425E-2</v>
      </c>
      <c r="AR275" s="28">
        <v>0.15730337078651679</v>
      </c>
      <c r="AS275" s="25">
        <v>0.95</v>
      </c>
      <c r="AT275" s="25">
        <v>3.44</v>
      </c>
      <c r="AU275" s="25">
        <v>2.4900000000000002</v>
      </c>
      <c r="AV275" s="25">
        <v>2.773333333333333</v>
      </c>
      <c r="AW275">
        <v>2.773333333333333</v>
      </c>
      <c r="AX275">
        <v>6.4062483499900669</v>
      </c>
      <c r="AY275" s="75"/>
      <c r="AZ275" s="75"/>
      <c r="BA275" s="75"/>
      <c r="BB275">
        <v>4.041384418377688E-2</v>
      </c>
      <c r="BF275">
        <v>8.082768836755376E-2</v>
      </c>
      <c r="BG275">
        <v>4.041384418377688E-2</v>
      </c>
      <c r="BH275">
        <v>0</v>
      </c>
      <c r="BI275" s="79" t="s">
        <v>1264</v>
      </c>
      <c r="BJ275" s="79">
        <v>1423</v>
      </c>
      <c r="BK275" s="79">
        <v>24</v>
      </c>
      <c r="BM275" s="79" t="s">
        <v>464</v>
      </c>
      <c r="BN275" s="79" t="s">
        <v>464</v>
      </c>
      <c r="BO275" s="79">
        <v>0</v>
      </c>
      <c r="BP275" s="79">
        <v>11.82</v>
      </c>
      <c r="BQ275" s="79">
        <v>2</v>
      </c>
      <c r="BR275" s="79">
        <v>10</v>
      </c>
      <c r="BS275" s="79" t="s">
        <v>464</v>
      </c>
      <c r="BT275" s="79" t="s">
        <v>464</v>
      </c>
      <c r="BU275" s="79" t="s">
        <v>1266</v>
      </c>
      <c r="BV275" s="79">
        <v>100</v>
      </c>
      <c r="BW275" s="79">
        <v>400</v>
      </c>
      <c r="BX275" s="79" t="s">
        <v>1311</v>
      </c>
      <c r="BY275" s="79">
        <v>333</v>
      </c>
      <c r="BZ275" s="81">
        <v>928.57142857142867</v>
      </c>
      <c r="CA275">
        <f t="shared" si="40"/>
        <v>6.8336473068284151</v>
      </c>
    </row>
    <row r="276" spans="1:79" x14ac:dyDescent="0.3">
      <c r="A276" s="2" t="s">
        <v>161</v>
      </c>
      <c r="B276" s="13" t="s">
        <v>782</v>
      </c>
      <c r="C276" s="13"/>
      <c r="D276" s="2">
        <v>3.92</v>
      </c>
      <c r="E276" s="2" t="s">
        <v>154</v>
      </c>
      <c r="F276" s="9">
        <v>-1</v>
      </c>
      <c r="G276">
        <v>-1</v>
      </c>
      <c r="I276" s="2">
        <v>8</v>
      </c>
      <c r="J276" s="25">
        <v>0</v>
      </c>
      <c r="K276">
        <v>0</v>
      </c>
      <c r="L276">
        <v>0</v>
      </c>
      <c r="M276" s="2">
        <f t="shared" si="42"/>
        <v>7.8140000000000001</v>
      </c>
      <c r="N276" s="2">
        <f t="shared" si="42"/>
        <v>7.8140000000000001</v>
      </c>
      <c r="O276" s="2">
        <v>32.58</v>
      </c>
      <c r="P276" s="2"/>
      <c r="Q276" s="2"/>
      <c r="R276" s="25">
        <v>0</v>
      </c>
      <c r="S276" s="25"/>
      <c r="T276" s="25"/>
      <c r="U276">
        <v>0</v>
      </c>
      <c r="X276">
        <v>0</v>
      </c>
      <c r="AA276" s="2"/>
      <c r="AB276">
        <v>20</v>
      </c>
      <c r="AC276" s="55">
        <f t="shared" si="37"/>
        <v>1989.28905768</v>
      </c>
      <c r="AD276" s="57">
        <v>0</v>
      </c>
      <c r="AE276" s="55">
        <v>0</v>
      </c>
      <c r="AF276" s="55">
        <v>0</v>
      </c>
      <c r="AG276" s="52">
        <f t="shared" si="41"/>
        <v>8.0430744532722323E-2</v>
      </c>
      <c r="AH276" s="51"/>
      <c r="AI276" s="52"/>
      <c r="AJ276" s="52"/>
      <c r="AK276" s="28">
        <v>1.875</v>
      </c>
      <c r="AL276" s="28">
        <v>2.5</v>
      </c>
      <c r="AM276" s="28">
        <v>0.625</v>
      </c>
      <c r="AN276" s="28">
        <v>1.75</v>
      </c>
      <c r="AO276" s="28">
        <v>0.27777777777777779</v>
      </c>
      <c r="AP276" s="28">
        <v>0.37037037037037029</v>
      </c>
      <c r="AQ276" s="28">
        <v>9.2592592592592587E-2</v>
      </c>
      <c r="AR276" s="28">
        <v>0.25925925925925919</v>
      </c>
      <c r="AS276" s="25">
        <v>0.95</v>
      </c>
      <c r="AT276" s="25">
        <v>3.44</v>
      </c>
      <c r="AU276" s="25">
        <v>2.4900000000000002</v>
      </c>
      <c r="AV276" s="25">
        <v>2.6937500000000001</v>
      </c>
      <c r="AW276">
        <v>2.6937500000000001</v>
      </c>
      <c r="AX276">
        <v>6.2518794218656879</v>
      </c>
      <c r="AY276" s="75"/>
      <c r="AZ276" s="75"/>
      <c r="BA276" s="75"/>
      <c r="BB276">
        <v>4.0215372266361162E-2</v>
      </c>
      <c r="BF276">
        <v>8.0430744532722323E-2</v>
      </c>
      <c r="BG276">
        <v>4.0215372266361162E-2</v>
      </c>
      <c r="BH276">
        <v>0</v>
      </c>
      <c r="BI276" s="79" t="s">
        <v>1264</v>
      </c>
      <c r="BJ276" s="79">
        <v>1423</v>
      </c>
      <c r="BK276" s="79">
        <v>24</v>
      </c>
      <c r="BM276" s="79" t="s">
        <v>464</v>
      </c>
      <c r="BN276" s="79" t="s">
        <v>464</v>
      </c>
      <c r="BO276" s="79">
        <v>0</v>
      </c>
      <c r="BP276" s="79">
        <v>11.08</v>
      </c>
      <c r="BQ276" s="79">
        <v>2</v>
      </c>
      <c r="BR276" s="79">
        <v>10</v>
      </c>
      <c r="BS276" s="79" t="s">
        <v>464</v>
      </c>
      <c r="BT276" s="79" t="s">
        <v>464</v>
      </c>
      <c r="BU276" s="79" t="s">
        <v>1266</v>
      </c>
      <c r="BV276" s="79">
        <v>100</v>
      </c>
      <c r="BW276" s="79">
        <v>400</v>
      </c>
      <c r="BX276" s="79" t="s">
        <v>1311</v>
      </c>
      <c r="BY276" s="79">
        <v>333</v>
      </c>
      <c r="BZ276" s="81">
        <v>901.78571428571433</v>
      </c>
      <c r="CA276">
        <f t="shared" si="40"/>
        <v>6.8043769245283023</v>
      </c>
    </row>
    <row r="277" spans="1:79" x14ac:dyDescent="0.3">
      <c r="A277" s="2" t="s">
        <v>162</v>
      </c>
      <c r="B277" s="13" t="s">
        <v>783</v>
      </c>
      <c r="C277" s="13"/>
      <c r="D277" s="2">
        <v>4.25</v>
      </c>
      <c r="E277" s="2" t="s">
        <v>154</v>
      </c>
      <c r="F277" s="9">
        <v>-1</v>
      </c>
      <c r="G277">
        <v>-1</v>
      </c>
      <c r="I277" s="2">
        <v>8</v>
      </c>
      <c r="J277" s="25">
        <v>0</v>
      </c>
      <c r="K277">
        <v>0</v>
      </c>
      <c r="L277">
        <v>0</v>
      </c>
      <c r="M277" s="2">
        <f t="shared" si="42"/>
        <v>7.8140000000000001</v>
      </c>
      <c r="N277" s="2">
        <f t="shared" si="42"/>
        <v>7.8140000000000001</v>
      </c>
      <c r="O277" s="2">
        <v>31.54</v>
      </c>
      <c r="P277" s="2"/>
      <c r="Q277" s="2"/>
      <c r="R277" s="25">
        <v>0</v>
      </c>
      <c r="S277" s="25"/>
      <c r="T277" s="25"/>
      <c r="U277">
        <v>0</v>
      </c>
      <c r="X277">
        <v>0</v>
      </c>
      <c r="AA277" s="2"/>
      <c r="AB277">
        <v>20</v>
      </c>
      <c r="AC277" s="55">
        <f t="shared" si="37"/>
        <v>1925.78811784</v>
      </c>
      <c r="AD277" s="57">
        <v>0</v>
      </c>
      <c r="AE277" s="55">
        <v>0</v>
      </c>
      <c r="AF277" s="55">
        <v>0</v>
      </c>
      <c r="AG277" s="52">
        <f t="shared" si="41"/>
        <v>8.3082868004949059E-2</v>
      </c>
      <c r="AH277" s="51"/>
      <c r="AI277" s="52"/>
      <c r="AJ277" s="52"/>
      <c r="AK277" s="28">
        <v>1.9375</v>
      </c>
      <c r="AL277" s="28">
        <v>2.5</v>
      </c>
      <c r="AM277" s="28">
        <v>0.5625</v>
      </c>
      <c r="AN277" s="28">
        <v>2.625</v>
      </c>
      <c r="AO277" s="28">
        <v>0.25409836065573771</v>
      </c>
      <c r="AP277" s="28">
        <v>0.32786885245901642</v>
      </c>
      <c r="AQ277" s="28">
        <v>7.3770491803278687E-2</v>
      </c>
      <c r="AR277" s="28">
        <v>0.34426229508196721</v>
      </c>
      <c r="AS277" s="25">
        <v>0.95</v>
      </c>
      <c r="AT277" s="25">
        <v>3.44</v>
      </c>
      <c r="AU277" s="25">
        <v>2.4900000000000002</v>
      </c>
      <c r="AV277" s="25">
        <v>2.6875</v>
      </c>
      <c r="AW277">
        <v>2.6875</v>
      </c>
      <c r="AX277">
        <v>6.2580179843656882</v>
      </c>
      <c r="AY277" s="75"/>
      <c r="AZ277" s="75"/>
      <c r="BA277" s="75"/>
      <c r="BB277">
        <v>4.154143400247453E-2</v>
      </c>
      <c r="BF277">
        <v>8.3082868004949059E-2</v>
      </c>
      <c r="BG277">
        <v>4.154143400247453E-2</v>
      </c>
      <c r="BH277">
        <v>0</v>
      </c>
      <c r="BI277" s="79" t="s">
        <v>1264</v>
      </c>
      <c r="BJ277" s="79">
        <v>1423</v>
      </c>
      <c r="BK277" s="79">
        <v>24</v>
      </c>
      <c r="BM277" s="79" t="s">
        <v>464</v>
      </c>
      <c r="BN277" s="79" t="s">
        <v>464</v>
      </c>
      <c r="BO277" s="79">
        <v>0</v>
      </c>
      <c r="BP277" s="79">
        <v>12.1</v>
      </c>
      <c r="BQ277" s="79">
        <v>2</v>
      </c>
      <c r="BR277" s="79">
        <v>10</v>
      </c>
      <c r="BS277" s="79" t="s">
        <v>464</v>
      </c>
      <c r="BT277" s="79" t="s">
        <v>464</v>
      </c>
      <c r="BU277" s="79" t="s">
        <v>1266</v>
      </c>
      <c r="BV277" s="79">
        <v>100</v>
      </c>
      <c r="BW277" s="79">
        <v>400</v>
      </c>
      <c r="BX277" s="79" t="s">
        <v>1311</v>
      </c>
      <c r="BY277" s="79">
        <v>333</v>
      </c>
      <c r="BZ277" s="81">
        <v>370.53571428571433</v>
      </c>
      <c r="CA277">
        <f t="shared" si="40"/>
        <v>5.9149498349236955</v>
      </c>
    </row>
    <row r="278" spans="1:79" x14ac:dyDescent="0.3">
      <c r="A278" s="2" t="s">
        <v>151</v>
      </c>
      <c r="B278" s="17" t="s">
        <v>774</v>
      </c>
      <c r="C278" s="13"/>
      <c r="D278" s="2">
        <v>3.35</v>
      </c>
      <c r="E278" s="2" t="s">
        <v>154</v>
      </c>
      <c r="F278" s="9">
        <v>-1</v>
      </c>
      <c r="G278">
        <v>-1</v>
      </c>
      <c r="I278" s="2">
        <v>8</v>
      </c>
      <c r="J278" s="25">
        <v>0</v>
      </c>
      <c r="K278">
        <v>0</v>
      </c>
      <c r="L278">
        <v>0</v>
      </c>
      <c r="M278" s="2">
        <f>3.88*2</f>
        <v>7.76</v>
      </c>
      <c r="N278" s="2">
        <f>3.88*2</f>
        <v>7.76</v>
      </c>
      <c r="O278" s="2">
        <v>33</v>
      </c>
      <c r="P278" s="2"/>
      <c r="Q278" s="2"/>
      <c r="R278" s="25">
        <v>0</v>
      </c>
      <c r="S278" s="25"/>
      <c r="T278" s="25"/>
      <c r="U278">
        <v>0</v>
      </c>
      <c r="X278">
        <v>0</v>
      </c>
      <c r="AA278" s="2"/>
      <c r="AB278">
        <v>20</v>
      </c>
      <c r="AC278" s="55">
        <f t="shared" si="37"/>
        <v>1987.1807999999999</v>
      </c>
      <c r="AD278" s="57">
        <v>0</v>
      </c>
      <c r="AE278" s="55">
        <v>0</v>
      </c>
      <c r="AF278" s="55">
        <v>0</v>
      </c>
      <c r="AG278" s="52">
        <f t="shared" si="41"/>
        <v>8.0516075839702161E-2</v>
      </c>
      <c r="AH278" s="51"/>
      <c r="AI278" s="52"/>
      <c r="AJ278" s="52"/>
      <c r="AK278" s="28">
        <v>1.75</v>
      </c>
      <c r="AL278" s="28">
        <v>2.5</v>
      </c>
      <c r="AM278" s="28">
        <v>0.75</v>
      </c>
      <c r="AN278" s="28">
        <v>0</v>
      </c>
      <c r="AO278" s="28">
        <v>0.35</v>
      </c>
      <c r="AP278" s="28">
        <v>0.5</v>
      </c>
      <c r="AQ278" s="28">
        <v>0.15</v>
      </c>
      <c r="AR278" s="28">
        <v>0</v>
      </c>
      <c r="AS278" s="25">
        <v>0.95</v>
      </c>
      <c r="AT278" s="25">
        <v>3.44</v>
      </c>
      <c r="AU278" s="25">
        <v>2.4900000000000002</v>
      </c>
      <c r="AV278" s="25">
        <v>2.7062499999999998</v>
      </c>
      <c r="AW278">
        <v>2.7062499999999998</v>
      </c>
      <c r="AX278">
        <v>6.2396022968656872</v>
      </c>
      <c r="AY278" s="75"/>
      <c r="AZ278" s="75"/>
      <c r="BA278" s="75"/>
      <c r="BB278">
        <v>4.0258037919851081E-2</v>
      </c>
      <c r="BF278">
        <v>8.0516075839702161E-2</v>
      </c>
      <c r="BG278">
        <v>4.0258037919851081E-2</v>
      </c>
      <c r="BH278">
        <v>0</v>
      </c>
      <c r="BI278" s="79" t="s">
        <v>1264</v>
      </c>
      <c r="BJ278" s="79">
        <v>1423</v>
      </c>
      <c r="BK278" s="79">
        <v>24</v>
      </c>
      <c r="BM278" s="79" t="s">
        <v>1275</v>
      </c>
      <c r="BN278" s="79" t="s">
        <v>863</v>
      </c>
      <c r="BO278" s="79">
        <v>4</v>
      </c>
      <c r="BP278" s="79">
        <v>11.84</v>
      </c>
      <c r="BQ278" s="79">
        <v>2</v>
      </c>
      <c r="BR278" s="79">
        <v>10</v>
      </c>
      <c r="BS278" s="79" t="s">
        <v>464</v>
      </c>
      <c r="BT278" s="79" t="s">
        <v>464</v>
      </c>
      <c r="BU278" s="79" t="s">
        <v>1266</v>
      </c>
      <c r="BV278" s="79">
        <v>100</v>
      </c>
      <c r="BW278" s="79">
        <v>400</v>
      </c>
      <c r="BX278" s="79" t="s">
        <v>1311</v>
      </c>
      <c r="BY278" s="79">
        <v>333</v>
      </c>
      <c r="BZ278" s="81">
        <v>6785.7142857142862</v>
      </c>
      <c r="CA278">
        <f t="shared" si="40"/>
        <v>8.8225748409674196</v>
      </c>
    </row>
    <row r="279" spans="1:79" x14ac:dyDescent="0.3">
      <c r="A279" s="2" t="s">
        <v>159</v>
      </c>
      <c r="B279" s="17" t="s">
        <v>780</v>
      </c>
      <c r="C279" s="13"/>
      <c r="D279" s="2">
        <v>3.74</v>
      </c>
      <c r="E279" s="2" t="s">
        <v>154</v>
      </c>
      <c r="F279" s="9">
        <v>-1</v>
      </c>
      <c r="G279">
        <v>-1</v>
      </c>
      <c r="I279" s="2">
        <v>8</v>
      </c>
      <c r="J279" s="25">
        <v>0</v>
      </c>
      <c r="K279">
        <v>0</v>
      </c>
      <c r="L279">
        <v>0</v>
      </c>
      <c r="M279" s="2">
        <f t="shared" ref="M279:N282" si="43">3.88*2</f>
        <v>7.76</v>
      </c>
      <c r="N279" s="2">
        <f t="shared" si="43"/>
        <v>7.76</v>
      </c>
      <c r="O279" s="2">
        <v>33.08</v>
      </c>
      <c r="P279" s="2"/>
      <c r="Q279" s="2"/>
      <c r="R279" s="25">
        <v>0</v>
      </c>
      <c r="S279" s="25"/>
      <c r="T279" s="25"/>
      <c r="U279">
        <v>0</v>
      </c>
      <c r="X279">
        <v>0</v>
      </c>
      <c r="AA279" s="2"/>
      <c r="AB279">
        <v>20</v>
      </c>
      <c r="AC279" s="55">
        <f t="shared" si="37"/>
        <v>1991.9982079999997</v>
      </c>
      <c r="AD279" s="57">
        <v>0</v>
      </c>
      <c r="AE279" s="55">
        <v>0</v>
      </c>
      <c r="AF279" s="55">
        <v>0</v>
      </c>
      <c r="AG279" s="52">
        <f t="shared" si="41"/>
        <v>8.0321357397526341E-2</v>
      </c>
      <c r="AH279" s="51"/>
      <c r="AI279" s="52"/>
      <c r="AJ279" s="52"/>
      <c r="AK279" s="28">
        <v>1.8125</v>
      </c>
      <c r="AL279" s="28">
        <v>2.5</v>
      </c>
      <c r="AM279" s="28">
        <v>0.6875</v>
      </c>
      <c r="AN279" s="28">
        <v>0.875</v>
      </c>
      <c r="AO279" s="28">
        <v>0.30851063829787229</v>
      </c>
      <c r="AP279" s="28">
        <v>0.42553191489361702</v>
      </c>
      <c r="AQ279" s="28">
        <v>0.1170212765957447</v>
      </c>
      <c r="AR279" s="28">
        <v>0.14893617021276601</v>
      </c>
      <c r="AS279" s="25">
        <v>0.95</v>
      </c>
      <c r="AT279" s="25">
        <v>3.44</v>
      </c>
      <c r="AU279" s="25">
        <v>2.4900000000000002</v>
      </c>
      <c r="AV279" s="25">
        <v>2.7</v>
      </c>
      <c r="AW279">
        <v>2.7</v>
      </c>
      <c r="AX279">
        <v>6.2457408593656876</v>
      </c>
      <c r="AY279" s="75"/>
      <c r="AZ279" s="75"/>
      <c r="BA279" s="75"/>
      <c r="BB279">
        <v>4.0160678698763171E-2</v>
      </c>
      <c r="BF279">
        <v>8.0321357397526341E-2</v>
      </c>
      <c r="BG279">
        <v>4.0160678698763171E-2</v>
      </c>
      <c r="BH279">
        <v>0</v>
      </c>
      <c r="BI279" s="79" t="s">
        <v>1264</v>
      </c>
      <c r="BJ279" s="79">
        <v>1423</v>
      </c>
      <c r="BK279" s="79">
        <v>24</v>
      </c>
      <c r="BM279" s="79" t="s">
        <v>1275</v>
      </c>
      <c r="BN279" s="79" t="s">
        <v>863</v>
      </c>
      <c r="BO279" s="79">
        <v>4</v>
      </c>
      <c r="BP279" s="79">
        <v>11.25</v>
      </c>
      <c r="BQ279" s="79">
        <v>2</v>
      </c>
      <c r="BR279" s="79">
        <v>10</v>
      </c>
      <c r="BS279" s="79" t="s">
        <v>464</v>
      </c>
      <c r="BT279" s="79" t="s">
        <v>464</v>
      </c>
      <c r="BU279" s="79" t="s">
        <v>1266</v>
      </c>
      <c r="BV279" s="79">
        <v>100</v>
      </c>
      <c r="BW279" s="79">
        <v>400</v>
      </c>
      <c r="BX279" s="79" t="s">
        <v>1311</v>
      </c>
      <c r="BY279" s="79">
        <v>333</v>
      </c>
      <c r="BZ279" s="81">
        <v>9285.7142857142862</v>
      </c>
      <c r="CA279">
        <f t="shared" si="40"/>
        <v>9.136232399822461</v>
      </c>
    </row>
    <row r="280" spans="1:79" x14ac:dyDescent="0.3">
      <c r="A280" s="2" t="s">
        <v>160</v>
      </c>
      <c r="B280" s="17" t="s">
        <v>781</v>
      </c>
      <c r="C280" s="13"/>
      <c r="D280" s="2">
        <v>3.74</v>
      </c>
      <c r="E280" s="2" t="s">
        <v>154</v>
      </c>
      <c r="F280" s="9">
        <v>-1</v>
      </c>
      <c r="G280">
        <v>-1</v>
      </c>
      <c r="I280" s="2">
        <v>8</v>
      </c>
      <c r="J280" s="25">
        <v>0</v>
      </c>
      <c r="K280">
        <v>0</v>
      </c>
      <c r="L280">
        <v>0</v>
      </c>
      <c r="M280" s="2">
        <f t="shared" si="43"/>
        <v>7.76</v>
      </c>
      <c r="N280" s="2">
        <f t="shared" si="43"/>
        <v>7.76</v>
      </c>
      <c r="O280" s="2">
        <v>33.24</v>
      </c>
      <c r="P280" s="2"/>
      <c r="Q280" s="2"/>
      <c r="R280" s="25">
        <v>0</v>
      </c>
      <c r="S280" s="25"/>
      <c r="T280" s="25"/>
      <c r="U280">
        <v>0</v>
      </c>
      <c r="X280">
        <v>0</v>
      </c>
      <c r="AA280" s="2"/>
      <c r="AB280">
        <v>20</v>
      </c>
      <c r="AC280" s="55">
        <f t="shared" si="37"/>
        <v>2001.633024</v>
      </c>
      <c r="AD280" s="57">
        <v>0</v>
      </c>
      <c r="AE280" s="55">
        <v>0</v>
      </c>
      <c r="AF280" s="55">
        <v>0</v>
      </c>
      <c r="AG280" s="52">
        <f t="shared" si="41"/>
        <v>7.9934732331834277E-2</v>
      </c>
      <c r="AH280" s="51"/>
      <c r="AI280" s="52"/>
      <c r="AJ280" s="52"/>
      <c r="AK280" s="28">
        <v>1.8666666666666669</v>
      </c>
      <c r="AL280" s="28">
        <v>2.666666666666667</v>
      </c>
      <c r="AM280" s="28">
        <v>0.46666666666666667</v>
      </c>
      <c r="AN280" s="28">
        <v>0.93333333333333335</v>
      </c>
      <c r="AO280" s="28">
        <v>0.3146067415730337</v>
      </c>
      <c r="AP280" s="28">
        <v>0.44943820224719089</v>
      </c>
      <c r="AQ280" s="28">
        <v>7.8651685393258425E-2</v>
      </c>
      <c r="AR280" s="28">
        <v>0.15730337078651679</v>
      </c>
      <c r="AS280" s="25">
        <v>0.95</v>
      </c>
      <c r="AT280" s="25">
        <v>3.44</v>
      </c>
      <c r="AU280" s="25">
        <v>2.4900000000000002</v>
      </c>
      <c r="AV280" s="25">
        <v>2.773333333333333</v>
      </c>
      <c r="AW280">
        <v>2.773333333333333</v>
      </c>
      <c r="AX280">
        <v>6.4062483499900669</v>
      </c>
      <c r="AY280" s="75"/>
      <c r="AZ280" s="75"/>
      <c r="BA280" s="75"/>
      <c r="BB280">
        <v>3.9967366165917138E-2</v>
      </c>
      <c r="BF280">
        <v>7.9934732331834277E-2</v>
      </c>
      <c r="BG280">
        <v>3.9967366165917138E-2</v>
      </c>
      <c r="BH280">
        <v>0</v>
      </c>
      <c r="BI280" s="79" t="s">
        <v>1264</v>
      </c>
      <c r="BJ280" s="79">
        <v>1423</v>
      </c>
      <c r="BK280" s="79">
        <v>24</v>
      </c>
      <c r="BM280" s="79" t="s">
        <v>1275</v>
      </c>
      <c r="BN280" s="79" t="s">
        <v>863</v>
      </c>
      <c r="BO280" s="79">
        <v>4</v>
      </c>
      <c r="BP280" s="79">
        <v>10.97</v>
      </c>
      <c r="BQ280" s="79">
        <v>2</v>
      </c>
      <c r="BR280" s="79">
        <v>10</v>
      </c>
      <c r="BS280" s="79" t="s">
        <v>464</v>
      </c>
      <c r="BT280" s="79" t="s">
        <v>464</v>
      </c>
      <c r="BU280" s="79" t="s">
        <v>1266</v>
      </c>
      <c r="BV280" s="79">
        <v>100</v>
      </c>
      <c r="BW280" s="79">
        <v>400</v>
      </c>
      <c r="BX280" s="79" t="s">
        <v>1311</v>
      </c>
      <c r="BY280" s="79">
        <v>333</v>
      </c>
      <c r="BZ280" s="81">
        <v>2767.8571428571431</v>
      </c>
      <c r="CA280">
        <f t="shared" si="40"/>
        <v>7.9258287051662348</v>
      </c>
    </row>
    <row r="281" spans="1:79" x14ac:dyDescent="0.3">
      <c r="A281" s="2" t="s">
        <v>161</v>
      </c>
      <c r="B281" s="17" t="s">
        <v>782</v>
      </c>
      <c r="C281" s="13"/>
      <c r="D281" s="2">
        <v>3.78</v>
      </c>
      <c r="E281" s="2" t="s">
        <v>154</v>
      </c>
      <c r="F281" s="9">
        <v>-1</v>
      </c>
      <c r="G281">
        <v>-1</v>
      </c>
      <c r="I281" s="2">
        <v>8</v>
      </c>
      <c r="J281" s="25">
        <v>0</v>
      </c>
      <c r="K281">
        <v>0</v>
      </c>
      <c r="L281">
        <v>0</v>
      </c>
      <c r="M281" s="2">
        <f t="shared" si="43"/>
        <v>7.76</v>
      </c>
      <c r="N281" s="2">
        <f t="shared" si="43"/>
        <v>7.76</v>
      </c>
      <c r="O281" s="2">
        <v>33</v>
      </c>
      <c r="P281" s="2"/>
      <c r="Q281" s="2"/>
      <c r="R281" s="25">
        <v>0</v>
      </c>
      <c r="S281" s="25"/>
      <c r="T281" s="25"/>
      <c r="U281">
        <v>0</v>
      </c>
      <c r="X281">
        <v>0</v>
      </c>
      <c r="AA281" s="2"/>
      <c r="AB281">
        <v>20</v>
      </c>
      <c r="AC281" s="55">
        <f t="shared" si="37"/>
        <v>1987.1807999999999</v>
      </c>
      <c r="AD281" s="57">
        <v>0</v>
      </c>
      <c r="AE281" s="55">
        <v>0</v>
      </c>
      <c r="AF281" s="55">
        <v>0</v>
      </c>
      <c r="AG281" s="52">
        <f t="shared" si="41"/>
        <v>8.0516075839702161E-2</v>
      </c>
      <c r="AH281" s="51"/>
      <c r="AI281" s="52"/>
      <c r="AJ281" s="52"/>
      <c r="AK281" s="28">
        <v>1.875</v>
      </c>
      <c r="AL281" s="28">
        <v>2.5</v>
      </c>
      <c r="AM281" s="28">
        <v>0.625</v>
      </c>
      <c r="AN281" s="28">
        <v>1.75</v>
      </c>
      <c r="AO281" s="28">
        <v>0.27777777777777779</v>
      </c>
      <c r="AP281" s="28">
        <v>0.37037037037037029</v>
      </c>
      <c r="AQ281" s="28">
        <v>9.2592592592592587E-2</v>
      </c>
      <c r="AR281" s="28">
        <v>0.25925925925925919</v>
      </c>
      <c r="AS281" s="25">
        <v>0.95</v>
      </c>
      <c r="AT281" s="25">
        <v>3.44</v>
      </c>
      <c r="AU281" s="25">
        <v>2.4900000000000002</v>
      </c>
      <c r="AV281" s="25">
        <v>2.6937500000000001</v>
      </c>
      <c r="AW281">
        <v>2.6937500000000001</v>
      </c>
      <c r="AX281">
        <v>6.2518794218656879</v>
      </c>
      <c r="AY281" s="75"/>
      <c r="AZ281" s="75"/>
      <c r="BA281" s="75"/>
      <c r="BB281">
        <v>4.0258037919851081E-2</v>
      </c>
      <c r="BF281">
        <v>8.0516075839702161E-2</v>
      </c>
      <c r="BG281">
        <v>4.0258037919851081E-2</v>
      </c>
      <c r="BH281">
        <v>0</v>
      </c>
      <c r="BI281" s="79" t="s">
        <v>1264</v>
      </c>
      <c r="BJ281" s="79">
        <v>1423</v>
      </c>
      <c r="BK281" s="79">
        <v>24</v>
      </c>
      <c r="BM281" s="79" t="s">
        <v>1275</v>
      </c>
      <c r="BN281" s="79" t="s">
        <v>863</v>
      </c>
      <c r="BO281" s="79">
        <v>4</v>
      </c>
      <c r="BP281" s="79">
        <v>11.41</v>
      </c>
      <c r="BQ281" s="79">
        <v>2</v>
      </c>
      <c r="BR281" s="79">
        <v>10</v>
      </c>
      <c r="BS281" s="79" t="s">
        <v>464</v>
      </c>
      <c r="BT281" s="79" t="s">
        <v>464</v>
      </c>
      <c r="BU281" s="79" t="s">
        <v>1266</v>
      </c>
      <c r="BV281" s="79">
        <v>100</v>
      </c>
      <c r="BW281" s="79">
        <v>400</v>
      </c>
      <c r="BX281" s="79" t="s">
        <v>1311</v>
      </c>
      <c r="BY281" s="79">
        <v>333</v>
      </c>
      <c r="BZ281" s="81">
        <v>1473.2142857142858</v>
      </c>
      <c r="CA281">
        <f t="shared" si="40"/>
        <v>7.2952018815876229</v>
      </c>
    </row>
    <row r="282" spans="1:79" x14ac:dyDescent="0.3">
      <c r="A282" s="2" t="s">
        <v>162</v>
      </c>
      <c r="B282" s="17" t="s">
        <v>783</v>
      </c>
      <c r="C282" s="13"/>
      <c r="D282" s="2">
        <v>3.99</v>
      </c>
      <c r="E282" s="2" t="s">
        <v>154</v>
      </c>
      <c r="F282" s="9">
        <v>-1</v>
      </c>
      <c r="G282">
        <v>-1</v>
      </c>
      <c r="I282" s="2">
        <v>8</v>
      </c>
      <c r="J282" s="25">
        <v>0</v>
      </c>
      <c r="K282">
        <v>0</v>
      </c>
      <c r="L282">
        <v>0</v>
      </c>
      <c r="M282" s="2">
        <f t="shared" si="43"/>
        <v>7.76</v>
      </c>
      <c r="N282" s="2">
        <f t="shared" si="43"/>
        <v>7.76</v>
      </c>
      <c r="O282" s="2">
        <v>29.18</v>
      </c>
      <c r="P282" s="2"/>
      <c r="Q282" s="2"/>
      <c r="R282" s="25">
        <v>0</v>
      </c>
      <c r="S282" s="25"/>
      <c r="T282" s="25"/>
      <c r="U282">
        <v>0</v>
      </c>
      <c r="X282">
        <v>0</v>
      </c>
      <c r="AA282" s="2"/>
      <c r="AB282">
        <v>20</v>
      </c>
      <c r="AC282" s="55">
        <f t="shared" si="37"/>
        <v>1757.1495679999998</v>
      </c>
      <c r="AD282" s="57">
        <v>0</v>
      </c>
      <c r="AE282" s="55">
        <v>0</v>
      </c>
      <c r="AF282" s="55">
        <v>0</v>
      </c>
      <c r="AG282" s="52">
        <f t="shared" si="41"/>
        <v>9.1056562807065505E-2</v>
      </c>
      <c r="AH282" s="51"/>
      <c r="AI282" s="52"/>
      <c r="AJ282" s="52"/>
      <c r="AK282" s="28">
        <v>1.9375</v>
      </c>
      <c r="AL282" s="28">
        <v>2.5</v>
      </c>
      <c r="AM282" s="28">
        <v>0.5625</v>
      </c>
      <c r="AN282" s="28">
        <v>2.625</v>
      </c>
      <c r="AO282" s="28">
        <v>0.25409836065573771</v>
      </c>
      <c r="AP282" s="28">
        <v>0.32786885245901642</v>
      </c>
      <c r="AQ282" s="28">
        <v>7.3770491803278687E-2</v>
      </c>
      <c r="AR282" s="28">
        <v>0.34426229508196721</v>
      </c>
      <c r="AS282" s="25">
        <v>0.95</v>
      </c>
      <c r="AT282" s="25">
        <v>3.44</v>
      </c>
      <c r="AU282" s="25">
        <v>2.4900000000000002</v>
      </c>
      <c r="AV282" s="25">
        <v>2.6875</v>
      </c>
      <c r="AW282">
        <v>2.6875</v>
      </c>
      <c r="AX282">
        <v>6.2580179843656882</v>
      </c>
      <c r="AY282" s="75"/>
      <c r="AZ282" s="75"/>
      <c r="BA282" s="75"/>
      <c r="BB282">
        <v>4.5528281403532753E-2</v>
      </c>
      <c r="BF282">
        <v>9.1056562807065505E-2</v>
      </c>
      <c r="BG282">
        <v>4.5528281403532753E-2</v>
      </c>
      <c r="BH282">
        <v>0</v>
      </c>
      <c r="BI282" s="79" t="s">
        <v>1264</v>
      </c>
      <c r="BJ282" s="79">
        <v>1423</v>
      </c>
      <c r="BK282" s="79">
        <v>24</v>
      </c>
      <c r="BM282" s="79" t="s">
        <v>1275</v>
      </c>
      <c r="BN282" s="79" t="s">
        <v>863</v>
      </c>
      <c r="BO282" s="79">
        <v>4</v>
      </c>
      <c r="BP282" s="79">
        <v>11.97</v>
      </c>
      <c r="BQ282" s="79">
        <v>2</v>
      </c>
      <c r="BR282" s="79">
        <v>10</v>
      </c>
      <c r="BS282" s="79" t="s">
        <v>464</v>
      </c>
      <c r="BT282" s="79" t="s">
        <v>464</v>
      </c>
      <c r="BU282" s="79" t="s">
        <v>1266</v>
      </c>
      <c r="BV282" s="79">
        <v>100</v>
      </c>
      <c r="BW282" s="79">
        <v>400</v>
      </c>
      <c r="BX282" s="79" t="s">
        <v>1311</v>
      </c>
      <c r="BY282" s="79">
        <v>333</v>
      </c>
      <c r="BZ282" s="81">
        <v>401.78571428571433</v>
      </c>
      <c r="CA282">
        <f t="shared" si="40"/>
        <v>5.9959188974573623</v>
      </c>
    </row>
    <row r="283" spans="1:79" x14ac:dyDescent="0.3">
      <c r="A283" s="2" t="s">
        <v>8</v>
      </c>
      <c r="B283" s="17"/>
      <c r="C283" s="13"/>
      <c r="D283" s="2"/>
      <c r="E283" s="2" t="s">
        <v>154</v>
      </c>
      <c r="F283" s="82" t="s">
        <v>530</v>
      </c>
      <c r="G283" t="s">
        <v>612</v>
      </c>
      <c r="I283" s="2"/>
      <c r="J283" s="25"/>
      <c r="M283" s="2"/>
      <c r="N283" s="2"/>
      <c r="O283" s="2"/>
      <c r="P283" s="2"/>
      <c r="Q283" s="2"/>
      <c r="R283" s="25"/>
      <c r="S283" s="25"/>
      <c r="T283" s="25"/>
      <c r="AA283" s="2"/>
      <c r="AC283" s="55"/>
      <c r="AD283" s="57"/>
      <c r="AE283" s="55"/>
      <c r="AF283" s="55"/>
      <c r="AG283" s="52"/>
      <c r="AH283" s="51"/>
      <c r="AI283" s="52"/>
      <c r="AJ283" s="52"/>
      <c r="AK283" s="28"/>
      <c r="AL283" s="28"/>
      <c r="AM283" s="28"/>
      <c r="AN283" s="28"/>
      <c r="AO283" s="28"/>
      <c r="AP283" s="28"/>
      <c r="AQ283" s="28"/>
      <c r="AR283" s="28"/>
      <c r="AS283" s="25"/>
      <c r="AT283" s="25"/>
      <c r="AU283" s="25"/>
      <c r="AV283" s="25"/>
      <c r="AY283" s="75"/>
      <c r="AZ283" s="75"/>
      <c r="BA283" s="75"/>
      <c r="BI283" s="79" t="s">
        <v>1264</v>
      </c>
      <c r="BJ283" s="79">
        <v>1423</v>
      </c>
      <c r="BK283" s="79">
        <v>24</v>
      </c>
      <c r="BM283" s="79" t="s">
        <v>464</v>
      </c>
      <c r="BN283" s="79" t="s">
        <v>464</v>
      </c>
      <c r="BO283" s="79">
        <v>0</v>
      </c>
      <c r="BP283" s="79">
        <v>49</v>
      </c>
      <c r="BQ283" s="79">
        <v>2</v>
      </c>
      <c r="BR283" s="79">
        <v>10</v>
      </c>
      <c r="BS283" s="79" t="s">
        <v>464</v>
      </c>
      <c r="BT283" s="79" t="s">
        <v>464</v>
      </c>
      <c r="BU283" s="79" t="s">
        <v>1266</v>
      </c>
      <c r="BV283" s="79">
        <v>100</v>
      </c>
      <c r="BW283" s="79">
        <v>400</v>
      </c>
      <c r="BX283" s="79" t="s">
        <v>1311</v>
      </c>
      <c r="BY283" s="79">
        <v>333</v>
      </c>
      <c r="BZ283" s="81">
        <v>1.7857142857142858</v>
      </c>
      <c r="CA283">
        <f t="shared" si="40"/>
        <v>0.57981849525294216</v>
      </c>
    </row>
    <row r="284" spans="1:79" x14ac:dyDescent="0.3">
      <c r="A284" s="2" t="s">
        <v>8</v>
      </c>
      <c r="B284" s="17"/>
      <c r="C284" s="13"/>
      <c r="D284" s="2"/>
      <c r="E284" s="2" t="s">
        <v>154</v>
      </c>
      <c r="F284" s="82" t="s">
        <v>530</v>
      </c>
      <c r="G284" t="s">
        <v>612</v>
      </c>
      <c r="I284" s="2"/>
      <c r="J284" s="25"/>
      <c r="M284" s="2"/>
      <c r="N284" s="2"/>
      <c r="O284" s="2"/>
      <c r="P284" s="2"/>
      <c r="Q284" s="2"/>
      <c r="R284" s="25"/>
      <c r="S284" s="25"/>
      <c r="T284" s="25"/>
      <c r="AA284" s="2"/>
      <c r="AC284" s="55"/>
      <c r="AD284" s="57"/>
      <c r="AE284" s="55"/>
      <c r="AF284" s="55"/>
      <c r="AG284" s="52"/>
      <c r="AH284" s="51"/>
      <c r="AI284" s="52"/>
      <c r="AJ284" s="52"/>
      <c r="AK284" s="28"/>
      <c r="AL284" s="28"/>
      <c r="AM284" s="28"/>
      <c r="AN284" s="28"/>
      <c r="AO284" s="28"/>
      <c r="AP284" s="28"/>
      <c r="AQ284" s="28"/>
      <c r="AR284" s="28"/>
      <c r="AS284" s="25"/>
      <c r="AT284" s="25"/>
      <c r="AU284" s="25"/>
      <c r="AV284" s="25"/>
      <c r="AY284" s="75"/>
      <c r="AZ284" s="75"/>
      <c r="BA284" s="75"/>
      <c r="BI284" s="79" t="s">
        <v>1264</v>
      </c>
      <c r="BJ284" s="79">
        <v>1423</v>
      </c>
      <c r="BK284" s="79">
        <v>24</v>
      </c>
      <c r="BM284" s="79" t="s">
        <v>1275</v>
      </c>
      <c r="BN284" s="79" t="s">
        <v>863</v>
      </c>
      <c r="BO284" s="79">
        <v>4</v>
      </c>
      <c r="BP284" s="79">
        <v>49</v>
      </c>
      <c r="BQ284" s="79">
        <v>2</v>
      </c>
      <c r="BR284" s="79">
        <v>10</v>
      </c>
      <c r="BS284" s="79" t="s">
        <v>464</v>
      </c>
      <c r="BT284" s="79" t="s">
        <v>464</v>
      </c>
      <c r="BU284" s="79" t="s">
        <v>1266</v>
      </c>
      <c r="BV284" s="79">
        <v>100</v>
      </c>
      <c r="BW284" s="79">
        <v>400</v>
      </c>
      <c r="BX284" s="79" t="s">
        <v>1311</v>
      </c>
      <c r="BY284" s="79">
        <v>333</v>
      </c>
      <c r="BZ284" s="81">
        <v>58.928571428571431</v>
      </c>
      <c r="CA284">
        <f t="shared" si="40"/>
        <v>4.0763260567194228</v>
      </c>
    </row>
    <row r="285" spans="1:79" x14ac:dyDescent="0.3">
      <c r="A285" s="2" t="s">
        <v>4</v>
      </c>
      <c r="B285" s="13" t="s">
        <v>689</v>
      </c>
      <c r="C285" s="13"/>
      <c r="D285" s="2">
        <v>3.5</v>
      </c>
      <c r="E285" s="2" t="s">
        <v>163</v>
      </c>
      <c r="F285" s="9" t="s">
        <v>527</v>
      </c>
      <c r="G285" t="s">
        <v>609</v>
      </c>
      <c r="I285" s="2"/>
      <c r="J285" s="25"/>
      <c r="M285" s="2"/>
      <c r="N285" s="2"/>
      <c r="O285" s="2"/>
      <c r="P285" s="2"/>
      <c r="Q285" s="2"/>
      <c r="R285" s="25"/>
      <c r="S285" s="25"/>
      <c r="T285" s="25"/>
      <c r="AA285" s="2"/>
      <c r="AC285" s="55"/>
      <c r="AD285" s="57"/>
      <c r="AE285" s="55"/>
      <c r="AF285" s="55"/>
      <c r="AG285" s="52"/>
      <c r="AH285" s="51"/>
      <c r="AI285" s="52"/>
      <c r="AJ285" s="52"/>
      <c r="AK285" s="28"/>
      <c r="AL285" s="28"/>
      <c r="AM285" s="28"/>
      <c r="AN285" s="28"/>
      <c r="AO285" s="28"/>
      <c r="AP285" s="28"/>
      <c r="AQ285" s="28"/>
      <c r="AR285" s="28"/>
      <c r="AS285" s="25"/>
      <c r="AT285" s="25"/>
      <c r="AU285" s="25"/>
      <c r="AV285" s="25"/>
      <c r="AY285" s="75"/>
      <c r="AZ285" s="75"/>
      <c r="BA285" s="75"/>
      <c r="BI285" s="79" t="s">
        <v>1264</v>
      </c>
      <c r="BJ285" s="79">
        <v>1423</v>
      </c>
      <c r="BK285" s="79">
        <v>10</v>
      </c>
      <c r="BM285" s="79" t="s">
        <v>1275</v>
      </c>
      <c r="BN285" s="79" t="s">
        <v>863</v>
      </c>
      <c r="BO285" s="79">
        <v>0</v>
      </c>
      <c r="BP285" s="79">
        <v>30</v>
      </c>
      <c r="BQ285" s="79">
        <v>0.5</v>
      </c>
      <c r="BR285" s="79">
        <v>0</v>
      </c>
      <c r="BS285" s="79" t="s">
        <v>1335</v>
      </c>
      <c r="BT285" s="79" t="s">
        <v>464</v>
      </c>
      <c r="BU285" s="79" t="s">
        <v>1271</v>
      </c>
      <c r="BV285" s="79">
        <v>300</v>
      </c>
      <c r="BW285" s="79">
        <v>300</v>
      </c>
      <c r="BX285" s="79" t="s">
        <v>1311</v>
      </c>
      <c r="BZ285" s="81">
        <v>4</v>
      </c>
      <c r="CA285">
        <f t="shared" si="40"/>
        <v>1.3862943611198906</v>
      </c>
    </row>
    <row r="286" spans="1:79" x14ac:dyDescent="0.3">
      <c r="A286" s="2" t="s">
        <v>4</v>
      </c>
      <c r="B286" s="13" t="s">
        <v>689</v>
      </c>
      <c r="C286" s="13"/>
      <c r="D286" s="2">
        <v>3.5</v>
      </c>
      <c r="E286" s="2" t="s">
        <v>163</v>
      </c>
      <c r="F286" s="9" t="s">
        <v>527</v>
      </c>
      <c r="G286" t="s">
        <v>609</v>
      </c>
      <c r="I286" s="2"/>
      <c r="J286" s="25"/>
      <c r="M286" s="2"/>
      <c r="N286" s="2"/>
      <c r="O286" s="2"/>
      <c r="P286" s="2"/>
      <c r="Q286" s="2"/>
      <c r="R286" s="25"/>
      <c r="S286" s="25"/>
      <c r="T286" s="25"/>
      <c r="AA286" s="2"/>
      <c r="AC286" s="55"/>
      <c r="AD286" s="57"/>
      <c r="AE286" s="55"/>
      <c r="AF286" s="55"/>
      <c r="AG286" s="52"/>
      <c r="AH286" s="51"/>
      <c r="AI286" s="52"/>
      <c r="AJ286" s="52"/>
      <c r="AK286" s="28"/>
      <c r="AL286" s="28"/>
      <c r="AM286" s="28"/>
      <c r="AN286" s="28"/>
      <c r="AO286" s="28"/>
      <c r="AP286" s="28"/>
      <c r="AQ286" s="28"/>
      <c r="AR286" s="28"/>
      <c r="AS286" s="25"/>
      <c r="AT286" s="25"/>
      <c r="AU286" s="25"/>
      <c r="AV286" s="25"/>
      <c r="AY286" s="75"/>
      <c r="AZ286" s="75"/>
      <c r="BA286" s="75"/>
      <c r="BI286" s="79" t="s">
        <v>1264</v>
      </c>
      <c r="BJ286" s="79">
        <v>1423</v>
      </c>
      <c r="BK286" s="79">
        <v>10</v>
      </c>
      <c r="BM286" s="79" t="s">
        <v>1275</v>
      </c>
      <c r="BN286" s="79" t="s">
        <v>863</v>
      </c>
      <c r="BO286" s="79">
        <v>0.2</v>
      </c>
      <c r="BP286" s="79">
        <v>30</v>
      </c>
      <c r="BQ286" s="79">
        <v>0.5</v>
      </c>
      <c r="BR286" s="79">
        <v>0</v>
      </c>
      <c r="BS286" s="79" t="s">
        <v>1335</v>
      </c>
      <c r="BT286" s="79" t="s">
        <v>464</v>
      </c>
      <c r="BU286" s="79" t="s">
        <v>1271</v>
      </c>
      <c r="BV286" s="79">
        <v>300</v>
      </c>
      <c r="BW286" s="79">
        <v>300</v>
      </c>
      <c r="BX286" s="79" t="s">
        <v>1311</v>
      </c>
      <c r="BZ286" s="81">
        <v>64</v>
      </c>
      <c r="CA286">
        <f t="shared" si="40"/>
        <v>4.1588830833596715</v>
      </c>
    </row>
    <row r="287" spans="1:79" x14ac:dyDescent="0.3">
      <c r="A287" s="2" t="s">
        <v>4</v>
      </c>
      <c r="B287" s="13" t="s">
        <v>689</v>
      </c>
      <c r="C287" s="13"/>
      <c r="D287" s="2">
        <v>3.5</v>
      </c>
      <c r="E287" s="2" t="s">
        <v>163</v>
      </c>
      <c r="F287" s="9" t="s">
        <v>527</v>
      </c>
      <c r="G287" t="s">
        <v>609</v>
      </c>
      <c r="I287" s="2"/>
      <c r="J287" s="25"/>
      <c r="M287" s="2"/>
      <c r="N287" s="2"/>
      <c r="O287" s="2"/>
      <c r="P287" s="2"/>
      <c r="Q287" s="2"/>
      <c r="R287" s="25"/>
      <c r="S287" s="25"/>
      <c r="T287" s="25"/>
      <c r="AA287" s="2"/>
      <c r="AC287" s="55"/>
      <c r="AD287" s="57"/>
      <c r="AE287" s="55"/>
      <c r="AF287" s="55"/>
      <c r="AG287" s="52"/>
      <c r="AH287" s="51"/>
      <c r="AI287" s="52"/>
      <c r="AJ287" s="52"/>
      <c r="AK287" s="28"/>
      <c r="AL287" s="28"/>
      <c r="AM287" s="28"/>
      <c r="AN287" s="28"/>
      <c r="AO287" s="28"/>
      <c r="AP287" s="28"/>
      <c r="AQ287" s="28"/>
      <c r="AR287" s="28"/>
      <c r="AS287" s="25"/>
      <c r="AT287" s="25"/>
      <c r="AU287" s="25"/>
      <c r="AV287" s="25"/>
      <c r="AY287" s="75"/>
      <c r="AZ287" s="75"/>
      <c r="BA287" s="75"/>
      <c r="BI287" s="79" t="s">
        <v>1264</v>
      </c>
      <c r="BJ287" s="79">
        <v>1423</v>
      </c>
      <c r="BK287" s="79">
        <v>10</v>
      </c>
      <c r="BM287" s="79" t="s">
        <v>1275</v>
      </c>
      <c r="BN287" s="79" t="s">
        <v>863</v>
      </c>
      <c r="BO287" s="79">
        <v>0.4</v>
      </c>
      <c r="BP287" s="79">
        <v>30</v>
      </c>
      <c r="BQ287" s="79">
        <v>0.5</v>
      </c>
      <c r="BR287" s="79">
        <v>0</v>
      </c>
      <c r="BS287" s="79" t="s">
        <v>1335</v>
      </c>
      <c r="BT287" s="79" t="s">
        <v>464</v>
      </c>
      <c r="BU287" s="79" t="s">
        <v>1271</v>
      </c>
      <c r="BV287" s="79">
        <v>300</v>
      </c>
      <c r="BW287" s="79">
        <v>300</v>
      </c>
      <c r="BX287" s="79" t="s">
        <v>1311</v>
      </c>
      <c r="BZ287" s="81">
        <v>92</v>
      </c>
      <c r="CA287">
        <f t="shared" si="40"/>
        <v>4.5217885770490405</v>
      </c>
    </row>
    <row r="288" spans="1:79" x14ac:dyDescent="0.3">
      <c r="A288" s="2" t="s">
        <v>4</v>
      </c>
      <c r="B288" s="13" t="s">
        <v>689</v>
      </c>
      <c r="C288" s="13"/>
      <c r="D288" s="2">
        <v>3.5</v>
      </c>
      <c r="E288" s="2" t="s">
        <v>163</v>
      </c>
      <c r="F288" s="9" t="s">
        <v>527</v>
      </c>
      <c r="G288" t="s">
        <v>609</v>
      </c>
      <c r="I288" s="2"/>
      <c r="J288" s="25"/>
      <c r="M288" s="2"/>
      <c r="N288" s="2"/>
      <c r="O288" s="2"/>
      <c r="P288" s="2"/>
      <c r="Q288" s="2"/>
      <c r="R288" s="25"/>
      <c r="S288" s="25"/>
      <c r="T288" s="25"/>
      <c r="AA288" s="2"/>
      <c r="AC288" s="55"/>
      <c r="AD288" s="57"/>
      <c r="AE288" s="55"/>
      <c r="AF288" s="55"/>
      <c r="AG288" s="52"/>
      <c r="AH288" s="51"/>
      <c r="AI288" s="52"/>
      <c r="AJ288" s="52"/>
      <c r="AK288" s="28"/>
      <c r="AL288" s="28"/>
      <c r="AM288" s="28"/>
      <c r="AN288" s="28"/>
      <c r="AO288" s="28"/>
      <c r="AP288" s="28"/>
      <c r="AQ288" s="28"/>
      <c r="AR288" s="28"/>
      <c r="AS288" s="25"/>
      <c r="AT288" s="25"/>
      <c r="AU288" s="25"/>
      <c r="AV288" s="25"/>
      <c r="AY288" s="75"/>
      <c r="AZ288" s="75"/>
      <c r="BA288" s="75"/>
      <c r="BI288" s="79" t="s">
        <v>1264</v>
      </c>
      <c r="BJ288" s="79">
        <v>1423</v>
      </c>
      <c r="BK288" s="79">
        <v>10</v>
      </c>
      <c r="BM288" s="79" t="s">
        <v>1275</v>
      </c>
      <c r="BN288" s="79" t="s">
        <v>863</v>
      </c>
      <c r="BO288" s="79">
        <v>0.6</v>
      </c>
      <c r="BP288" s="79">
        <v>30</v>
      </c>
      <c r="BQ288" s="79">
        <v>0.5</v>
      </c>
      <c r="BR288" s="79">
        <v>0</v>
      </c>
      <c r="BS288" s="79" t="s">
        <v>1335</v>
      </c>
      <c r="BT288" s="79" t="s">
        <v>464</v>
      </c>
      <c r="BU288" s="79" t="s">
        <v>1271</v>
      </c>
      <c r="BV288" s="79">
        <v>300</v>
      </c>
      <c r="BW288" s="79">
        <v>300</v>
      </c>
      <c r="BX288" s="79" t="s">
        <v>1311</v>
      </c>
      <c r="BZ288" s="81">
        <v>140</v>
      </c>
      <c r="CA288">
        <f t="shared" si="40"/>
        <v>4.9416424226093039</v>
      </c>
    </row>
    <row r="289" spans="1:79" x14ac:dyDescent="0.3">
      <c r="A289" s="2" t="s">
        <v>4</v>
      </c>
      <c r="B289" s="13" t="s">
        <v>689</v>
      </c>
      <c r="C289" s="13"/>
      <c r="D289" s="2">
        <v>3.5</v>
      </c>
      <c r="E289" s="2" t="s">
        <v>163</v>
      </c>
      <c r="F289" s="9" t="s">
        <v>527</v>
      </c>
      <c r="G289" t="s">
        <v>609</v>
      </c>
      <c r="I289" s="2"/>
      <c r="J289" s="25"/>
      <c r="M289" s="2"/>
      <c r="N289" s="2"/>
      <c r="O289" s="2"/>
      <c r="P289" s="2"/>
      <c r="Q289" s="2"/>
      <c r="R289" s="25"/>
      <c r="S289" s="25"/>
      <c r="T289" s="25"/>
      <c r="AA289" s="2"/>
      <c r="AC289" s="55"/>
      <c r="AD289" s="57"/>
      <c r="AE289" s="55"/>
      <c r="AF289" s="55"/>
      <c r="AG289" s="52"/>
      <c r="AH289" s="51"/>
      <c r="AI289" s="52"/>
      <c r="AJ289" s="52"/>
      <c r="AK289" s="28"/>
      <c r="AL289" s="28"/>
      <c r="AM289" s="28"/>
      <c r="AN289" s="28"/>
      <c r="AO289" s="28"/>
      <c r="AP289" s="28"/>
      <c r="AQ289" s="28"/>
      <c r="AR289" s="28"/>
      <c r="AS289" s="25"/>
      <c r="AT289" s="25"/>
      <c r="AU289" s="25"/>
      <c r="AV289" s="25"/>
      <c r="AY289" s="75"/>
      <c r="AZ289" s="75"/>
      <c r="BA289" s="75"/>
      <c r="BI289" s="79" t="s">
        <v>1264</v>
      </c>
      <c r="BJ289" s="79">
        <v>1423</v>
      </c>
      <c r="BK289" s="79">
        <v>10</v>
      </c>
      <c r="BM289" s="79" t="s">
        <v>1275</v>
      </c>
      <c r="BN289" s="79" t="s">
        <v>863</v>
      </c>
      <c r="BO289" s="79">
        <v>0.8</v>
      </c>
      <c r="BP289" s="79">
        <v>30</v>
      </c>
      <c r="BQ289" s="79">
        <v>0.5</v>
      </c>
      <c r="BR289" s="79">
        <v>0</v>
      </c>
      <c r="BS289" s="79" t="s">
        <v>1335</v>
      </c>
      <c r="BT289" s="79" t="s">
        <v>464</v>
      </c>
      <c r="BU289" s="79" t="s">
        <v>1271</v>
      </c>
      <c r="BV289" s="79">
        <v>300</v>
      </c>
      <c r="BW289" s="79">
        <v>300</v>
      </c>
      <c r="BX289" s="79" t="s">
        <v>1311</v>
      </c>
      <c r="BZ289" s="81">
        <v>150</v>
      </c>
      <c r="CA289">
        <f t="shared" si="40"/>
        <v>5.0106352940962555</v>
      </c>
    </row>
    <row r="290" spans="1:79" x14ac:dyDescent="0.3">
      <c r="A290" s="2" t="s">
        <v>4</v>
      </c>
      <c r="B290" s="13" t="s">
        <v>689</v>
      </c>
      <c r="C290" s="13"/>
      <c r="D290" s="2">
        <v>3.5</v>
      </c>
      <c r="E290" s="2" t="s">
        <v>163</v>
      </c>
      <c r="F290" s="9" t="s">
        <v>527</v>
      </c>
      <c r="G290" t="s">
        <v>609</v>
      </c>
      <c r="I290" s="2"/>
      <c r="J290" s="25"/>
      <c r="M290" s="2"/>
      <c r="N290" s="2"/>
      <c r="O290" s="2"/>
      <c r="P290" s="2"/>
      <c r="Q290" s="2"/>
      <c r="R290" s="25"/>
      <c r="S290" s="25"/>
      <c r="T290" s="25"/>
      <c r="AA290" s="2"/>
      <c r="AC290" s="55"/>
      <c r="AD290" s="57"/>
      <c r="AE290" s="55"/>
      <c r="AF290" s="55"/>
      <c r="AG290" s="52"/>
      <c r="AH290" s="51"/>
      <c r="AI290" s="52"/>
      <c r="AJ290" s="52"/>
      <c r="AK290" s="28"/>
      <c r="AL290" s="28"/>
      <c r="AM290" s="28"/>
      <c r="AN290" s="28"/>
      <c r="AO290" s="28"/>
      <c r="AP290" s="28"/>
      <c r="AQ290" s="28"/>
      <c r="AR290" s="28"/>
      <c r="AS290" s="25"/>
      <c r="AT290" s="25"/>
      <c r="AU290" s="25"/>
      <c r="AV290" s="25"/>
      <c r="AY290" s="75"/>
      <c r="AZ290" s="75"/>
      <c r="BA290" s="75"/>
      <c r="BI290" s="79" t="s">
        <v>1264</v>
      </c>
      <c r="BJ290" s="79">
        <v>1423</v>
      </c>
      <c r="BK290" s="79">
        <v>10</v>
      </c>
      <c r="BM290" s="79" t="s">
        <v>1275</v>
      </c>
      <c r="BN290" s="79" t="s">
        <v>863</v>
      </c>
      <c r="BO290" s="79">
        <v>1</v>
      </c>
      <c r="BP290" s="79">
        <v>30</v>
      </c>
      <c r="BQ290" s="79">
        <v>0.5</v>
      </c>
      <c r="BR290" s="79">
        <v>0</v>
      </c>
      <c r="BS290" s="79" t="s">
        <v>1335</v>
      </c>
      <c r="BT290" s="79" t="s">
        <v>464</v>
      </c>
      <c r="BU290" s="79" t="s">
        <v>1271</v>
      </c>
      <c r="BV290" s="79">
        <v>300</v>
      </c>
      <c r="BW290" s="79">
        <v>300</v>
      </c>
      <c r="BX290" s="79" t="s">
        <v>1311</v>
      </c>
      <c r="BZ290" s="81">
        <v>146</v>
      </c>
      <c r="CA290">
        <f t="shared" si="40"/>
        <v>4.9836066217083363</v>
      </c>
    </row>
    <row r="291" spans="1:79" x14ac:dyDescent="0.3">
      <c r="A291" s="2" t="s">
        <v>4</v>
      </c>
      <c r="B291" s="13" t="s">
        <v>689</v>
      </c>
      <c r="C291" s="13"/>
      <c r="D291" s="2">
        <v>3.5</v>
      </c>
      <c r="E291" s="2" t="s">
        <v>163</v>
      </c>
      <c r="F291" s="9" t="s">
        <v>527</v>
      </c>
      <c r="G291" t="s">
        <v>609</v>
      </c>
      <c r="I291" s="2"/>
      <c r="J291" s="25"/>
      <c r="M291" s="2"/>
      <c r="N291" s="2"/>
      <c r="O291" s="2"/>
      <c r="P291" s="2"/>
      <c r="Q291" s="2"/>
      <c r="R291" s="25"/>
      <c r="S291" s="25"/>
      <c r="T291" s="25"/>
      <c r="AA291" s="2"/>
      <c r="AC291" s="55"/>
      <c r="AD291" s="57"/>
      <c r="AE291" s="55"/>
      <c r="AF291" s="55"/>
      <c r="AG291" s="52"/>
      <c r="AH291" s="51"/>
      <c r="AI291" s="52"/>
      <c r="AJ291" s="52"/>
      <c r="AK291" s="28"/>
      <c r="AL291" s="28"/>
      <c r="AM291" s="28"/>
      <c r="AN291" s="28"/>
      <c r="AO291" s="28"/>
      <c r="AP291" s="28"/>
      <c r="AQ291" s="28"/>
      <c r="AR291" s="28"/>
      <c r="AS291" s="25"/>
      <c r="AT291" s="25"/>
      <c r="AU291" s="25"/>
      <c r="AV291" s="25"/>
      <c r="AY291" s="75"/>
      <c r="AZ291" s="75"/>
      <c r="BA291" s="75"/>
      <c r="BI291" s="79" t="s">
        <v>1264</v>
      </c>
      <c r="BJ291" s="79">
        <v>1423</v>
      </c>
      <c r="BK291" s="79">
        <v>10</v>
      </c>
      <c r="BM291" s="79" t="s">
        <v>1275</v>
      </c>
      <c r="BN291" s="79" t="s">
        <v>863</v>
      </c>
      <c r="BO291" s="79">
        <v>1.2</v>
      </c>
      <c r="BP291" s="79">
        <v>30</v>
      </c>
      <c r="BQ291" s="79">
        <v>0.5</v>
      </c>
      <c r="BR291" s="79">
        <v>0</v>
      </c>
      <c r="BS291" s="79" t="s">
        <v>1335</v>
      </c>
      <c r="BT291" s="79" t="s">
        <v>464</v>
      </c>
      <c r="BU291" s="79" t="s">
        <v>1271</v>
      </c>
      <c r="BV291" s="79">
        <v>300</v>
      </c>
      <c r="BW291" s="79">
        <v>300</v>
      </c>
      <c r="BX291" s="79" t="s">
        <v>1311</v>
      </c>
      <c r="BZ291" s="81">
        <v>128</v>
      </c>
      <c r="CA291">
        <f t="shared" si="40"/>
        <v>4.8520302639196169</v>
      </c>
    </row>
    <row r="292" spans="1:79" x14ac:dyDescent="0.3">
      <c r="A292" s="2" t="s">
        <v>4</v>
      </c>
      <c r="B292" s="13" t="s">
        <v>689</v>
      </c>
      <c r="C292" s="13"/>
      <c r="D292" s="2">
        <v>3.5</v>
      </c>
      <c r="E292" s="2" t="s">
        <v>163</v>
      </c>
      <c r="F292" s="9" t="s">
        <v>527</v>
      </c>
      <c r="G292" t="s">
        <v>609</v>
      </c>
      <c r="I292" s="2"/>
      <c r="J292" s="25"/>
      <c r="M292" s="2"/>
      <c r="N292" s="2"/>
      <c r="O292" s="2"/>
      <c r="P292" s="2"/>
      <c r="Q292" s="2"/>
      <c r="R292" s="25"/>
      <c r="S292" s="25"/>
      <c r="T292" s="25"/>
      <c r="AA292" s="2"/>
      <c r="AC292" s="55"/>
      <c r="AD292" s="57"/>
      <c r="AE292" s="55"/>
      <c r="AF292" s="55"/>
      <c r="AG292" s="52"/>
      <c r="AH292" s="51"/>
      <c r="AI292" s="52"/>
      <c r="AJ292" s="52"/>
      <c r="AK292" s="28"/>
      <c r="AL292" s="28"/>
      <c r="AM292" s="28"/>
      <c r="AN292" s="28"/>
      <c r="AO292" s="28"/>
      <c r="AP292" s="28"/>
      <c r="AQ292" s="28"/>
      <c r="AR292" s="28"/>
      <c r="AS292" s="25"/>
      <c r="AT292" s="25"/>
      <c r="AU292" s="25"/>
      <c r="AV292" s="25"/>
      <c r="AY292" s="75"/>
      <c r="AZ292" s="75"/>
      <c r="BA292" s="75"/>
      <c r="BI292" s="79" t="s">
        <v>1264</v>
      </c>
      <c r="BJ292" s="79">
        <v>1423</v>
      </c>
      <c r="BK292" s="79">
        <v>10</v>
      </c>
      <c r="BM292" s="79" t="s">
        <v>1275</v>
      </c>
      <c r="BN292" s="79" t="s">
        <v>863</v>
      </c>
      <c r="BO292" s="79">
        <v>3</v>
      </c>
      <c r="BP292" s="79">
        <v>30</v>
      </c>
      <c r="BQ292" s="79">
        <v>0.5</v>
      </c>
      <c r="BR292" s="79">
        <v>0</v>
      </c>
      <c r="BS292" s="79" t="s">
        <v>1335</v>
      </c>
      <c r="BT292" s="79" t="s">
        <v>464</v>
      </c>
      <c r="BU292" s="79" t="s">
        <v>1271</v>
      </c>
      <c r="BV292" s="79">
        <v>300</v>
      </c>
      <c r="BW292" s="79">
        <v>300</v>
      </c>
      <c r="BX292" s="79" t="s">
        <v>1311</v>
      </c>
      <c r="BZ292" s="81">
        <v>56</v>
      </c>
      <c r="CA292">
        <f t="shared" si="40"/>
        <v>4.0253516907351496</v>
      </c>
    </row>
    <row r="293" spans="1:79" x14ac:dyDescent="0.3">
      <c r="A293" s="2" t="s">
        <v>4</v>
      </c>
      <c r="B293" s="13" t="s">
        <v>689</v>
      </c>
      <c r="C293" s="13"/>
      <c r="D293" s="2">
        <v>3.5</v>
      </c>
      <c r="E293" s="2" t="s">
        <v>163</v>
      </c>
      <c r="F293" s="9" t="s">
        <v>527</v>
      </c>
      <c r="G293" t="s">
        <v>609</v>
      </c>
      <c r="I293" s="2"/>
      <c r="J293" s="25"/>
      <c r="M293" s="2"/>
      <c r="N293" s="2"/>
      <c r="O293" s="2"/>
      <c r="P293" s="2"/>
      <c r="Q293" s="2"/>
      <c r="R293" s="25"/>
      <c r="S293" s="25"/>
      <c r="T293" s="25"/>
      <c r="AA293" s="2"/>
      <c r="AC293" s="55"/>
      <c r="AD293" s="57"/>
      <c r="AE293" s="55"/>
      <c r="AF293" s="55"/>
      <c r="AG293" s="52"/>
      <c r="AH293" s="51"/>
      <c r="AI293" s="52"/>
      <c r="AJ293" s="52"/>
      <c r="AK293" s="28"/>
      <c r="AL293" s="28"/>
      <c r="AM293" s="28"/>
      <c r="AN293" s="28"/>
      <c r="AO293" s="28"/>
      <c r="AP293" s="28"/>
      <c r="AQ293" s="28"/>
      <c r="AR293" s="28"/>
      <c r="AS293" s="25"/>
      <c r="AT293" s="25"/>
      <c r="AU293" s="25"/>
      <c r="AV293" s="25"/>
      <c r="AY293" s="75"/>
      <c r="AZ293" s="75"/>
      <c r="BA293" s="75"/>
      <c r="BI293" s="79" t="s">
        <v>1264</v>
      </c>
      <c r="BJ293" s="79">
        <v>1423</v>
      </c>
      <c r="BK293" s="79">
        <v>10</v>
      </c>
      <c r="BM293" s="79" t="s">
        <v>1275</v>
      </c>
      <c r="BN293" s="79" t="s">
        <v>863</v>
      </c>
      <c r="BO293" s="79">
        <v>4</v>
      </c>
      <c r="BP293" s="79">
        <v>30</v>
      </c>
      <c r="BQ293" s="79">
        <v>0.5</v>
      </c>
      <c r="BR293" s="79">
        <v>0</v>
      </c>
      <c r="BS293" s="79" t="s">
        <v>1335</v>
      </c>
      <c r="BT293" s="79" t="s">
        <v>464</v>
      </c>
      <c r="BU293" s="79" t="s">
        <v>1271</v>
      </c>
      <c r="BV293" s="79">
        <v>300</v>
      </c>
      <c r="BW293" s="79">
        <v>300</v>
      </c>
      <c r="BX293" s="79" t="s">
        <v>1311</v>
      </c>
      <c r="BZ293" s="81">
        <v>20</v>
      </c>
      <c r="CA293">
        <f t="shared" si="40"/>
        <v>2.9957322735539909</v>
      </c>
    </row>
    <row r="294" spans="1:79" x14ac:dyDescent="0.3">
      <c r="A294" s="2" t="s">
        <v>165</v>
      </c>
      <c r="B294" s="13" t="s">
        <v>784</v>
      </c>
      <c r="C294" s="13"/>
      <c r="D294" s="2">
        <v>2.84</v>
      </c>
      <c r="E294" s="2" t="s">
        <v>164</v>
      </c>
      <c r="F294" s="9">
        <v>-1</v>
      </c>
      <c r="G294">
        <v>-1</v>
      </c>
      <c r="I294" s="2">
        <v>2</v>
      </c>
      <c r="J294" s="25">
        <v>0</v>
      </c>
      <c r="K294">
        <v>0</v>
      </c>
      <c r="L294">
        <v>0</v>
      </c>
      <c r="M294" s="2"/>
      <c r="N294" s="2"/>
      <c r="O294" s="2"/>
      <c r="P294" s="2"/>
      <c r="Q294" s="2"/>
      <c r="R294" s="25">
        <v>0</v>
      </c>
      <c r="S294" s="25"/>
      <c r="T294" s="25"/>
      <c r="U294">
        <v>0</v>
      </c>
      <c r="X294">
        <v>0</v>
      </c>
      <c r="AA294" s="2"/>
      <c r="AB294">
        <v>18</v>
      </c>
      <c r="AC294" s="55">
        <f t="shared" si="37"/>
        <v>0</v>
      </c>
      <c r="AD294" s="57">
        <v>0</v>
      </c>
      <c r="AE294" s="55">
        <v>0</v>
      </c>
      <c r="AF294" s="55">
        <v>0</v>
      </c>
      <c r="AG294" s="52" t="e">
        <f t="shared" si="41"/>
        <v>#DIV/0!</v>
      </c>
      <c r="AH294" s="51"/>
      <c r="AI294" s="52"/>
      <c r="AJ294" s="52"/>
      <c r="AK294" s="28">
        <v>1.8</v>
      </c>
      <c r="AL294" s="28">
        <v>2.4</v>
      </c>
      <c r="AM294" s="28">
        <v>1.1333333333333331</v>
      </c>
      <c r="AN294" s="28">
        <v>0</v>
      </c>
      <c r="AO294" s="28">
        <v>0.33750000000000002</v>
      </c>
      <c r="AP294" s="28">
        <v>0.45</v>
      </c>
      <c r="AQ294" s="28">
        <v>0.21249999999999999</v>
      </c>
      <c r="AR294" s="28">
        <v>0</v>
      </c>
      <c r="AS294" s="25">
        <v>0.93</v>
      </c>
      <c r="AT294" s="25">
        <v>3.44</v>
      </c>
      <c r="AU294" s="25">
        <v>2.5099999999999998</v>
      </c>
      <c r="AV294" s="25">
        <v>2.6033333333333331</v>
      </c>
      <c r="AW294">
        <v>2.6033333333333331</v>
      </c>
      <c r="AX294">
        <v>5.9143459586666669</v>
      </c>
      <c r="AY294" s="75"/>
      <c r="AZ294" s="75"/>
      <c r="BA294" s="75"/>
      <c r="BB294">
        <v>5.0758522673197588E-2</v>
      </c>
      <c r="BF294">
        <v>0.1015170453463952</v>
      </c>
      <c r="BG294">
        <v>5.0758522673197588E-2</v>
      </c>
      <c r="BH294">
        <v>0</v>
      </c>
      <c r="BI294" s="79" t="s">
        <v>1264</v>
      </c>
      <c r="BJ294" s="79">
        <v>1573</v>
      </c>
      <c r="BK294" s="79">
        <v>10</v>
      </c>
      <c r="BM294" s="79" t="s">
        <v>1268</v>
      </c>
      <c r="BN294" s="79" t="s">
        <v>863</v>
      </c>
      <c r="BO294" s="79">
        <v>0.5</v>
      </c>
      <c r="BP294" s="79">
        <v>1.3</v>
      </c>
      <c r="BQ294" s="79">
        <v>1.35</v>
      </c>
      <c r="BR294" s="79">
        <v>13.3</v>
      </c>
      <c r="BS294" s="79" t="s">
        <v>464</v>
      </c>
      <c r="BT294" s="79" t="s">
        <v>464</v>
      </c>
      <c r="BU294" s="79" t="s">
        <v>1266</v>
      </c>
      <c r="BV294" s="79">
        <v>400</v>
      </c>
      <c r="BX294" s="79" t="s">
        <v>1311</v>
      </c>
      <c r="BZ294" s="81">
        <v>330</v>
      </c>
      <c r="CA294">
        <f t="shared" si="40"/>
        <v>5.7990926544605257</v>
      </c>
    </row>
    <row r="295" spans="1:79" x14ac:dyDescent="0.3">
      <c r="A295" s="2" t="s">
        <v>166</v>
      </c>
      <c r="B295" s="13" t="s">
        <v>785</v>
      </c>
      <c r="C295" s="13"/>
      <c r="D295" s="2">
        <v>3.48</v>
      </c>
      <c r="E295" s="2" t="s">
        <v>164</v>
      </c>
      <c r="F295" s="9">
        <v>-1</v>
      </c>
      <c r="G295">
        <v>-1</v>
      </c>
      <c r="I295" s="2">
        <v>2</v>
      </c>
      <c r="J295" s="25">
        <v>0</v>
      </c>
      <c r="K295">
        <v>0</v>
      </c>
      <c r="L295">
        <v>0</v>
      </c>
      <c r="M295" s="2">
        <v>3.97</v>
      </c>
      <c r="N295" s="2">
        <v>3.97</v>
      </c>
      <c r="O295" s="2">
        <v>22.5</v>
      </c>
      <c r="P295" s="2"/>
      <c r="Q295" s="2"/>
      <c r="R295" s="25">
        <v>0</v>
      </c>
      <c r="S295" s="25"/>
      <c r="T295" s="25"/>
      <c r="U295">
        <v>0</v>
      </c>
      <c r="X295">
        <v>0</v>
      </c>
      <c r="AA295" s="2">
        <v>3</v>
      </c>
      <c r="AB295">
        <v>18</v>
      </c>
      <c r="AC295" s="55">
        <f t="shared" si="37"/>
        <v>354.62025000000006</v>
      </c>
      <c r="AD295" s="57">
        <v>0</v>
      </c>
      <c r="AE295" s="55">
        <v>0</v>
      </c>
      <c r="AF295" s="55">
        <v>0</v>
      </c>
      <c r="AG295" s="52">
        <f t="shared" si="41"/>
        <v>0.10151704534639518</v>
      </c>
      <c r="AH295" s="51"/>
      <c r="AI295" s="52"/>
      <c r="AJ295" s="52"/>
      <c r="AK295" s="28">
        <v>1.8</v>
      </c>
      <c r="AL295" s="28">
        <v>2.4</v>
      </c>
      <c r="AM295" s="28">
        <v>1.1333333333333331</v>
      </c>
      <c r="AN295" s="28">
        <v>0</v>
      </c>
      <c r="AO295" s="28">
        <v>0.33750000000000002</v>
      </c>
      <c r="AP295" s="28">
        <v>0.45</v>
      </c>
      <c r="AQ295" s="28">
        <v>0.21249999999999999</v>
      </c>
      <c r="AR295" s="28">
        <v>0</v>
      </c>
      <c r="AS295" s="25">
        <v>0.79</v>
      </c>
      <c r="AT295" s="25">
        <v>3.44</v>
      </c>
      <c r="AU295" s="25">
        <v>2.65</v>
      </c>
      <c r="AV295" s="25">
        <v>2.5939999999999999</v>
      </c>
      <c r="AW295">
        <v>2.5939999999999999</v>
      </c>
      <c r="AX295">
        <v>5.870297050914334</v>
      </c>
      <c r="AY295" s="75"/>
      <c r="AZ295" s="75"/>
      <c r="BA295" s="75"/>
      <c r="BB295">
        <v>5.0758522673197588E-2</v>
      </c>
      <c r="BF295">
        <v>0.1015170453463952</v>
      </c>
      <c r="BG295">
        <v>5.0758522673197588E-2</v>
      </c>
      <c r="BH295">
        <v>0</v>
      </c>
      <c r="BI295" s="79" t="s">
        <v>1264</v>
      </c>
      <c r="BJ295" s="79">
        <v>1573</v>
      </c>
      <c r="BK295" s="79">
        <v>10</v>
      </c>
      <c r="BM295" s="79" t="s">
        <v>1268</v>
      </c>
      <c r="BN295" s="79" t="s">
        <v>863</v>
      </c>
      <c r="BO295" s="79">
        <v>0.5</v>
      </c>
      <c r="BP295" s="79">
        <v>6.1</v>
      </c>
      <c r="BQ295" s="79">
        <v>1.35</v>
      </c>
      <c r="BR295" s="79">
        <v>13.3</v>
      </c>
      <c r="BS295" s="79" t="s">
        <v>464</v>
      </c>
      <c r="BT295" s="79" t="s">
        <v>464</v>
      </c>
      <c r="BU295" s="79" t="s">
        <v>1266</v>
      </c>
      <c r="BV295" s="79">
        <v>400</v>
      </c>
      <c r="BX295" s="79" t="s">
        <v>1311</v>
      </c>
      <c r="BZ295" s="81">
        <v>1242</v>
      </c>
      <c r="CA295">
        <f t="shared" si="40"/>
        <v>7.1244782624934242</v>
      </c>
    </row>
    <row r="296" spans="1:79" x14ac:dyDescent="0.3">
      <c r="A296" s="5" t="s">
        <v>167</v>
      </c>
      <c r="B296" s="39" t="s">
        <v>786</v>
      </c>
      <c r="C296" s="39"/>
      <c r="D296" s="5">
        <v>3.49</v>
      </c>
      <c r="E296" s="5" t="s">
        <v>164</v>
      </c>
      <c r="F296" s="40">
        <v>-2</v>
      </c>
      <c r="G296" s="5">
        <v>-1</v>
      </c>
      <c r="H296" s="5"/>
      <c r="I296" s="5"/>
      <c r="J296" s="41">
        <v>0</v>
      </c>
      <c r="K296">
        <v>0</v>
      </c>
      <c r="L296">
        <v>0</v>
      </c>
      <c r="M296" s="5"/>
      <c r="N296" s="5"/>
      <c r="O296" s="5"/>
      <c r="P296" s="5"/>
      <c r="Q296" s="5"/>
      <c r="R296" s="41">
        <v>0</v>
      </c>
      <c r="S296" s="41"/>
      <c r="T296" s="41"/>
      <c r="U296">
        <v>0</v>
      </c>
      <c r="X296">
        <v>0</v>
      </c>
      <c r="AA296" s="5"/>
      <c r="AB296" s="5">
        <v>18</v>
      </c>
      <c r="AC296" s="55">
        <f t="shared" ref="AC296:AC402" si="44">M296*N296*O296</f>
        <v>0</v>
      </c>
      <c r="AD296" s="57">
        <v>0</v>
      </c>
      <c r="AE296" s="55">
        <v>0</v>
      </c>
      <c r="AF296" s="55">
        <v>0</v>
      </c>
      <c r="AG296" s="52"/>
      <c r="AH296" s="51"/>
      <c r="AI296" s="52"/>
      <c r="AJ296" s="52"/>
      <c r="AK296" s="5">
        <v>1.8</v>
      </c>
      <c r="AL296" s="5">
        <v>2.4</v>
      </c>
      <c r="AM296" s="5">
        <v>1.1333333333333331</v>
      </c>
      <c r="AN296" s="5">
        <v>0</v>
      </c>
      <c r="AO296" s="5">
        <v>0.33750000000000002</v>
      </c>
      <c r="AP296" s="5">
        <v>0.45</v>
      </c>
      <c r="AQ296" s="5">
        <v>0.21249999999999999</v>
      </c>
      <c r="AR296" s="5">
        <v>0</v>
      </c>
      <c r="AS296" s="41">
        <v>0.95</v>
      </c>
      <c r="AT296" s="41">
        <v>3.44</v>
      </c>
      <c r="AU296" s="41">
        <v>2.4900000000000002</v>
      </c>
      <c r="AV296" s="41">
        <v>2.6880000000000011</v>
      </c>
      <c r="AW296" s="5">
        <v>2.6880000000000002</v>
      </c>
      <c r="AX296" s="5">
        <v>6.2032136049900668</v>
      </c>
      <c r="AY296" s="75"/>
      <c r="AZ296" s="75"/>
      <c r="BA296" s="75"/>
      <c r="BF296">
        <v>0</v>
      </c>
      <c r="BG296">
        <v>0</v>
      </c>
      <c r="BH296">
        <v>0</v>
      </c>
      <c r="BI296" s="79" t="s">
        <v>1264</v>
      </c>
      <c r="BJ296" s="79">
        <v>1573</v>
      </c>
      <c r="BK296" s="79">
        <v>10</v>
      </c>
      <c r="BM296" s="79" t="s">
        <v>1268</v>
      </c>
      <c r="BN296" s="79" t="s">
        <v>863</v>
      </c>
      <c r="BO296" s="79">
        <v>0.5</v>
      </c>
      <c r="BP296" s="79">
        <v>26.7</v>
      </c>
      <c r="BQ296" s="79">
        <v>1.35</v>
      </c>
      <c r="BR296" s="79">
        <v>13.3</v>
      </c>
      <c r="BS296" s="79" t="s">
        <v>464</v>
      </c>
      <c r="BT296" s="79" t="s">
        <v>464</v>
      </c>
      <c r="BU296" s="79" t="s">
        <v>1266</v>
      </c>
      <c r="BV296" s="79">
        <v>400</v>
      </c>
      <c r="BX296" s="79" t="s">
        <v>1311</v>
      </c>
      <c r="BZ296" s="81">
        <v>15000</v>
      </c>
      <c r="CA296">
        <f t="shared" si="40"/>
        <v>9.6158054800843473</v>
      </c>
    </row>
    <row r="297" spans="1:79" x14ac:dyDescent="0.3">
      <c r="A297" s="2" t="s">
        <v>165</v>
      </c>
      <c r="B297" s="13" t="s">
        <v>784</v>
      </c>
      <c r="C297" s="13"/>
      <c r="D297" s="2">
        <v>2.84</v>
      </c>
      <c r="E297" s="2" t="s">
        <v>164</v>
      </c>
      <c r="F297" s="9">
        <v>-1</v>
      </c>
      <c r="G297">
        <v>-1</v>
      </c>
      <c r="I297" s="2">
        <v>2</v>
      </c>
      <c r="J297" s="25">
        <v>0</v>
      </c>
      <c r="K297">
        <v>0</v>
      </c>
      <c r="L297">
        <v>0</v>
      </c>
      <c r="M297" s="2"/>
      <c r="N297" s="2"/>
      <c r="O297" s="2"/>
      <c r="P297" s="2"/>
      <c r="Q297" s="2"/>
      <c r="R297" s="25">
        <v>0</v>
      </c>
      <c r="S297" s="25"/>
      <c r="T297" s="25"/>
      <c r="U297">
        <v>0</v>
      </c>
      <c r="X297">
        <v>0</v>
      </c>
      <c r="AA297" s="2"/>
      <c r="AB297">
        <v>18</v>
      </c>
      <c r="AC297" s="55">
        <f t="shared" si="44"/>
        <v>0</v>
      </c>
      <c r="AD297" s="57">
        <v>0</v>
      </c>
      <c r="AE297" s="55">
        <v>0</v>
      </c>
      <c r="AF297" s="55">
        <v>0</v>
      </c>
      <c r="AG297" s="52" t="e">
        <f t="shared" ref="AG297:AG298" si="45">I297*AB297/AC297</f>
        <v>#DIV/0!</v>
      </c>
      <c r="AH297" s="51"/>
      <c r="AI297" s="52"/>
      <c r="AJ297" s="52"/>
      <c r="AK297" s="28">
        <v>1.8</v>
      </c>
      <c r="AL297" s="28">
        <v>2.4</v>
      </c>
      <c r="AM297" s="28">
        <v>1.1333333333333331</v>
      </c>
      <c r="AN297" s="28">
        <v>0</v>
      </c>
      <c r="AO297" s="28">
        <v>0.33750000000000002</v>
      </c>
      <c r="AP297" s="28">
        <v>0.45</v>
      </c>
      <c r="AQ297" s="28">
        <v>0.21249999999999999</v>
      </c>
      <c r="AR297" s="28">
        <v>0</v>
      </c>
      <c r="AS297" s="25">
        <v>0.93</v>
      </c>
      <c r="AT297" s="25">
        <v>3.44</v>
      </c>
      <c r="AU297" s="25">
        <v>2.5099999999999998</v>
      </c>
      <c r="AV297" s="25">
        <v>2.6033333333333331</v>
      </c>
      <c r="AW297">
        <v>2.6033333333333331</v>
      </c>
      <c r="AX297">
        <v>5.9143459586666669</v>
      </c>
      <c r="AY297" s="75"/>
      <c r="AZ297" s="75"/>
      <c r="BA297" s="75"/>
      <c r="BB297">
        <v>5.0758522673197588E-2</v>
      </c>
      <c r="BF297">
        <v>0.1015170453463952</v>
      </c>
      <c r="BG297">
        <v>5.0758522673197588E-2</v>
      </c>
      <c r="BH297">
        <v>0</v>
      </c>
      <c r="BI297" s="79" t="s">
        <v>1264</v>
      </c>
      <c r="BJ297" s="79">
        <v>1573</v>
      </c>
      <c r="BK297" s="79">
        <v>10</v>
      </c>
      <c r="BM297" s="79" t="s">
        <v>1268</v>
      </c>
      <c r="BN297" s="79" t="s">
        <v>863</v>
      </c>
      <c r="BO297" s="79">
        <v>0.5</v>
      </c>
      <c r="BP297" s="79">
        <v>1.3</v>
      </c>
      <c r="BQ297" s="79">
        <v>1.35</v>
      </c>
      <c r="BR297" s="79">
        <v>13.3</v>
      </c>
      <c r="BS297" s="79" t="s">
        <v>464</v>
      </c>
      <c r="BT297" s="79" t="s">
        <v>464</v>
      </c>
      <c r="BU297" s="79" t="s">
        <v>1271</v>
      </c>
      <c r="BV297" s="79">
        <v>300</v>
      </c>
      <c r="BW297" s="79">
        <v>420</v>
      </c>
      <c r="BX297" s="79" t="s">
        <v>1311</v>
      </c>
      <c r="BZ297" s="81">
        <v>0</v>
      </c>
      <c r="CA297" t="e">
        <f t="shared" si="40"/>
        <v>#NUM!</v>
      </c>
    </row>
    <row r="298" spans="1:79" x14ac:dyDescent="0.3">
      <c r="A298" s="2" t="s">
        <v>166</v>
      </c>
      <c r="B298" s="13" t="s">
        <v>785</v>
      </c>
      <c r="C298" s="13"/>
      <c r="D298" s="2">
        <v>3.48</v>
      </c>
      <c r="E298" s="2" t="s">
        <v>164</v>
      </c>
      <c r="F298" s="9">
        <v>-1</v>
      </c>
      <c r="G298">
        <v>-1</v>
      </c>
      <c r="I298" s="2">
        <v>2</v>
      </c>
      <c r="J298" s="25">
        <v>0</v>
      </c>
      <c r="K298">
        <v>0</v>
      </c>
      <c r="L298">
        <v>0</v>
      </c>
      <c r="M298" s="2">
        <v>3.97</v>
      </c>
      <c r="N298" s="2">
        <v>3.97</v>
      </c>
      <c r="O298" s="2">
        <v>22.5</v>
      </c>
      <c r="P298" s="2"/>
      <c r="Q298" s="2"/>
      <c r="R298" s="25">
        <v>0</v>
      </c>
      <c r="S298" s="25"/>
      <c r="T298" s="25"/>
      <c r="U298">
        <v>0</v>
      </c>
      <c r="X298">
        <v>0</v>
      </c>
      <c r="AA298" s="2">
        <v>3</v>
      </c>
      <c r="AB298">
        <v>18</v>
      </c>
      <c r="AC298" s="55">
        <f t="shared" si="44"/>
        <v>354.62025000000006</v>
      </c>
      <c r="AD298" s="57">
        <v>0</v>
      </c>
      <c r="AE298" s="55">
        <v>0</v>
      </c>
      <c r="AF298" s="55">
        <v>0</v>
      </c>
      <c r="AG298" s="52">
        <f t="shared" si="45"/>
        <v>0.10151704534639518</v>
      </c>
      <c r="AH298" s="51"/>
      <c r="AI298" s="52"/>
      <c r="AJ298" s="52"/>
      <c r="AK298" s="28">
        <v>1.8</v>
      </c>
      <c r="AL298" s="28">
        <v>2.4</v>
      </c>
      <c r="AM298" s="28">
        <v>1.1333333333333331</v>
      </c>
      <c r="AN298" s="28">
        <v>0</v>
      </c>
      <c r="AO298" s="28">
        <v>0.33750000000000002</v>
      </c>
      <c r="AP298" s="28">
        <v>0.45</v>
      </c>
      <c r="AQ298" s="28">
        <v>0.21249999999999999</v>
      </c>
      <c r="AR298" s="28">
        <v>0</v>
      </c>
      <c r="AS298" s="25">
        <v>0.79</v>
      </c>
      <c r="AT298" s="25">
        <v>3.44</v>
      </c>
      <c r="AU298" s="25">
        <v>2.65</v>
      </c>
      <c r="AV298" s="25">
        <v>2.5939999999999999</v>
      </c>
      <c r="AW298">
        <v>2.5939999999999999</v>
      </c>
      <c r="AX298">
        <v>5.870297050914334</v>
      </c>
      <c r="AY298" s="75"/>
      <c r="AZ298" s="75"/>
      <c r="BA298" s="75"/>
      <c r="BB298">
        <v>5.0758522673197588E-2</v>
      </c>
      <c r="BF298">
        <v>0.1015170453463952</v>
      </c>
      <c r="BG298">
        <v>5.0758522673197588E-2</v>
      </c>
      <c r="BH298">
        <v>0</v>
      </c>
      <c r="BI298" s="79" t="s">
        <v>1264</v>
      </c>
      <c r="BJ298" s="79">
        <v>1573</v>
      </c>
      <c r="BK298" s="79">
        <v>10</v>
      </c>
      <c r="BM298" s="79" t="s">
        <v>1268</v>
      </c>
      <c r="BN298" s="79" t="s">
        <v>863</v>
      </c>
      <c r="BO298" s="79">
        <v>0.5</v>
      </c>
      <c r="BP298" s="79">
        <v>6.1</v>
      </c>
      <c r="BQ298" s="79">
        <v>1.35</v>
      </c>
      <c r="BR298" s="79">
        <v>13.3</v>
      </c>
      <c r="BS298" s="79" t="s">
        <v>464</v>
      </c>
      <c r="BT298" s="79" t="s">
        <v>464</v>
      </c>
      <c r="BU298" s="79" t="s">
        <v>1271</v>
      </c>
      <c r="BV298" s="79">
        <v>300</v>
      </c>
      <c r="BW298" s="79">
        <v>420</v>
      </c>
      <c r="BX298" s="79" t="s">
        <v>1311</v>
      </c>
      <c r="BZ298" s="81">
        <v>0.6</v>
      </c>
      <c r="CA298">
        <f t="shared" si="40"/>
        <v>-0.51082562376599072</v>
      </c>
    </row>
    <row r="299" spans="1:79" x14ac:dyDescent="0.3">
      <c r="A299" s="5" t="s">
        <v>167</v>
      </c>
      <c r="B299" s="39" t="s">
        <v>786</v>
      </c>
      <c r="C299" s="39"/>
      <c r="D299" s="5">
        <v>3.49</v>
      </c>
      <c r="E299" s="5" t="s">
        <v>164</v>
      </c>
      <c r="F299" s="40">
        <v>-2</v>
      </c>
      <c r="G299" s="5">
        <v>-1</v>
      </c>
      <c r="H299" s="5"/>
      <c r="I299" s="5"/>
      <c r="J299" s="41">
        <v>0</v>
      </c>
      <c r="K299">
        <v>0</v>
      </c>
      <c r="L299">
        <v>0</v>
      </c>
      <c r="M299" s="5"/>
      <c r="N299" s="5"/>
      <c r="O299" s="5"/>
      <c r="P299" s="5"/>
      <c r="Q299" s="5"/>
      <c r="R299" s="41">
        <v>0</v>
      </c>
      <c r="S299" s="41"/>
      <c r="T299" s="41"/>
      <c r="U299">
        <v>0</v>
      </c>
      <c r="X299">
        <v>0</v>
      </c>
      <c r="AA299" s="5"/>
      <c r="AB299" s="5">
        <v>18</v>
      </c>
      <c r="AC299" s="55">
        <f t="shared" ref="AC299" si="46">M299*N299*O299</f>
        <v>0</v>
      </c>
      <c r="AD299" s="57">
        <v>0</v>
      </c>
      <c r="AE299" s="55">
        <v>0</v>
      </c>
      <c r="AF299" s="55">
        <v>0</v>
      </c>
      <c r="AG299" s="52"/>
      <c r="AH299" s="51"/>
      <c r="AI299" s="52"/>
      <c r="AJ299" s="52"/>
      <c r="AK299" s="5">
        <v>1.8</v>
      </c>
      <c r="AL299" s="5">
        <v>2.4</v>
      </c>
      <c r="AM299" s="5">
        <v>1.1333333333333331</v>
      </c>
      <c r="AN299" s="5">
        <v>0</v>
      </c>
      <c r="AO299" s="5">
        <v>0.33750000000000002</v>
      </c>
      <c r="AP299" s="5">
        <v>0.45</v>
      </c>
      <c r="AQ299" s="5">
        <v>0.21249999999999999</v>
      </c>
      <c r="AR299" s="5">
        <v>0</v>
      </c>
      <c r="AS299" s="41">
        <v>0.95</v>
      </c>
      <c r="AT299" s="41">
        <v>3.44</v>
      </c>
      <c r="AU299" s="41">
        <v>2.4900000000000002</v>
      </c>
      <c r="AV299" s="41">
        <v>2.6880000000000011</v>
      </c>
      <c r="AW299" s="5">
        <v>2.6880000000000002</v>
      </c>
      <c r="AX299" s="5">
        <v>6.2032136049900668</v>
      </c>
      <c r="AY299" s="75"/>
      <c r="AZ299" s="75"/>
      <c r="BA299" s="75"/>
      <c r="BF299">
        <v>0</v>
      </c>
      <c r="BG299">
        <v>0</v>
      </c>
      <c r="BH299">
        <v>0</v>
      </c>
      <c r="BI299" s="79" t="s">
        <v>1264</v>
      </c>
      <c r="BJ299" s="79">
        <v>1573</v>
      </c>
      <c r="BK299" s="79">
        <v>10</v>
      </c>
      <c r="BM299" s="79" t="s">
        <v>1268</v>
      </c>
      <c r="BN299" s="79" t="s">
        <v>863</v>
      </c>
      <c r="BO299" s="79">
        <v>0.5</v>
      </c>
      <c r="BP299" s="79">
        <v>26.7</v>
      </c>
      <c r="BQ299" s="79">
        <v>1.35</v>
      </c>
      <c r="BR299" s="79">
        <v>13.3</v>
      </c>
      <c r="BS299" s="79" t="s">
        <v>464</v>
      </c>
      <c r="BT299" s="79" t="s">
        <v>464</v>
      </c>
      <c r="BU299" s="79" t="s">
        <v>1271</v>
      </c>
      <c r="BV299" s="79">
        <v>300</v>
      </c>
      <c r="BW299" s="79">
        <v>420</v>
      </c>
      <c r="BX299" s="79" t="s">
        <v>1311</v>
      </c>
      <c r="BZ299" s="81">
        <v>3</v>
      </c>
      <c r="CA299">
        <f t="shared" si="40"/>
        <v>1.0986122886681098</v>
      </c>
    </row>
    <row r="300" spans="1:79" x14ac:dyDescent="0.3">
      <c r="A300" s="2" t="s">
        <v>63</v>
      </c>
      <c r="B300" s="68" t="s">
        <v>1222</v>
      </c>
      <c r="C300" s="13"/>
      <c r="D300" s="2">
        <v>3.75</v>
      </c>
      <c r="E300" s="2" t="s">
        <v>168</v>
      </c>
      <c r="F300" s="32" t="s">
        <v>601</v>
      </c>
      <c r="G300" s="1" t="s">
        <v>672</v>
      </c>
      <c r="I300" s="2">
        <v>2</v>
      </c>
      <c r="J300" s="25">
        <v>0</v>
      </c>
      <c r="K300">
        <v>0</v>
      </c>
      <c r="L300">
        <v>0</v>
      </c>
      <c r="M300" s="2">
        <v>3.8530000000000002</v>
      </c>
      <c r="N300" s="2">
        <v>3.8530000000000002</v>
      </c>
      <c r="O300" s="2">
        <v>29</v>
      </c>
      <c r="R300" s="25">
        <v>0</v>
      </c>
      <c r="S300" s="25"/>
      <c r="T300" s="25"/>
      <c r="U300">
        <v>0</v>
      </c>
      <c r="X300">
        <v>0</v>
      </c>
      <c r="AA300" s="2">
        <v>3</v>
      </c>
      <c r="AB300">
        <v>20</v>
      </c>
      <c r="AC300" s="55">
        <f t="shared" si="44"/>
        <v>430.52266100000003</v>
      </c>
      <c r="AD300" s="57">
        <v>0</v>
      </c>
      <c r="AE300" s="55">
        <v>0</v>
      </c>
      <c r="AF300" s="55">
        <v>0</v>
      </c>
      <c r="AG300" s="52">
        <f t="shared" si="41"/>
        <v>9.2910324179195758E-2</v>
      </c>
      <c r="AH300" s="51"/>
      <c r="AI300" s="52"/>
      <c r="AJ300" s="52"/>
      <c r="AK300" s="28">
        <v>1.75</v>
      </c>
      <c r="AL300" s="28">
        <v>2.5</v>
      </c>
      <c r="AM300" s="28">
        <v>0.75</v>
      </c>
      <c r="AN300" s="28">
        <v>0</v>
      </c>
      <c r="AO300" s="28">
        <v>0.35</v>
      </c>
      <c r="AP300" s="28">
        <v>0.5</v>
      </c>
      <c r="AQ300" s="28">
        <v>0.15</v>
      </c>
      <c r="AR300" s="28">
        <v>0</v>
      </c>
      <c r="AS300" s="25">
        <v>1</v>
      </c>
      <c r="AT300" s="25">
        <v>3.44</v>
      </c>
      <c r="AU300" s="25">
        <v>2.44</v>
      </c>
      <c r="AV300" s="25">
        <v>2.7124999999999999</v>
      </c>
      <c r="AW300">
        <v>2.7124999999999999</v>
      </c>
      <c r="AX300">
        <v>6.264025610615688</v>
      </c>
      <c r="AY300" s="75"/>
      <c r="AZ300" s="75"/>
      <c r="BA300" s="75"/>
      <c r="BB300">
        <v>4.6455162089597879E-2</v>
      </c>
      <c r="BF300">
        <v>9.2910324179195758E-2</v>
      </c>
      <c r="BG300">
        <v>4.6455162089597879E-2</v>
      </c>
      <c r="BH300">
        <v>0</v>
      </c>
      <c r="BI300" s="79" t="s">
        <v>1264</v>
      </c>
      <c r="BJ300" s="79">
        <f>1150+273</f>
        <v>1423</v>
      </c>
      <c r="BK300" s="79">
        <v>24</v>
      </c>
      <c r="BM300" s="79" t="s">
        <v>464</v>
      </c>
      <c r="BN300" s="79" t="s">
        <v>464</v>
      </c>
      <c r="BO300" s="79">
        <v>0</v>
      </c>
      <c r="BP300" s="79">
        <v>2.83</v>
      </c>
      <c r="BQ300" s="79">
        <v>2</v>
      </c>
      <c r="BR300" s="79">
        <v>10</v>
      </c>
      <c r="BS300" s="79" t="s">
        <v>464</v>
      </c>
      <c r="BT300" s="79" t="s">
        <v>464</v>
      </c>
      <c r="BU300" s="79" t="s">
        <v>1266</v>
      </c>
      <c r="BV300" s="79">
        <v>100</v>
      </c>
      <c r="BW300" s="79">
        <v>290</v>
      </c>
      <c r="BX300" s="79" t="s">
        <v>1311</v>
      </c>
      <c r="BY300" s="79">
        <f>273+60</f>
        <v>333</v>
      </c>
      <c r="BZ300" s="81">
        <v>928</v>
      </c>
      <c r="CA300">
        <f t="shared" si="40"/>
        <v>6.8330317327862007</v>
      </c>
    </row>
    <row r="301" spans="1:79" x14ac:dyDescent="0.3">
      <c r="A301" s="2" t="s">
        <v>232</v>
      </c>
      <c r="B301" s="68" t="s">
        <v>1223</v>
      </c>
      <c r="C301" s="13"/>
      <c r="D301" s="2">
        <v>3.86</v>
      </c>
      <c r="E301" s="2" t="s">
        <v>168</v>
      </c>
      <c r="F301" s="32" t="s">
        <v>601</v>
      </c>
      <c r="G301" s="1" t="s">
        <v>672</v>
      </c>
      <c r="I301" s="2">
        <v>2</v>
      </c>
      <c r="J301" s="25">
        <v>0</v>
      </c>
      <c r="K301">
        <v>0</v>
      </c>
      <c r="L301">
        <v>0</v>
      </c>
      <c r="M301" s="2">
        <v>3.8530000000000002</v>
      </c>
      <c r="N301" s="2">
        <v>3.8530000000000002</v>
      </c>
      <c r="O301" s="2">
        <v>31.24</v>
      </c>
      <c r="P301" s="2"/>
      <c r="Q301" s="2"/>
      <c r="R301" s="25">
        <v>0</v>
      </c>
      <c r="S301" s="25"/>
      <c r="T301" s="25"/>
      <c r="U301">
        <v>0</v>
      </c>
      <c r="X301">
        <v>0</v>
      </c>
      <c r="AA301" s="2">
        <v>3</v>
      </c>
      <c r="AB301">
        <v>20</v>
      </c>
      <c r="AC301" s="55">
        <f t="shared" si="44"/>
        <v>463.77682516000004</v>
      </c>
      <c r="AD301" s="57">
        <v>0</v>
      </c>
      <c r="AE301" s="55">
        <v>0</v>
      </c>
      <c r="AF301" s="55">
        <v>0</v>
      </c>
      <c r="AG301" s="52">
        <f t="shared" si="41"/>
        <v>8.6248380319996057E-2</v>
      </c>
      <c r="AH301" s="51"/>
      <c r="AI301" s="52"/>
      <c r="AJ301" s="52"/>
      <c r="AK301" s="28">
        <v>1.8125</v>
      </c>
      <c r="AL301" s="28">
        <v>2.5</v>
      </c>
      <c r="AM301" s="28">
        <v>0.6875</v>
      </c>
      <c r="AN301" s="28">
        <v>0.875</v>
      </c>
      <c r="AO301" s="28">
        <v>0.30851063829787229</v>
      </c>
      <c r="AP301" s="28">
        <v>0.42553191489361702</v>
      </c>
      <c r="AQ301" s="28">
        <v>0.1170212765957447</v>
      </c>
      <c r="AR301" s="28">
        <v>0.14893617021276601</v>
      </c>
      <c r="AS301" s="25">
        <v>1</v>
      </c>
      <c r="AT301" s="25">
        <v>3.44</v>
      </c>
      <c r="AU301" s="25">
        <v>2.44</v>
      </c>
      <c r="AV301" s="25">
        <v>2.7062499999999998</v>
      </c>
      <c r="AW301">
        <v>2.7062499999999998</v>
      </c>
      <c r="AX301">
        <v>6.2701641731156874</v>
      </c>
      <c r="AY301" s="75"/>
      <c r="AZ301" s="75"/>
      <c r="BA301" s="75"/>
      <c r="BB301">
        <v>4.3124190159998028E-2</v>
      </c>
      <c r="BF301">
        <v>8.6248380319996057E-2</v>
      </c>
      <c r="BG301">
        <v>4.3124190159998028E-2</v>
      </c>
      <c r="BH301">
        <v>0</v>
      </c>
      <c r="BI301" s="79" t="s">
        <v>1264</v>
      </c>
      <c r="BJ301" s="79">
        <f>1150+273</f>
        <v>1423</v>
      </c>
      <c r="BK301" s="79">
        <v>24</v>
      </c>
      <c r="BM301" s="79" t="s">
        <v>464</v>
      </c>
      <c r="BN301" s="79" t="s">
        <v>464</v>
      </c>
      <c r="BO301" s="79">
        <v>0</v>
      </c>
      <c r="BP301" s="79">
        <v>6.46</v>
      </c>
      <c r="BQ301" s="79">
        <v>2</v>
      </c>
      <c r="BR301" s="79">
        <v>10</v>
      </c>
      <c r="BS301" s="79" t="s">
        <v>464</v>
      </c>
      <c r="BT301" s="79" t="s">
        <v>464</v>
      </c>
      <c r="BU301" s="79" t="s">
        <v>1266</v>
      </c>
      <c r="BV301" s="79">
        <v>100</v>
      </c>
      <c r="BW301" s="79">
        <v>290</v>
      </c>
      <c r="BX301" s="79" t="s">
        <v>1311</v>
      </c>
      <c r="BY301" s="79">
        <f>273+60</f>
        <v>333</v>
      </c>
      <c r="BZ301" s="81">
        <v>8500</v>
      </c>
      <c r="CA301">
        <f t="shared" si="40"/>
        <v>9.0478214424784085</v>
      </c>
    </row>
    <row r="302" spans="1:79" x14ac:dyDescent="0.3">
      <c r="A302" s="2" t="s">
        <v>1220</v>
      </c>
      <c r="B302" s="68" t="s">
        <v>1224</v>
      </c>
      <c r="C302" s="13"/>
      <c r="D302" s="2">
        <v>4.01</v>
      </c>
      <c r="E302" s="2" t="s">
        <v>168</v>
      </c>
      <c r="F302" s="32" t="s">
        <v>601</v>
      </c>
      <c r="G302" s="1" t="s">
        <v>672</v>
      </c>
      <c r="I302" s="2">
        <v>2</v>
      </c>
      <c r="J302" s="25">
        <v>0</v>
      </c>
      <c r="K302">
        <v>0</v>
      </c>
      <c r="L302">
        <v>0</v>
      </c>
      <c r="M302" s="2">
        <v>3.8530000000000002</v>
      </c>
      <c r="N302" s="2">
        <v>3.8530000000000002</v>
      </c>
      <c r="O302" s="2">
        <v>31.54</v>
      </c>
      <c r="P302" s="2"/>
      <c r="Q302" s="2"/>
      <c r="R302" s="25">
        <v>0</v>
      </c>
      <c r="S302" s="25"/>
      <c r="T302" s="25"/>
      <c r="U302">
        <v>0</v>
      </c>
      <c r="X302">
        <v>0</v>
      </c>
      <c r="AA302" s="2">
        <v>3</v>
      </c>
      <c r="AB302">
        <v>20</v>
      </c>
      <c r="AC302" s="55">
        <f t="shared" si="44"/>
        <v>468.23050786000005</v>
      </c>
      <c r="AD302" s="57">
        <v>0</v>
      </c>
      <c r="AE302" s="55">
        <v>0</v>
      </c>
      <c r="AF302" s="55">
        <v>0</v>
      </c>
      <c r="AG302" s="52">
        <f t="shared" si="41"/>
        <v>8.5428008915557282E-2</v>
      </c>
      <c r="AH302" s="51"/>
      <c r="AI302" s="52"/>
      <c r="AJ302" s="52"/>
      <c r="AK302" s="28">
        <v>1.84375</v>
      </c>
      <c r="AL302" s="28">
        <v>2.5</v>
      </c>
      <c r="AM302" s="28">
        <v>0.65625</v>
      </c>
      <c r="AN302" s="28">
        <v>1.3125</v>
      </c>
      <c r="AO302" s="28">
        <v>0.29207920792079212</v>
      </c>
      <c r="AP302" s="28">
        <v>0.39603960396039611</v>
      </c>
      <c r="AQ302" s="28">
        <v>0.103960396039604</v>
      </c>
      <c r="AR302" s="28">
        <v>0.20792079207920791</v>
      </c>
      <c r="AS302" s="25">
        <v>1</v>
      </c>
      <c r="AT302" s="25">
        <v>3.44</v>
      </c>
      <c r="AU302" s="25">
        <v>2.44</v>
      </c>
      <c r="AV302" s="25">
        <v>2.703125</v>
      </c>
      <c r="AW302">
        <v>2.703125</v>
      </c>
      <c r="AX302">
        <v>6.2732334543656876</v>
      </c>
      <c r="AY302" s="75"/>
      <c r="AZ302" s="75"/>
      <c r="BA302" s="75"/>
      <c r="BB302">
        <v>4.2714004457778641E-2</v>
      </c>
      <c r="BF302">
        <v>8.5428008915557282E-2</v>
      </c>
      <c r="BG302">
        <v>4.2714004457778641E-2</v>
      </c>
      <c r="BH302">
        <v>0</v>
      </c>
      <c r="BI302" s="79" t="s">
        <v>1264</v>
      </c>
      <c r="BJ302" s="79">
        <f>1150+273</f>
        <v>1423</v>
      </c>
      <c r="BK302" s="79">
        <v>24</v>
      </c>
      <c r="BM302" s="79" t="s">
        <v>464</v>
      </c>
      <c r="BN302" s="79" t="s">
        <v>464</v>
      </c>
      <c r="BO302" s="79">
        <v>0</v>
      </c>
      <c r="BP302" s="79">
        <v>6.64</v>
      </c>
      <c r="BQ302" s="79">
        <v>2</v>
      </c>
      <c r="BR302" s="79">
        <v>10</v>
      </c>
      <c r="BS302" s="79" t="s">
        <v>464</v>
      </c>
      <c r="BT302" s="79" t="s">
        <v>464</v>
      </c>
      <c r="BU302" s="79" t="s">
        <v>1266</v>
      </c>
      <c r="BV302" s="79">
        <v>100</v>
      </c>
      <c r="BW302" s="79">
        <v>290</v>
      </c>
      <c r="BX302" s="79" t="s">
        <v>1311</v>
      </c>
      <c r="BY302" s="79">
        <f>273+60</f>
        <v>333</v>
      </c>
      <c r="BZ302" s="81">
        <v>4016</v>
      </c>
      <c r="CA302">
        <f t="shared" si="40"/>
        <v>8.2980416613715651</v>
      </c>
    </row>
    <row r="303" spans="1:79" x14ac:dyDescent="0.3">
      <c r="A303" s="2" t="s">
        <v>1221</v>
      </c>
      <c r="B303" s="68" t="s">
        <v>1225</v>
      </c>
      <c r="C303" s="13"/>
      <c r="D303" s="2">
        <v>4.16</v>
      </c>
      <c r="E303" s="2" t="s">
        <v>168</v>
      </c>
      <c r="F303" s="32" t="s">
        <v>601</v>
      </c>
      <c r="G303" s="1" t="s">
        <v>672</v>
      </c>
      <c r="I303" s="2">
        <v>2</v>
      </c>
      <c r="J303" s="25">
        <v>0</v>
      </c>
      <c r="K303">
        <v>0</v>
      </c>
      <c r="L303">
        <v>0</v>
      </c>
      <c r="M303" s="2">
        <v>3.8530000000000002</v>
      </c>
      <c r="N303" s="2">
        <v>3.8530000000000002</v>
      </c>
      <c r="O303" s="2">
        <v>32.4</v>
      </c>
      <c r="P303" s="2"/>
      <c r="Q303" s="2"/>
      <c r="R303" s="25">
        <v>0</v>
      </c>
      <c r="S303" s="25"/>
      <c r="T303" s="25"/>
      <c r="U303">
        <v>0</v>
      </c>
      <c r="X303">
        <v>0</v>
      </c>
      <c r="AA303" s="2">
        <v>3</v>
      </c>
      <c r="AB303">
        <v>20</v>
      </c>
      <c r="AC303" s="55">
        <f t="shared" si="44"/>
        <v>480.99773160000001</v>
      </c>
      <c r="AD303" s="57">
        <v>0</v>
      </c>
      <c r="AE303" s="55">
        <v>0</v>
      </c>
      <c r="AF303" s="55">
        <v>0</v>
      </c>
      <c r="AG303" s="52">
        <f t="shared" si="41"/>
        <v>8.3160475345576454E-2</v>
      </c>
      <c r="AH303" s="51"/>
      <c r="AI303" s="52"/>
      <c r="AJ303" s="52"/>
      <c r="AK303" s="28">
        <v>1.875</v>
      </c>
      <c r="AL303" s="28">
        <v>2.5</v>
      </c>
      <c r="AM303" s="28">
        <v>0.625</v>
      </c>
      <c r="AN303" s="28">
        <v>1.75</v>
      </c>
      <c r="AO303" s="28">
        <v>0.27777777777777779</v>
      </c>
      <c r="AP303" s="28">
        <v>0.37037037037037029</v>
      </c>
      <c r="AQ303" s="28">
        <v>9.2592592592592587E-2</v>
      </c>
      <c r="AR303" s="28">
        <v>0.25925925925925919</v>
      </c>
      <c r="AS303" s="25">
        <v>1</v>
      </c>
      <c r="AT303" s="25">
        <v>3.44</v>
      </c>
      <c r="AU303" s="25">
        <v>2.44</v>
      </c>
      <c r="AV303" s="25">
        <v>2.7</v>
      </c>
      <c r="AW303">
        <v>2.7</v>
      </c>
      <c r="AX303">
        <v>6.2763027356156877</v>
      </c>
      <c r="AY303" s="75"/>
      <c r="AZ303" s="75"/>
      <c r="BA303" s="75"/>
      <c r="BB303">
        <v>4.1580237672788227E-2</v>
      </c>
      <c r="BF303">
        <v>8.3160475345576454E-2</v>
      </c>
      <c r="BG303">
        <v>4.1580237672788227E-2</v>
      </c>
      <c r="BH303">
        <v>0</v>
      </c>
      <c r="BI303" s="79" t="s">
        <v>1264</v>
      </c>
      <c r="BJ303" s="79">
        <f>1150+273</f>
        <v>1423</v>
      </c>
      <c r="BK303" s="79">
        <v>24</v>
      </c>
      <c r="BM303" s="79" t="s">
        <v>464</v>
      </c>
      <c r="BN303" s="79" t="s">
        <v>464</v>
      </c>
      <c r="BO303" s="79">
        <v>0</v>
      </c>
      <c r="BP303" s="79">
        <v>5.75</v>
      </c>
      <c r="BQ303" s="79">
        <v>2</v>
      </c>
      <c r="BR303" s="79">
        <v>10</v>
      </c>
      <c r="BS303" s="79" t="s">
        <v>464</v>
      </c>
      <c r="BT303" s="79" t="s">
        <v>464</v>
      </c>
      <c r="BU303" s="79" t="s">
        <v>1266</v>
      </c>
      <c r="BV303" s="79">
        <v>100</v>
      </c>
      <c r="BW303" s="79">
        <v>290</v>
      </c>
      <c r="BX303" s="79" t="s">
        <v>1311</v>
      </c>
      <c r="BY303" s="79">
        <f>273+60</f>
        <v>333</v>
      </c>
      <c r="BZ303" s="81">
        <v>3736</v>
      </c>
      <c r="CA303">
        <f t="shared" si="40"/>
        <v>8.2257707993487337</v>
      </c>
    </row>
    <row r="304" spans="1:79" x14ac:dyDescent="0.3">
      <c r="A304" s="2" t="s">
        <v>855</v>
      </c>
      <c r="B304" s="68" t="s">
        <v>1226</v>
      </c>
      <c r="C304" s="13"/>
      <c r="D304" s="2">
        <v>4.59</v>
      </c>
      <c r="E304" s="2" t="s">
        <v>168</v>
      </c>
      <c r="F304" s="32" t="s">
        <v>601</v>
      </c>
      <c r="G304" s="1" t="s">
        <v>672</v>
      </c>
      <c r="I304" s="2">
        <v>2</v>
      </c>
      <c r="J304" s="25">
        <v>0</v>
      </c>
      <c r="K304">
        <v>0</v>
      </c>
      <c r="L304">
        <v>0</v>
      </c>
      <c r="M304" s="2">
        <v>3.8530000000000002</v>
      </c>
      <c r="N304" s="2">
        <v>3.8530000000000002</v>
      </c>
      <c r="O304" s="2">
        <v>32.64</v>
      </c>
      <c r="P304" t="s">
        <v>496</v>
      </c>
      <c r="R304" s="25">
        <v>0</v>
      </c>
      <c r="S304" s="25"/>
      <c r="T304" s="25"/>
      <c r="U304">
        <v>0</v>
      </c>
      <c r="X304">
        <v>0</v>
      </c>
      <c r="AA304" s="2">
        <v>3</v>
      </c>
      <c r="AB304">
        <v>20</v>
      </c>
      <c r="AC304" s="55">
        <f t="shared" si="44"/>
        <v>484.56067776000003</v>
      </c>
      <c r="AD304" s="57">
        <v>0</v>
      </c>
      <c r="AE304" s="55">
        <v>0</v>
      </c>
      <c r="AF304" s="55">
        <v>0</v>
      </c>
      <c r="AG304" s="52">
        <f t="shared" si="41"/>
        <v>8.2549001262153088E-2</v>
      </c>
      <c r="AH304" s="51"/>
      <c r="AI304" s="52"/>
      <c r="AJ304" s="52"/>
      <c r="AK304" s="28">
        <v>1.9375</v>
      </c>
      <c r="AL304" s="28">
        <v>2.5</v>
      </c>
      <c r="AM304" s="28">
        <v>0.5625</v>
      </c>
      <c r="AN304" s="28">
        <v>2.625</v>
      </c>
      <c r="AO304" s="28">
        <v>0.25409836065573771</v>
      </c>
      <c r="AP304" s="28">
        <v>0.32786885245901642</v>
      </c>
      <c r="AQ304" s="28">
        <v>7.3770491803278687E-2</v>
      </c>
      <c r="AR304" s="28">
        <v>0.34426229508196721</v>
      </c>
      <c r="AS304" s="25">
        <v>1</v>
      </c>
      <c r="AT304" s="25">
        <v>3.44</v>
      </c>
      <c r="AU304" s="25">
        <v>2.44</v>
      </c>
      <c r="AV304" s="25">
        <v>2.6937500000000001</v>
      </c>
      <c r="AW304">
        <v>2.6937500000000001</v>
      </c>
      <c r="AX304">
        <v>6.2824412981156881</v>
      </c>
      <c r="AY304" s="75"/>
      <c r="AZ304" s="75"/>
      <c r="BA304" s="75"/>
      <c r="BB304">
        <v>4.1274500631076537E-2</v>
      </c>
      <c r="BF304">
        <v>8.2549001262153088E-2</v>
      </c>
      <c r="BG304">
        <v>4.1274500631076537E-2</v>
      </c>
      <c r="BH304">
        <v>0</v>
      </c>
      <c r="BI304" s="79" t="s">
        <v>1264</v>
      </c>
      <c r="BJ304" s="79">
        <f>1150+273</f>
        <v>1423</v>
      </c>
      <c r="BK304" s="79">
        <v>24</v>
      </c>
      <c r="BM304" s="79" t="s">
        <v>464</v>
      </c>
      <c r="BN304" s="79" t="s">
        <v>464</v>
      </c>
      <c r="BO304" s="79">
        <v>0</v>
      </c>
      <c r="BP304" s="79">
        <v>7.41</v>
      </c>
      <c r="BQ304" s="79">
        <v>2</v>
      </c>
      <c r="BR304" s="79">
        <v>10</v>
      </c>
      <c r="BS304" s="79" t="s">
        <v>464</v>
      </c>
      <c r="BT304" s="79" t="s">
        <v>464</v>
      </c>
      <c r="BU304" s="79" t="s">
        <v>1266</v>
      </c>
      <c r="BV304" s="79">
        <v>100</v>
      </c>
      <c r="BW304" s="79">
        <v>290</v>
      </c>
      <c r="BX304" s="79" t="s">
        <v>1311</v>
      </c>
      <c r="BY304" s="79">
        <f>273+60</f>
        <v>333</v>
      </c>
      <c r="BZ304" s="81">
        <v>372</v>
      </c>
      <c r="CA304">
        <f t="shared" si="40"/>
        <v>5.9188938542731462</v>
      </c>
    </row>
    <row r="305" spans="1:79" x14ac:dyDescent="0.3">
      <c r="A305" s="2" t="s">
        <v>2</v>
      </c>
      <c r="B305" s="13" t="s">
        <v>687</v>
      </c>
      <c r="C305" s="13"/>
      <c r="D305" s="2">
        <v>3.3</v>
      </c>
      <c r="E305" s="2" t="s">
        <v>174</v>
      </c>
      <c r="F305" s="9" t="s">
        <v>525</v>
      </c>
      <c r="G305">
        <v>-1</v>
      </c>
      <c r="I305" s="2"/>
      <c r="J305" s="25">
        <v>2</v>
      </c>
      <c r="K305">
        <v>0</v>
      </c>
      <c r="L305">
        <v>0</v>
      </c>
      <c r="M305" s="2">
        <v>5.4763999999999999</v>
      </c>
      <c r="N305" s="2">
        <v>22.404199999999999</v>
      </c>
      <c r="O305" s="2">
        <v>5.1576000000000004</v>
      </c>
      <c r="P305" s="2" t="s">
        <v>515</v>
      </c>
      <c r="Q305" s="2"/>
      <c r="R305" s="25">
        <v>11.92921406</v>
      </c>
      <c r="S305" s="25">
        <v>11.92921406</v>
      </c>
      <c r="T305" s="25">
        <v>11.92921406</v>
      </c>
      <c r="U305">
        <v>0</v>
      </c>
      <c r="X305">
        <v>0</v>
      </c>
      <c r="AA305" s="2"/>
      <c r="AB305">
        <v>14</v>
      </c>
      <c r="AC305" s="55">
        <f t="shared" si="44"/>
        <v>632.80843567468798</v>
      </c>
      <c r="AD305" s="57">
        <v>349.00875366799971</v>
      </c>
      <c r="AE305" s="55">
        <v>0</v>
      </c>
      <c r="AF305" s="55">
        <v>0</v>
      </c>
      <c r="AG305" s="52"/>
      <c r="AH305" s="51">
        <v>8.0227214090553903E-2</v>
      </c>
      <c r="AI305" s="52"/>
      <c r="AJ305" s="52"/>
      <c r="AK305" s="28">
        <v>1.7272727272727271</v>
      </c>
      <c r="AL305" s="28">
        <v>2.545454545454545</v>
      </c>
      <c r="AM305" s="28">
        <v>0.81818181818181823</v>
      </c>
      <c r="AN305" s="28">
        <v>0</v>
      </c>
      <c r="AO305" s="28">
        <v>0.3392857142857143</v>
      </c>
      <c r="AP305" s="28">
        <v>0.5</v>
      </c>
      <c r="AQ305" s="28">
        <v>0.1607142857142857</v>
      </c>
      <c r="AR305" s="28">
        <v>0</v>
      </c>
      <c r="AS305" s="25">
        <v>0.82</v>
      </c>
      <c r="AT305" s="25">
        <v>3.44</v>
      </c>
      <c r="AU305" s="25">
        <v>2.62</v>
      </c>
      <c r="AV305" s="25">
        <v>2.6545454545454539</v>
      </c>
      <c r="AW305">
        <v>2.6545454545454552</v>
      </c>
      <c r="AX305">
        <v>5.9865512095454543</v>
      </c>
      <c r="AY305" s="75">
        <v>0.50734392504100967</v>
      </c>
      <c r="AZ305" s="75"/>
      <c r="BA305" s="75"/>
      <c r="BC305">
        <v>4.0113607045276937E-2</v>
      </c>
      <c r="BF305">
        <v>8.0227214090553903E-2</v>
      </c>
      <c r="BG305">
        <v>4.0113607045276937E-2</v>
      </c>
      <c r="BH305">
        <v>0.50734392504100967</v>
      </c>
      <c r="BI305" s="79" t="s">
        <v>1264</v>
      </c>
      <c r="BJ305" s="79">
        <v>1373</v>
      </c>
      <c r="BK305" s="79">
        <v>24</v>
      </c>
      <c r="BM305" s="79" t="s">
        <v>1268</v>
      </c>
      <c r="BN305" s="79" t="s">
        <v>863</v>
      </c>
      <c r="BO305" s="79">
        <v>1</v>
      </c>
      <c r="BP305" s="79">
        <v>1.2</v>
      </c>
      <c r="BQ305" s="79">
        <v>1.67</v>
      </c>
      <c r="BR305" s="79">
        <v>20</v>
      </c>
      <c r="BS305" s="79" t="s">
        <v>464</v>
      </c>
      <c r="BT305" s="79" t="s">
        <v>464</v>
      </c>
      <c r="BU305" s="79" t="s">
        <v>1271</v>
      </c>
      <c r="BV305" s="79">
        <v>1000</v>
      </c>
      <c r="BW305" s="79">
        <v>230</v>
      </c>
      <c r="BX305" s="79" t="s">
        <v>1336</v>
      </c>
      <c r="BZ305" s="81">
        <v>274</v>
      </c>
      <c r="CA305">
        <f t="shared" si="40"/>
        <v>5.6131281063880705</v>
      </c>
    </row>
    <row r="306" spans="1:79" x14ac:dyDescent="0.3">
      <c r="A306" s="2" t="s">
        <v>175</v>
      </c>
      <c r="B306" s="13" t="s">
        <v>792</v>
      </c>
      <c r="C306" s="13"/>
      <c r="D306" s="2">
        <v>2.98</v>
      </c>
      <c r="E306" s="2" t="s">
        <v>174</v>
      </c>
      <c r="F306" s="9" t="s">
        <v>579</v>
      </c>
      <c r="G306" t="s">
        <v>654</v>
      </c>
      <c r="I306" s="2"/>
      <c r="J306" s="25">
        <v>1</v>
      </c>
      <c r="K306">
        <v>2</v>
      </c>
      <c r="L306">
        <v>0</v>
      </c>
      <c r="M306" s="2">
        <v>7.7803000000000004</v>
      </c>
      <c r="N306" s="2">
        <v>7.7803000000000004</v>
      </c>
      <c r="O306" s="2">
        <v>42.569200000000002</v>
      </c>
      <c r="P306" s="2" t="s">
        <v>516</v>
      </c>
      <c r="Q306" s="2"/>
      <c r="R306" s="25">
        <v>11.30538971</v>
      </c>
      <c r="S306" s="25">
        <v>11.30538971</v>
      </c>
      <c r="T306" s="25">
        <v>11.30538971</v>
      </c>
      <c r="U306">
        <v>3.8996</v>
      </c>
      <c r="V306">
        <v>3.8996</v>
      </c>
      <c r="W306">
        <v>21.687999999999999</v>
      </c>
      <c r="X306">
        <v>0</v>
      </c>
      <c r="AA306" s="2"/>
      <c r="AB306">
        <v>14</v>
      </c>
      <c r="AC306" s="55">
        <f t="shared" si="44"/>
        <v>2576.8442821368285</v>
      </c>
      <c r="AD306" s="57">
        <v>169.7295487154349</v>
      </c>
      <c r="AE306" s="55">
        <v>329.80681691007999</v>
      </c>
      <c r="AF306" s="55">
        <v>0</v>
      </c>
      <c r="AG306" s="52"/>
      <c r="AH306" s="51">
        <v>8.248416440128592E-2</v>
      </c>
      <c r="AI306" s="52">
        <v>8.4898184526107132E-2</v>
      </c>
      <c r="AJ306" s="52"/>
      <c r="AK306" s="28">
        <v>1.7272727272727271</v>
      </c>
      <c r="AL306" s="28">
        <v>2.545454545454545</v>
      </c>
      <c r="AM306" s="28">
        <v>1.7272727272727271</v>
      </c>
      <c r="AN306" s="28">
        <v>0</v>
      </c>
      <c r="AO306" s="28">
        <v>0.2878787878787879</v>
      </c>
      <c r="AP306" s="28">
        <v>0.42424242424242431</v>
      </c>
      <c r="AQ306" s="28">
        <v>0.2878787878787879</v>
      </c>
      <c r="AR306" s="28">
        <v>0</v>
      </c>
      <c r="AS306" s="25">
        <v>1.1000000000000001</v>
      </c>
      <c r="AT306" s="25">
        <v>3.44</v>
      </c>
      <c r="AU306" s="25">
        <v>2.34</v>
      </c>
      <c r="AV306" s="25">
        <v>2.7554545454545449</v>
      </c>
      <c r="AW306">
        <v>2.7554545454545449</v>
      </c>
      <c r="AX306">
        <v>6.1782631499999994</v>
      </c>
      <c r="AY306" s="75">
        <v>0.46170510468104309</v>
      </c>
      <c r="AZ306" s="75">
        <v>0</v>
      </c>
      <c r="BA306" s="75"/>
      <c r="BC306">
        <v>4.124208220064296E-2</v>
      </c>
      <c r="BD306">
        <v>4.2449092263053573E-2</v>
      </c>
      <c r="BF306">
        <v>8.3691174463696533E-2</v>
      </c>
      <c r="BG306">
        <v>4.1845587231848273E-2</v>
      </c>
      <c r="BH306">
        <v>0.23085255234052149</v>
      </c>
      <c r="BI306" s="79" t="s">
        <v>1264</v>
      </c>
      <c r="BJ306" s="79">
        <v>1373</v>
      </c>
      <c r="BK306" s="79">
        <v>24</v>
      </c>
      <c r="BM306" s="79" t="s">
        <v>1268</v>
      </c>
      <c r="BN306" s="79" t="s">
        <v>863</v>
      </c>
      <c r="BO306" s="79">
        <v>1</v>
      </c>
      <c r="BP306" s="79">
        <v>3.8</v>
      </c>
      <c r="BQ306" s="79">
        <v>1.67</v>
      </c>
      <c r="BR306" s="79">
        <v>20</v>
      </c>
      <c r="BS306" s="79" t="s">
        <v>464</v>
      </c>
      <c r="BT306" s="79" t="s">
        <v>464</v>
      </c>
      <c r="BU306" s="79" t="s">
        <v>1271</v>
      </c>
      <c r="BV306" s="79">
        <v>1000</v>
      </c>
      <c r="BW306" s="79">
        <v>230</v>
      </c>
      <c r="BX306" s="79" t="s">
        <v>1336</v>
      </c>
      <c r="BZ306" s="81">
        <v>842</v>
      </c>
      <c r="CA306">
        <f t="shared" si="40"/>
        <v>6.7357800142423265</v>
      </c>
    </row>
    <row r="307" spans="1:79" x14ac:dyDescent="0.3">
      <c r="A307" s="2" t="s">
        <v>2</v>
      </c>
      <c r="B307" s="13" t="s">
        <v>687</v>
      </c>
      <c r="C307" s="13"/>
      <c r="D307" s="2">
        <v>3.3</v>
      </c>
      <c r="E307" s="2" t="s">
        <v>174</v>
      </c>
      <c r="F307" s="9" t="s">
        <v>525</v>
      </c>
      <c r="G307">
        <v>-1</v>
      </c>
      <c r="I307" s="2"/>
      <c r="J307" s="25">
        <v>2</v>
      </c>
      <c r="K307">
        <v>0</v>
      </c>
      <c r="L307">
        <v>0</v>
      </c>
      <c r="M307" s="2">
        <v>5.4763999999999999</v>
      </c>
      <c r="N307" s="2">
        <v>22.404199999999999</v>
      </c>
      <c r="O307" s="2">
        <v>5.1576000000000004</v>
      </c>
      <c r="P307" s="2" t="s">
        <v>515</v>
      </c>
      <c r="Q307" s="2"/>
      <c r="R307" s="25">
        <v>11.92921406</v>
      </c>
      <c r="S307" s="25">
        <v>11.92921406</v>
      </c>
      <c r="T307" s="25">
        <v>11.92921406</v>
      </c>
      <c r="U307">
        <v>0</v>
      </c>
      <c r="X307">
        <v>0</v>
      </c>
      <c r="AA307" s="2"/>
      <c r="AB307">
        <v>14</v>
      </c>
      <c r="AC307" s="55">
        <f t="shared" ref="AC307:AC308" si="47">M307*N307*O307</f>
        <v>632.80843567468798</v>
      </c>
      <c r="AD307" s="57">
        <v>349.00875366799971</v>
      </c>
      <c r="AE307" s="55">
        <v>0</v>
      </c>
      <c r="AF307" s="55">
        <v>0</v>
      </c>
      <c r="AG307" s="52"/>
      <c r="AH307" s="51">
        <v>8.0227214090553903E-2</v>
      </c>
      <c r="AI307" s="52"/>
      <c r="AJ307" s="52"/>
      <c r="AK307" s="28">
        <v>1.7272727272727271</v>
      </c>
      <c r="AL307" s="28">
        <v>2.545454545454545</v>
      </c>
      <c r="AM307" s="28">
        <v>0.81818181818181823</v>
      </c>
      <c r="AN307" s="28">
        <v>0</v>
      </c>
      <c r="AO307" s="28">
        <v>0.3392857142857143</v>
      </c>
      <c r="AP307" s="28">
        <v>0.5</v>
      </c>
      <c r="AQ307" s="28">
        <v>0.1607142857142857</v>
      </c>
      <c r="AR307" s="28">
        <v>0</v>
      </c>
      <c r="AS307" s="25">
        <v>0.82</v>
      </c>
      <c r="AT307" s="25">
        <v>3.44</v>
      </c>
      <c r="AU307" s="25">
        <v>2.62</v>
      </c>
      <c r="AV307" s="25">
        <v>2.6545454545454539</v>
      </c>
      <c r="AW307">
        <v>2.6545454545454552</v>
      </c>
      <c r="AX307">
        <v>5.9865512095454543</v>
      </c>
      <c r="AY307" s="75">
        <v>0.50734392504100967</v>
      </c>
      <c r="AZ307" s="75"/>
      <c r="BA307" s="75"/>
      <c r="BC307">
        <v>4.0113607045276937E-2</v>
      </c>
      <c r="BF307">
        <v>8.0227214090553903E-2</v>
      </c>
      <c r="BG307">
        <v>4.0113607045276937E-2</v>
      </c>
      <c r="BH307">
        <v>0.50734392504100967</v>
      </c>
      <c r="BI307" s="79" t="s">
        <v>1264</v>
      </c>
      <c r="BJ307" s="79">
        <v>1373</v>
      </c>
      <c r="BK307" s="79">
        <v>24</v>
      </c>
      <c r="BM307" s="79" t="s">
        <v>1268</v>
      </c>
      <c r="BN307" s="79" t="s">
        <v>863</v>
      </c>
      <c r="BO307" s="79">
        <v>1</v>
      </c>
      <c r="BP307" s="79">
        <v>1.2</v>
      </c>
      <c r="BQ307" s="79">
        <v>1.67</v>
      </c>
      <c r="BR307" s="79">
        <v>20</v>
      </c>
      <c r="BS307" s="79" t="s">
        <v>464</v>
      </c>
      <c r="BT307" s="79" t="s">
        <v>464</v>
      </c>
      <c r="BU307" s="79" t="s">
        <v>1271</v>
      </c>
      <c r="BV307" s="79">
        <v>1000</v>
      </c>
      <c r="BW307" s="79">
        <v>400</v>
      </c>
      <c r="BX307" s="79" t="s">
        <v>1336</v>
      </c>
      <c r="BZ307" s="81">
        <v>0</v>
      </c>
      <c r="CA307" t="e">
        <f t="shared" si="40"/>
        <v>#NUM!</v>
      </c>
    </row>
    <row r="308" spans="1:79" x14ac:dyDescent="0.3">
      <c r="A308" s="2" t="s">
        <v>175</v>
      </c>
      <c r="B308" s="13" t="s">
        <v>792</v>
      </c>
      <c r="C308" s="13"/>
      <c r="D308" s="2">
        <v>2.98</v>
      </c>
      <c r="E308" s="2" t="s">
        <v>174</v>
      </c>
      <c r="F308" s="9" t="s">
        <v>579</v>
      </c>
      <c r="G308" t="s">
        <v>654</v>
      </c>
      <c r="I308" s="2"/>
      <c r="J308" s="25">
        <v>1</v>
      </c>
      <c r="K308">
        <v>2</v>
      </c>
      <c r="L308">
        <v>0</v>
      </c>
      <c r="M308" s="2">
        <v>7.7803000000000004</v>
      </c>
      <c r="N308" s="2">
        <v>7.7803000000000004</v>
      </c>
      <c r="O308" s="2">
        <v>42.569200000000002</v>
      </c>
      <c r="P308" s="2" t="s">
        <v>516</v>
      </c>
      <c r="Q308" s="2"/>
      <c r="R308" s="25">
        <v>11.30538971</v>
      </c>
      <c r="S308" s="25">
        <v>11.30538971</v>
      </c>
      <c r="T308" s="25">
        <v>11.30538971</v>
      </c>
      <c r="U308">
        <v>3.8996</v>
      </c>
      <c r="V308">
        <v>3.8996</v>
      </c>
      <c r="W308">
        <v>21.687999999999999</v>
      </c>
      <c r="X308">
        <v>0</v>
      </c>
      <c r="AA308" s="2"/>
      <c r="AB308">
        <v>14</v>
      </c>
      <c r="AC308" s="55">
        <f t="shared" si="47"/>
        <v>2576.8442821368285</v>
      </c>
      <c r="AD308" s="57">
        <v>169.7295487154349</v>
      </c>
      <c r="AE308" s="55">
        <v>329.80681691007999</v>
      </c>
      <c r="AF308" s="55">
        <v>0</v>
      </c>
      <c r="AG308" s="52"/>
      <c r="AH308" s="51">
        <v>8.248416440128592E-2</v>
      </c>
      <c r="AI308" s="52">
        <v>8.4898184526107132E-2</v>
      </c>
      <c r="AJ308" s="52"/>
      <c r="AK308" s="28">
        <v>1.7272727272727271</v>
      </c>
      <c r="AL308" s="28">
        <v>2.545454545454545</v>
      </c>
      <c r="AM308" s="28">
        <v>1.7272727272727271</v>
      </c>
      <c r="AN308" s="28">
        <v>0</v>
      </c>
      <c r="AO308" s="28">
        <v>0.2878787878787879</v>
      </c>
      <c r="AP308" s="28">
        <v>0.42424242424242431</v>
      </c>
      <c r="AQ308" s="28">
        <v>0.2878787878787879</v>
      </c>
      <c r="AR308" s="28">
        <v>0</v>
      </c>
      <c r="AS308" s="25">
        <v>1.1000000000000001</v>
      </c>
      <c r="AT308" s="25">
        <v>3.44</v>
      </c>
      <c r="AU308" s="25">
        <v>2.34</v>
      </c>
      <c r="AV308" s="25">
        <v>2.7554545454545449</v>
      </c>
      <c r="AW308">
        <v>2.7554545454545449</v>
      </c>
      <c r="AX308">
        <v>6.1782631499999994</v>
      </c>
      <c r="AY308" s="75">
        <v>0.46170510468104309</v>
      </c>
      <c r="AZ308" s="75">
        <v>0</v>
      </c>
      <c r="BA308" s="75"/>
      <c r="BC308">
        <v>4.124208220064296E-2</v>
      </c>
      <c r="BD308">
        <v>4.2449092263053573E-2</v>
      </c>
      <c r="BF308">
        <v>8.3691174463696533E-2</v>
      </c>
      <c r="BG308">
        <v>4.1845587231848273E-2</v>
      </c>
      <c r="BH308">
        <v>0.23085255234052149</v>
      </c>
      <c r="BI308" s="79" t="s">
        <v>1264</v>
      </c>
      <c r="BJ308" s="79">
        <v>1373</v>
      </c>
      <c r="BK308" s="79">
        <v>24</v>
      </c>
      <c r="BM308" s="79" t="s">
        <v>1268</v>
      </c>
      <c r="BN308" s="79" t="s">
        <v>863</v>
      </c>
      <c r="BO308" s="79">
        <v>1</v>
      </c>
      <c r="BP308" s="79">
        <v>3.8</v>
      </c>
      <c r="BQ308" s="79">
        <v>1.67</v>
      </c>
      <c r="BR308" s="79">
        <v>20</v>
      </c>
      <c r="BS308" s="79" t="s">
        <v>464</v>
      </c>
      <c r="BT308" s="79" t="s">
        <v>464</v>
      </c>
      <c r="BU308" s="79" t="s">
        <v>1271</v>
      </c>
      <c r="BV308" s="79">
        <v>1000</v>
      </c>
      <c r="BW308" s="79">
        <v>400</v>
      </c>
      <c r="BX308" s="79" t="s">
        <v>1336</v>
      </c>
      <c r="BZ308" s="81">
        <v>20</v>
      </c>
      <c r="CA308">
        <f t="shared" si="40"/>
        <v>2.9957322735539909</v>
      </c>
    </row>
    <row r="309" spans="1:79" x14ac:dyDescent="0.3">
      <c r="A309" s="2" t="s">
        <v>2</v>
      </c>
      <c r="B309" s="13" t="s">
        <v>687</v>
      </c>
      <c r="C309" s="13"/>
      <c r="D309" s="2">
        <v>3.3</v>
      </c>
      <c r="E309" s="2" t="s">
        <v>176</v>
      </c>
      <c r="F309" s="9" t="s">
        <v>525</v>
      </c>
      <c r="G309">
        <v>-1</v>
      </c>
      <c r="I309" s="2"/>
      <c r="J309" s="25">
        <v>2</v>
      </c>
      <c r="K309">
        <v>0</v>
      </c>
      <c r="L309">
        <v>0</v>
      </c>
      <c r="M309" s="2">
        <v>5.5339999999999998</v>
      </c>
      <c r="N309" s="2">
        <v>22.083300000000001</v>
      </c>
      <c r="O309" s="2">
        <v>5.5033000000000003</v>
      </c>
      <c r="P309" s="2" t="s">
        <v>515</v>
      </c>
      <c r="Q309" s="2"/>
      <c r="R309" s="25">
        <v>11.92921406</v>
      </c>
      <c r="S309" s="25">
        <v>11.92921406</v>
      </c>
      <c r="T309" s="25">
        <v>11.92921406</v>
      </c>
      <c r="U309">
        <v>0</v>
      </c>
      <c r="X309">
        <v>0</v>
      </c>
      <c r="AA309" s="2"/>
      <c r="AB309">
        <v>14</v>
      </c>
      <c r="AC309" s="55">
        <f t="shared" si="44"/>
        <v>672.55269174126011</v>
      </c>
      <c r="AD309" s="57">
        <v>349.00875366799971</v>
      </c>
      <c r="AE309" s="55">
        <v>0</v>
      </c>
      <c r="AF309" s="55">
        <v>0</v>
      </c>
      <c r="AG309" s="52"/>
      <c r="AH309" s="51">
        <v>8.0227214090553903E-2</v>
      </c>
      <c r="AI309" s="52"/>
      <c r="AJ309" s="52"/>
      <c r="AK309" s="28">
        <v>1.7272727272727271</v>
      </c>
      <c r="AL309" s="28">
        <v>2.545454545454545</v>
      </c>
      <c r="AM309" s="28">
        <v>0.81818181818181823</v>
      </c>
      <c r="AN309" s="28">
        <v>0</v>
      </c>
      <c r="AO309" s="28">
        <v>0.3392857142857143</v>
      </c>
      <c r="AP309" s="28">
        <v>0.5</v>
      </c>
      <c r="AQ309" s="28">
        <v>0.1607142857142857</v>
      </c>
      <c r="AR309" s="28">
        <v>0</v>
      </c>
      <c r="AS309" s="25">
        <v>0.82</v>
      </c>
      <c r="AT309" s="25">
        <v>3.44</v>
      </c>
      <c r="AU309" s="25">
        <v>2.62</v>
      </c>
      <c r="AV309" s="25">
        <v>2.6545454545454539</v>
      </c>
      <c r="AW309">
        <v>2.6545454545454552</v>
      </c>
      <c r="AX309">
        <v>5.9865512095454543</v>
      </c>
      <c r="AY309" s="75">
        <v>0.50734392504100967</v>
      </c>
      <c r="AZ309" s="75"/>
      <c r="BA309" s="75"/>
      <c r="BC309">
        <v>4.0113607045276937E-2</v>
      </c>
      <c r="BF309">
        <v>8.0227214090553903E-2</v>
      </c>
      <c r="BG309">
        <v>4.0113607045276937E-2</v>
      </c>
      <c r="BH309">
        <v>0.50734392504100967</v>
      </c>
      <c r="BI309" s="79" t="s">
        <v>1264</v>
      </c>
      <c r="BJ309" s="79">
        <v>1373</v>
      </c>
      <c r="BK309" s="79">
        <v>50</v>
      </c>
      <c r="BM309" s="79" t="s">
        <v>1268</v>
      </c>
      <c r="BN309" s="79" t="s">
        <v>863</v>
      </c>
      <c r="BO309" s="79">
        <v>1</v>
      </c>
      <c r="BP309" s="79">
        <v>1.5</v>
      </c>
      <c r="BQ309" s="79">
        <v>1.67</v>
      </c>
      <c r="BR309" s="79">
        <v>20</v>
      </c>
      <c r="BS309" s="79" t="s">
        <v>464</v>
      </c>
      <c r="BT309" s="79" t="s">
        <v>464</v>
      </c>
      <c r="BU309" s="79" t="s">
        <v>1271</v>
      </c>
      <c r="BV309" s="79">
        <v>1000</v>
      </c>
      <c r="BW309" s="79">
        <v>230</v>
      </c>
      <c r="BX309" s="79" t="s">
        <v>1336</v>
      </c>
      <c r="BZ309" s="81">
        <v>331</v>
      </c>
      <c r="CA309">
        <f t="shared" si="40"/>
        <v>5.8021183753770629</v>
      </c>
    </row>
    <row r="310" spans="1:79" x14ac:dyDescent="0.3">
      <c r="A310" s="2" t="s">
        <v>175</v>
      </c>
      <c r="B310" s="13" t="s">
        <v>792</v>
      </c>
      <c r="C310" s="13"/>
      <c r="D310" s="2">
        <v>3.15</v>
      </c>
      <c r="E310" s="2" t="s">
        <v>176</v>
      </c>
      <c r="F310" s="9" t="s">
        <v>579</v>
      </c>
      <c r="G310" t="s">
        <v>654</v>
      </c>
      <c r="I310" s="2"/>
      <c r="J310" s="25">
        <v>1</v>
      </c>
      <c r="K310">
        <v>2</v>
      </c>
      <c r="L310">
        <v>0</v>
      </c>
      <c r="M310" s="2">
        <v>3.9045000000000001</v>
      </c>
      <c r="N310" s="2">
        <v>3.9045000000000001</v>
      </c>
      <c r="O310" s="2">
        <v>21.652100000000001</v>
      </c>
      <c r="P310" s="2" t="s">
        <v>516</v>
      </c>
      <c r="Q310" s="2"/>
      <c r="R310" s="25">
        <v>11.30538971</v>
      </c>
      <c r="S310" s="25">
        <v>11.30538971</v>
      </c>
      <c r="T310" s="25">
        <v>11.30538971</v>
      </c>
      <c r="U310">
        <v>3.8996</v>
      </c>
      <c r="V310">
        <v>3.8996</v>
      </c>
      <c r="W310">
        <v>21.687999999999999</v>
      </c>
      <c r="X310">
        <v>0</v>
      </c>
      <c r="AA310" s="2"/>
      <c r="AB310">
        <v>14</v>
      </c>
      <c r="AC310" s="55">
        <f t="shared" si="44"/>
        <v>330.08886816502502</v>
      </c>
      <c r="AD310" s="57">
        <v>169.7295487154349</v>
      </c>
      <c r="AE310" s="55">
        <v>329.80681691007999</v>
      </c>
      <c r="AF310" s="55">
        <v>0</v>
      </c>
      <c r="AG310" s="52"/>
      <c r="AH310" s="51">
        <v>8.248416440128592E-2</v>
      </c>
      <c r="AI310" s="52">
        <v>8.4898184526107132E-2</v>
      </c>
      <c r="AJ310" s="52"/>
      <c r="AK310" s="28">
        <v>1.7272727272727271</v>
      </c>
      <c r="AL310" s="28">
        <v>2.545454545454545</v>
      </c>
      <c r="AM310" s="28">
        <v>1.7272727272727271</v>
      </c>
      <c r="AN310" s="28">
        <v>0</v>
      </c>
      <c r="AO310" s="28">
        <v>0.2878787878787879</v>
      </c>
      <c r="AP310" s="28">
        <v>0.42424242424242431</v>
      </c>
      <c r="AQ310" s="28">
        <v>0.2878787878787879</v>
      </c>
      <c r="AR310" s="28">
        <v>0</v>
      </c>
      <c r="AS310" s="25">
        <v>1.1000000000000001</v>
      </c>
      <c r="AT310" s="25">
        <v>3.44</v>
      </c>
      <c r="AU310" s="25">
        <v>2.34</v>
      </c>
      <c r="AV310" s="25">
        <v>2.7554545454545449</v>
      </c>
      <c r="AW310">
        <v>2.7554545454545449</v>
      </c>
      <c r="AX310">
        <v>6.1782631499999994</v>
      </c>
      <c r="AY310" s="75">
        <v>0.46170510468104309</v>
      </c>
      <c r="AZ310" s="75">
        <v>0</v>
      </c>
      <c r="BA310" s="75"/>
      <c r="BC310">
        <v>4.124208220064296E-2</v>
      </c>
      <c r="BD310">
        <v>4.2449092263053573E-2</v>
      </c>
      <c r="BF310">
        <v>8.3691174463696533E-2</v>
      </c>
      <c r="BG310">
        <v>4.1845587231848273E-2</v>
      </c>
      <c r="BH310">
        <v>0.23085255234052149</v>
      </c>
      <c r="BI310" s="79" t="s">
        <v>1264</v>
      </c>
      <c r="BJ310" s="79">
        <v>1373</v>
      </c>
      <c r="BK310" s="79">
        <v>50</v>
      </c>
      <c r="BM310" s="79" t="s">
        <v>1268</v>
      </c>
      <c r="BN310" s="79" t="s">
        <v>863</v>
      </c>
      <c r="BO310" s="79">
        <v>1</v>
      </c>
      <c r="BP310" s="79">
        <v>4.2</v>
      </c>
      <c r="BQ310" s="79">
        <v>1.67</v>
      </c>
      <c r="BR310" s="79">
        <v>20</v>
      </c>
      <c r="BS310" s="79" t="s">
        <v>464</v>
      </c>
      <c r="BT310" s="79" t="s">
        <v>464</v>
      </c>
      <c r="BU310" s="79" t="s">
        <v>1271</v>
      </c>
      <c r="BV310" s="79">
        <v>1000</v>
      </c>
      <c r="BW310" s="79">
        <v>230</v>
      </c>
      <c r="BX310" s="79" t="s">
        <v>1336</v>
      </c>
      <c r="BZ310" s="81">
        <v>1445</v>
      </c>
      <c r="CA310">
        <f t="shared" si="40"/>
        <v>7.2758646005465328</v>
      </c>
    </row>
    <row r="311" spans="1:79" x14ac:dyDescent="0.3">
      <c r="A311" s="2" t="s">
        <v>5</v>
      </c>
      <c r="B311" s="13" t="s">
        <v>690</v>
      </c>
      <c r="C311" s="13"/>
      <c r="D311" s="2">
        <v>3.5</v>
      </c>
      <c r="E311" s="2" t="s">
        <v>176</v>
      </c>
      <c r="F311" s="9" t="s">
        <v>528</v>
      </c>
      <c r="G311" t="s">
        <v>610</v>
      </c>
      <c r="I311" s="2"/>
      <c r="J311" s="25">
        <v>1</v>
      </c>
      <c r="K311">
        <v>1</v>
      </c>
      <c r="L311">
        <v>0</v>
      </c>
      <c r="M311" s="2">
        <v>3.8650000000000002</v>
      </c>
      <c r="N311" s="2">
        <v>3.8650000000000002</v>
      </c>
      <c r="O311" s="2">
        <v>14.974299999999999</v>
      </c>
      <c r="P311" s="2" t="s">
        <v>439</v>
      </c>
      <c r="Q311" s="2"/>
      <c r="R311" s="25">
        <v>3.9661010000000001</v>
      </c>
      <c r="S311" s="25">
        <v>3.9661010000000001</v>
      </c>
      <c r="T311" s="25">
        <v>15.283337</v>
      </c>
      <c r="U311">
        <v>3.8586499999999999</v>
      </c>
      <c r="V311">
        <v>3.8586499999999999</v>
      </c>
      <c r="W311">
        <v>14.9108</v>
      </c>
      <c r="X311">
        <v>0</v>
      </c>
      <c r="AA311" s="2"/>
      <c r="AB311">
        <v>20</v>
      </c>
      <c r="AC311" s="55">
        <f t="shared" si="44"/>
        <v>223.6894626175</v>
      </c>
      <c r="AD311" s="57">
        <v>240.40623599981481</v>
      </c>
      <c r="AE311" s="55">
        <v>222.00958249733301</v>
      </c>
      <c r="AF311" s="55">
        <v>0</v>
      </c>
      <c r="AG311" s="52"/>
      <c r="AH311" s="51">
        <v>8.3192517518619641E-2</v>
      </c>
      <c r="AI311" s="52">
        <v>9.0086201573034624E-2</v>
      </c>
      <c r="AJ311" s="52"/>
      <c r="AK311" s="28">
        <v>1.75</v>
      </c>
      <c r="AL311" s="28">
        <v>2.5</v>
      </c>
      <c r="AM311" s="28">
        <v>0.75</v>
      </c>
      <c r="AN311" s="28">
        <v>0</v>
      </c>
      <c r="AO311" s="28">
        <v>0.35</v>
      </c>
      <c r="AP311" s="28">
        <v>0.5</v>
      </c>
      <c r="AQ311" s="28">
        <v>0.15</v>
      </c>
      <c r="AR311" s="28">
        <v>0</v>
      </c>
      <c r="AS311" s="25">
        <v>0.82</v>
      </c>
      <c r="AT311" s="25">
        <v>3.44</v>
      </c>
      <c r="AU311" s="25">
        <v>2.62</v>
      </c>
      <c r="AV311" s="25">
        <v>2.6262500000000002</v>
      </c>
      <c r="AW311">
        <v>2.6262500000000002</v>
      </c>
      <c r="AX311">
        <v>5.9612134765624996</v>
      </c>
      <c r="AY311" s="75">
        <v>0.50467688585120674</v>
      </c>
      <c r="AZ311" s="75">
        <v>0.54649654829675798</v>
      </c>
      <c r="BA311" s="75"/>
      <c r="BC311">
        <v>4.159625875930982E-2</v>
      </c>
      <c r="BD311">
        <v>4.5043100786517312E-2</v>
      </c>
      <c r="BF311">
        <v>8.6639359545827133E-2</v>
      </c>
      <c r="BG311">
        <v>4.3319679772913573E-2</v>
      </c>
      <c r="BH311">
        <v>0.5255867170739823</v>
      </c>
      <c r="BI311" s="79" t="s">
        <v>1264</v>
      </c>
      <c r="BJ311" s="79">
        <v>1373</v>
      </c>
      <c r="BK311" s="79">
        <v>50</v>
      </c>
      <c r="BM311" s="79" t="s">
        <v>1268</v>
      </c>
      <c r="BN311" s="79" t="s">
        <v>863</v>
      </c>
      <c r="BO311" s="79">
        <v>1</v>
      </c>
      <c r="BP311" s="79">
        <v>1.9</v>
      </c>
      <c r="BQ311" s="79">
        <v>1.67</v>
      </c>
      <c r="BR311" s="79">
        <v>20</v>
      </c>
      <c r="BS311" s="79" t="s">
        <v>464</v>
      </c>
      <c r="BT311" s="79" t="s">
        <v>464</v>
      </c>
      <c r="BU311" s="79" t="s">
        <v>1271</v>
      </c>
      <c r="BV311" s="79">
        <v>1000</v>
      </c>
      <c r="BW311" s="79">
        <v>230</v>
      </c>
      <c r="BX311" s="79" t="s">
        <v>1336</v>
      </c>
      <c r="BZ311" s="81">
        <v>1418</v>
      </c>
      <c r="CA311">
        <f t="shared" si="40"/>
        <v>7.2570027070920728</v>
      </c>
    </row>
    <row r="312" spans="1:79" x14ac:dyDescent="0.3">
      <c r="A312" s="5" t="s">
        <v>177</v>
      </c>
      <c r="B312" s="39" t="s">
        <v>793</v>
      </c>
      <c r="C312" s="39"/>
      <c r="D312" s="5">
        <v>3.14</v>
      </c>
      <c r="E312" s="5" t="s">
        <v>176</v>
      </c>
      <c r="F312" s="32" t="s">
        <v>528</v>
      </c>
      <c r="G312" s="1" t="s">
        <v>610</v>
      </c>
      <c r="H312" s="5"/>
      <c r="I312" s="5"/>
      <c r="J312" s="41">
        <v>0</v>
      </c>
      <c r="K312">
        <v>0</v>
      </c>
      <c r="L312">
        <v>0</v>
      </c>
      <c r="M312" s="5"/>
      <c r="N312" s="5"/>
      <c r="O312" s="5"/>
      <c r="P312" s="5"/>
      <c r="Q312" s="5"/>
      <c r="R312" s="41">
        <v>0</v>
      </c>
      <c r="S312" s="41"/>
      <c r="T312" s="41"/>
      <c r="U312">
        <v>0</v>
      </c>
      <c r="X312">
        <v>0</v>
      </c>
      <c r="AA312" s="5"/>
      <c r="AB312" s="5">
        <v>20</v>
      </c>
      <c r="AC312" s="55">
        <f t="shared" si="44"/>
        <v>0</v>
      </c>
      <c r="AD312" s="57">
        <v>0</v>
      </c>
      <c r="AE312" s="55">
        <v>0</v>
      </c>
      <c r="AF312" s="55">
        <v>0</v>
      </c>
      <c r="AG312" s="52"/>
      <c r="AH312" s="51"/>
      <c r="AI312" s="52"/>
      <c r="AJ312" s="52"/>
      <c r="AK312" s="5">
        <v>1.75</v>
      </c>
      <c r="AL312" s="5">
        <v>2.5</v>
      </c>
      <c r="AM312" s="5">
        <v>1.375</v>
      </c>
      <c r="AN312" s="5">
        <v>0</v>
      </c>
      <c r="AO312" s="5">
        <v>0.31111111111111112</v>
      </c>
      <c r="AP312" s="5">
        <v>0.44444444444444442</v>
      </c>
      <c r="AQ312" s="5">
        <v>0.24444444444444441</v>
      </c>
      <c r="AR312" s="5">
        <v>0</v>
      </c>
      <c r="AS312" s="41">
        <v>1</v>
      </c>
      <c r="AT312" s="41">
        <v>3.44</v>
      </c>
      <c r="AU312" s="41">
        <v>2.44</v>
      </c>
      <c r="AV312" s="41">
        <v>2.6956250000000002</v>
      </c>
      <c r="AW312" s="5">
        <v>2.6956250000000002</v>
      </c>
      <c r="AX312" s="5">
        <v>6.0930154356250004</v>
      </c>
      <c r="AY312" s="75"/>
      <c r="AZ312" s="75"/>
      <c r="BA312" s="75"/>
      <c r="BF312">
        <v>0</v>
      </c>
      <c r="BG312">
        <v>0</v>
      </c>
      <c r="BH312">
        <v>0</v>
      </c>
      <c r="BI312" s="79" t="s">
        <v>1264</v>
      </c>
      <c r="BJ312" s="79">
        <v>1373</v>
      </c>
      <c r="BK312" s="79">
        <v>50</v>
      </c>
      <c r="BM312" s="79" t="s">
        <v>1268</v>
      </c>
      <c r="BN312" s="79" t="s">
        <v>863</v>
      </c>
      <c r="BO312" s="79">
        <v>1</v>
      </c>
      <c r="BP312" s="79">
        <v>2.1</v>
      </c>
      <c r="BQ312" s="79">
        <v>1.67</v>
      </c>
      <c r="BR312" s="79">
        <v>20</v>
      </c>
      <c r="BS312" s="79" t="s">
        <v>464</v>
      </c>
      <c r="BT312" s="79" t="s">
        <v>464</v>
      </c>
      <c r="BU312" s="79" t="s">
        <v>1271</v>
      </c>
      <c r="BV312" s="79">
        <v>1000</v>
      </c>
      <c r="BW312" s="79">
        <v>230</v>
      </c>
      <c r="BX312" s="79" t="s">
        <v>1336</v>
      </c>
      <c r="BZ312" s="81">
        <v>13616</v>
      </c>
      <c r="CA312">
        <f t="shared" si="40"/>
        <v>9.5190008508131552</v>
      </c>
    </row>
    <row r="313" spans="1:79" x14ac:dyDescent="0.3">
      <c r="A313" s="2" t="s">
        <v>178</v>
      </c>
      <c r="B313" s="13" t="s">
        <v>794</v>
      </c>
      <c r="C313" s="13"/>
      <c r="D313" s="2">
        <v>3.1</v>
      </c>
      <c r="E313" s="2" t="s">
        <v>176</v>
      </c>
      <c r="F313" s="9" t="s">
        <v>580</v>
      </c>
      <c r="G313" t="s">
        <v>655</v>
      </c>
      <c r="I313" s="2"/>
      <c r="J313" s="25">
        <v>1</v>
      </c>
      <c r="K313">
        <v>1</v>
      </c>
      <c r="L313">
        <v>0</v>
      </c>
      <c r="M313" s="2">
        <v>3.9007999999999998</v>
      </c>
      <c r="N313" s="2">
        <v>3.9007999999999998</v>
      </c>
      <c r="O313" s="2">
        <v>15.317</v>
      </c>
      <c r="P313" s="2" t="s">
        <v>439</v>
      </c>
      <c r="Q313" s="2"/>
      <c r="R313" s="25">
        <v>3.9860820000000001</v>
      </c>
      <c r="S313" s="25">
        <v>3.9860820000000001</v>
      </c>
      <c r="T313" s="25">
        <v>15.440419</v>
      </c>
      <c r="U313">
        <v>3.8944000000000001</v>
      </c>
      <c r="V313">
        <v>3.8944000000000001</v>
      </c>
      <c r="W313">
        <v>15.271000000000001</v>
      </c>
      <c r="X313">
        <v>0</v>
      </c>
      <c r="AA313" s="2"/>
      <c r="AB313">
        <v>20</v>
      </c>
      <c r="AC313" s="55">
        <f t="shared" si="44"/>
        <v>233.06715788288</v>
      </c>
      <c r="AD313" s="57">
        <v>245.33049696160739</v>
      </c>
      <c r="AE313" s="55">
        <v>231.60535161856001</v>
      </c>
      <c r="AF313" s="55">
        <v>0</v>
      </c>
      <c r="AG313" s="52"/>
      <c r="AH313" s="51">
        <v>8.1522681638434333E-2</v>
      </c>
      <c r="AI313" s="52">
        <v>8.6353790446685313E-2</v>
      </c>
      <c r="AJ313" s="52"/>
      <c r="AK313" s="28">
        <v>1.75</v>
      </c>
      <c r="AL313" s="28">
        <v>2.5</v>
      </c>
      <c r="AM313" s="28">
        <v>0.75</v>
      </c>
      <c r="AN313" s="28">
        <v>0</v>
      </c>
      <c r="AO313" s="28">
        <v>0.35</v>
      </c>
      <c r="AP313" s="28">
        <v>0.5</v>
      </c>
      <c r="AQ313" s="28">
        <v>0.15</v>
      </c>
      <c r="AR313" s="28">
        <v>0</v>
      </c>
      <c r="AS313" s="25">
        <v>0.82</v>
      </c>
      <c r="AT313" s="25">
        <v>3.44</v>
      </c>
      <c r="AU313" s="25">
        <v>2.62</v>
      </c>
      <c r="AV313" s="25">
        <v>2.62</v>
      </c>
      <c r="AW313">
        <v>2.62</v>
      </c>
      <c r="AX313">
        <v>5.9367901628125006</v>
      </c>
      <c r="AY313" s="75">
        <v>0.52249469585014929</v>
      </c>
      <c r="AZ313" s="75">
        <v>0.55345821025686881</v>
      </c>
      <c r="BA313" s="75"/>
      <c r="BC313">
        <v>4.0761340819217173E-2</v>
      </c>
      <c r="BD313">
        <v>4.3176895223342657E-2</v>
      </c>
      <c r="BF313">
        <v>8.3938236042559816E-2</v>
      </c>
      <c r="BG313">
        <v>4.1969118021279922E-2</v>
      </c>
      <c r="BH313">
        <v>0.53797645305350905</v>
      </c>
      <c r="BI313" s="79" t="s">
        <v>1264</v>
      </c>
      <c r="BJ313" s="79">
        <v>1373</v>
      </c>
      <c r="BK313" s="79">
        <v>50</v>
      </c>
      <c r="BM313" s="79" t="s">
        <v>1268</v>
      </c>
      <c r="BN313" s="79" t="s">
        <v>863</v>
      </c>
      <c r="BO313" s="79">
        <v>1</v>
      </c>
      <c r="BP313" s="79">
        <v>2.7</v>
      </c>
      <c r="BQ313" s="79">
        <v>1.67</v>
      </c>
      <c r="BR313" s="79">
        <v>20</v>
      </c>
      <c r="BS313" s="79" t="s">
        <v>464</v>
      </c>
      <c r="BT313" s="79" t="s">
        <v>464</v>
      </c>
      <c r="BU313" s="79" t="s">
        <v>1271</v>
      </c>
      <c r="BV313" s="79">
        <v>1000</v>
      </c>
      <c r="BW313" s="79">
        <v>230</v>
      </c>
      <c r="BX313" s="79" t="s">
        <v>1336</v>
      </c>
      <c r="BZ313" s="81">
        <v>1929</v>
      </c>
      <c r="CA313">
        <f t="shared" si="40"/>
        <v>7.5647570129057291</v>
      </c>
    </row>
    <row r="314" spans="1:79" x14ac:dyDescent="0.3">
      <c r="A314" s="5" t="s">
        <v>179</v>
      </c>
      <c r="B314" s="39" t="s">
        <v>795</v>
      </c>
      <c r="C314" s="39"/>
      <c r="D314" s="5">
        <v>3.22</v>
      </c>
      <c r="E314" s="5" t="s">
        <v>176</v>
      </c>
      <c r="F314" s="32" t="s">
        <v>528</v>
      </c>
      <c r="G314" s="1" t="s">
        <v>610</v>
      </c>
      <c r="H314" s="5"/>
      <c r="I314" s="5"/>
      <c r="J314" s="41">
        <v>0</v>
      </c>
      <c r="K314">
        <v>0</v>
      </c>
      <c r="L314">
        <v>0</v>
      </c>
      <c r="M314" s="5"/>
      <c r="N314" s="5"/>
      <c r="O314" s="5"/>
      <c r="P314" s="5"/>
      <c r="Q314" s="5"/>
      <c r="R314" s="41">
        <v>0</v>
      </c>
      <c r="S314" s="41"/>
      <c r="T314" s="41"/>
      <c r="U314">
        <v>0</v>
      </c>
      <c r="X314">
        <v>0</v>
      </c>
      <c r="AA314" s="5"/>
      <c r="AB314" s="5">
        <v>20</v>
      </c>
      <c r="AC314" s="55">
        <f t="shared" si="44"/>
        <v>0</v>
      </c>
      <c r="AD314" s="57">
        <v>0</v>
      </c>
      <c r="AE314" s="55">
        <v>0</v>
      </c>
      <c r="AF314" s="55">
        <v>0</v>
      </c>
      <c r="AG314" s="52"/>
      <c r="AH314" s="51"/>
      <c r="AI314" s="52"/>
      <c r="AJ314" s="52"/>
      <c r="AK314" s="5">
        <v>1.75</v>
      </c>
      <c r="AL314" s="5">
        <v>2.5</v>
      </c>
      <c r="AM314" s="5">
        <v>1.375</v>
      </c>
      <c r="AN314" s="5">
        <v>0</v>
      </c>
      <c r="AO314" s="5">
        <v>0.31111111111111112</v>
      </c>
      <c r="AP314" s="5">
        <v>0.44444444444444442</v>
      </c>
      <c r="AQ314" s="5">
        <v>0.24444444444444441</v>
      </c>
      <c r="AR314" s="5">
        <v>0</v>
      </c>
      <c r="AS314" s="41">
        <v>0.95</v>
      </c>
      <c r="AT314" s="41">
        <v>3.44</v>
      </c>
      <c r="AU314" s="41">
        <v>2.4900000000000002</v>
      </c>
      <c r="AV314" s="41">
        <v>2.6893750000000001</v>
      </c>
      <c r="AW314" s="5">
        <v>2.6893750000000001</v>
      </c>
      <c r="AX314" s="5">
        <v>6.0685921218750014</v>
      </c>
      <c r="AY314" s="75"/>
      <c r="AZ314" s="75"/>
      <c r="BA314" s="75"/>
      <c r="BF314">
        <v>0</v>
      </c>
      <c r="BG314">
        <v>0</v>
      </c>
      <c r="BH314">
        <v>0</v>
      </c>
      <c r="BI314" s="79" t="s">
        <v>1264</v>
      </c>
      <c r="BJ314" s="79">
        <v>1373</v>
      </c>
      <c r="BK314" s="79">
        <v>50</v>
      </c>
      <c r="BM314" s="79" t="s">
        <v>1268</v>
      </c>
      <c r="BN314" s="79" t="s">
        <v>863</v>
      </c>
      <c r="BO314" s="79">
        <v>1</v>
      </c>
      <c r="BP314" s="79">
        <v>3</v>
      </c>
      <c r="BQ314" s="79">
        <v>1.67</v>
      </c>
      <c r="BR314" s="79">
        <v>20</v>
      </c>
      <c r="BS314" s="79" t="s">
        <v>464</v>
      </c>
      <c r="BT314" s="79" t="s">
        <v>464</v>
      </c>
      <c r="BU314" s="79" t="s">
        <v>1271</v>
      </c>
      <c r="BV314" s="79">
        <v>1000</v>
      </c>
      <c r="BW314" s="79">
        <v>230</v>
      </c>
      <c r="BX314" s="79" t="s">
        <v>1336</v>
      </c>
      <c r="BZ314" s="81">
        <v>3265</v>
      </c>
      <c r="CA314">
        <f t="shared" si="40"/>
        <v>8.0910150417105307</v>
      </c>
    </row>
    <row r="315" spans="1:79" x14ac:dyDescent="0.3">
      <c r="A315" s="2" t="s">
        <v>180</v>
      </c>
      <c r="B315" s="13" t="s">
        <v>796</v>
      </c>
      <c r="C315" s="13"/>
      <c r="D315" s="2">
        <v>3.6</v>
      </c>
      <c r="E315" s="2" t="s">
        <v>176</v>
      </c>
      <c r="F315" s="9">
        <v>-1</v>
      </c>
      <c r="G315">
        <v>-1</v>
      </c>
      <c r="I315" s="2">
        <v>2</v>
      </c>
      <c r="J315" s="25">
        <v>0</v>
      </c>
      <c r="K315">
        <v>0</v>
      </c>
      <c r="L315">
        <v>0</v>
      </c>
      <c r="M315" s="2">
        <v>3.9287999999999998</v>
      </c>
      <c r="N315" s="2">
        <v>3.9287999999999998</v>
      </c>
      <c r="O315" s="2">
        <v>30.2698</v>
      </c>
      <c r="P315" s="2" t="s">
        <v>439</v>
      </c>
      <c r="Q315" s="2"/>
      <c r="R315" s="25">
        <v>0</v>
      </c>
      <c r="S315" s="25"/>
      <c r="T315" s="25"/>
      <c r="U315">
        <v>0</v>
      </c>
      <c r="X315">
        <v>0</v>
      </c>
      <c r="AA315" s="2"/>
      <c r="AB315">
        <v>20</v>
      </c>
      <c r="AC315" s="55">
        <f t="shared" si="44"/>
        <v>467.22857285491193</v>
      </c>
      <c r="AD315" s="57">
        <v>0</v>
      </c>
      <c r="AE315" s="55">
        <v>0</v>
      </c>
      <c r="AF315" s="55">
        <v>0</v>
      </c>
      <c r="AG315" s="52">
        <f t="shared" ref="AG315:AG316" si="48">I315*AB315/AC315</f>
        <v>8.5611202576048706E-2</v>
      </c>
      <c r="AH315" s="51"/>
      <c r="AI315" s="52"/>
      <c r="AJ315" s="52"/>
      <c r="AK315" s="28">
        <v>1.882352941176471</v>
      </c>
      <c r="AL315" s="28">
        <v>2.3529411764705879</v>
      </c>
      <c r="AM315" s="28">
        <v>0.47058823529411759</v>
      </c>
      <c r="AN315" s="28">
        <v>0</v>
      </c>
      <c r="AO315" s="28">
        <v>0.4</v>
      </c>
      <c r="AP315" s="28">
        <v>0.5</v>
      </c>
      <c r="AQ315" s="28">
        <v>9.9999999999999992E-2</v>
      </c>
      <c r="AR315" s="28">
        <v>0</v>
      </c>
      <c r="AS315" s="25">
        <v>0.82</v>
      </c>
      <c r="AT315" s="25">
        <v>3.44</v>
      </c>
      <c r="AU315" s="25">
        <v>2.62</v>
      </c>
      <c r="AV315" s="25">
        <v>2.5211764705882351</v>
      </c>
      <c r="AW315">
        <v>2.521176470588236</v>
      </c>
      <c r="AX315">
        <v>5.6793405594117647</v>
      </c>
      <c r="AY315" s="75"/>
      <c r="AZ315" s="75"/>
      <c r="BA315" s="75"/>
      <c r="BB315">
        <v>4.2805601288024353E-2</v>
      </c>
      <c r="BF315">
        <v>8.5611202576048706E-2</v>
      </c>
      <c r="BG315">
        <v>4.2805601288024353E-2</v>
      </c>
      <c r="BH315">
        <v>0</v>
      </c>
      <c r="BI315" s="79" t="s">
        <v>1264</v>
      </c>
      <c r="BJ315" s="79">
        <v>1373</v>
      </c>
      <c r="BK315" s="79">
        <v>50</v>
      </c>
      <c r="BM315" s="79" t="s">
        <v>1268</v>
      </c>
      <c r="BN315" s="79" t="s">
        <v>863</v>
      </c>
      <c r="BO315" s="79">
        <v>1</v>
      </c>
      <c r="BP315" s="79">
        <v>2.2999999999999998</v>
      </c>
      <c r="BQ315" s="79">
        <v>1.67</v>
      </c>
      <c r="BR315" s="79">
        <v>20</v>
      </c>
      <c r="BS315" s="79" t="s">
        <v>464</v>
      </c>
      <c r="BT315" s="79" t="s">
        <v>464</v>
      </c>
      <c r="BU315" s="79" t="s">
        <v>1271</v>
      </c>
      <c r="BV315" s="79">
        <v>1000</v>
      </c>
      <c r="BW315" s="79">
        <v>230</v>
      </c>
      <c r="BX315" s="79" t="s">
        <v>1336</v>
      </c>
      <c r="BZ315" s="81">
        <v>3618</v>
      </c>
      <c r="CA315">
        <f t="shared" si="40"/>
        <v>8.1936766659552411</v>
      </c>
    </row>
    <row r="316" spans="1:79" x14ac:dyDescent="0.3">
      <c r="A316" s="2" t="s">
        <v>181</v>
      </c>
      <c r="B316" s="13" t="s">
        <v>797</v>
      </c>
      <c r="C316" s="13"/>
      <c r="D316" s="2">
        <v>3.42</v>
      </c>
      <c r="E316" s="2" t="s">
        <v>176</v>
      </c>
      <c r="F316" s="9" t="s">
        <v>581</v>
      </c>
      <c r="G316" t="s">
        <v>656</v>
      </c>
      <c r="I316" s="2">
        <v>2</v>
      </c>
      <c r="J316" s="25">
        <v>1</v>
      </c>
      <c r="K316">
        <v>2</v>
      </c>
      <c r="L316">
        <v>0</v>
      </c>
      <c r="M316" s="2">
        <v>3.8313999999999999</v>
      </c>
      <c r="N316" s="2">
        <v>3.8313999999999999</v>
      </c>
      <c r="O316" s="2">
        <v>28.871400000000001</v>
      </c>
      <c r="P316" s="2" t="s">
        <v>440</v>
      </c>
      <c r="Q316" s="2"/>
      <c r="R316" s="25">
        <v>14.88329339</v>
      </c>
      <c r="S316" s="25">
        <v>14.88329339</v>
      </c>
      <c r="T316" s="25">
        <v>14.88329339</v>
      </c>
      <c r="U316">
        <v>3.8250999999999999</v>
      </c>
      <c r="V316">
        <v>3.8250999999999999</v>
      </c>
      <c r="W316">
        <v>28.884</v>
      </c>
      <c r="X316">
        <v>0</v>
      </c>
      <c r="AA316" s="2"/>
      <c r="AB316">
        <v>20</v>
      </c>
      <c r="AC316" s="55">
        <f t="shared" si="44"/>
        <v>423.82135294154398</v>
      </c>
      <c r="AD316" s="57">
        <v>218.43262216091571</v>
      </c>
      <c r="AE316" s="55">
        <v>422.61306904883998</v>
      </c>
      <c r="AF316" s="55">
        <v>0</v>
      </c>
      <c r="AG316" s="52">
        <f t="shared" si="48"/>
        <v>9.4379388207741013E-2</v>
      </c>
      <c r="AH316" s="51">
        <v>9.1561415150097566E-2</v>
      </c>
      <c r="AI316" s="52">
        <v>9.4649226276950119E-2</v>
      </c>
      <c r="AJ316" s="52"/>
      <c r="AK316" s="28">
        <v>1.882352941176471</v>
      </c>
      <c r="AL316" s="28">
        <v>2.3529411764705879</v>
      </c>
      <c r="AM316" s="28">
        <v>1.6470588235294119</v>
      </c>
      <c r="AN316" s="28">
        <v>0</v>
      </c>
      <c r="AO316" s="28">
        <v>0.32</v>
      </c>
      <c r="AP316" s="28">
        <v>0.4</v>
      </c>
      <c r="AQ316" s="28">
        <v>0.28000000000000003</v>
      </c>
      <c r="AR316" s="28">
        <v>0</v>
      </c>
      <c r="AS316" s="25">
        <v>1.1000000000000001</v>
      </c>
      <c r="AT316" s="25">
        <v>3.44</v>
      </c>
      <c r="AU316" s="25">
        <v>2.34</v>
      </c>
      <c r="AV316" s="25">
        <v>2.651764705882353</v>
      </c>
      <c r="AW316">
        <v>2.651764705882353</v>
      </c>
      <c r="AX316">
        <v>5.9274383647058819</v>
      </c>
      <c r="AY316" s="75">
        <v>0.55146660057091235</v>
      </c>
      <c r="AZ316" s="75">
        <v>0.57006422384419775</v>
      </c>
      <c r="BA316" s="75"/>
      <c r="BB316">
        <v>4.7189694103870507E-2</v>
      </c>
      <c r="BC316">
        <v>4.5780707575048769E-2</v>
      </c>
      <c r="BD316">
        <v>4.7324613138475059E-2</v>
      </c>
      <c r="BF316">
        <v>9.353000987826289E-2</v>
      </c>
      <c r="BG316">
        <v>4.6765004939131452E-2</v>
      </c>
      <c r="BH316">
        <v>0.56076541220755505</v>
      </c>
      <c r="BI316" s="79" t="s">
        <v>1264</v>
      </c>
      <c r="BJ316" s="79">
        <v>1373</v>
      </c>
      <c r="BK316" s="79">
        <v>50</v>
      </c>
      <c r="BM316" s="79" t="s">
        <v>1268</v>
      </c>
      <c r="BN316" s="79" t="s">
        <v>863</v>
      </c>
      <c r="BO316" s="79">
        <v>1</v>
      </c>
      <c r="BP316" s="79">
        <v>3.1</v>
      </c>
      <c r="BQ316" s="79">
        <v>1.67</v>
      </c>
      <c r="BR316" s="79">
        <v>20</v>
      </c>
      <c r="BS316" s="79" t="s">
        <v>464</v>
      </c>
      <c r="BT316" s="79" t="s">
        <v>464</v>
      </c>
      <c r="BU316" s="79" t="s">
        <v>1271</v>
      </c>
      <c r="BV316" s="79">
        <v>1000</v>
      </c>
      <c r="BW316" s="79">
        <v>230</v>
      </c>
      <c r="BX316" s="79" t="s">
        <v>1336</v>
      </c>
      <c r="BZ316" s="81">
        <v>763</v>
      </c>
      <c r="CA316">
        <f t="shared" si="40"/>
        <v>6.6372580312844569</v>
      </c>
    </row>
    <row r="317" spans="1:79" x14ac:dyDescent="0.3">
      <c r="A317" s="2" t="s">
        <v>2</v>
      </c>
      <c r="B317" s="13" t="s">
        <v>687</v>
      </c>
      <c r="C317" s="13"/>
      <c r="D317" s="2">
        <v>3.3</v>
      </c>
      <c r="E317" s="2" t="s">
        <v>176</v>
      </c>
      <c r="F317" s="9" t="s">
        <v>525</v>
      </c>
      <c r="G317">
        <v>-1</v>
      </c>
      <c r="I317" s="2"/>
      <c r="J317" s="25">
        <v>2</v>
      </c>
      <c r="K317">
        <v>0</v>
      </c>
      <c r="L317">
        <v>0</v>
      </c>
      <c r="M317" s="2">
        <v>5.5339999999999998</v>
      </c>
      <c r="N317" s="2">
        <v>22.083300000000001</v>
      </c>
      <c r="O317" s="2">
        <v>5.5033000000000003</v>
      </c>
      <c r="P317" s="2" t="s">
        <v>515</v>
      </c>
      <c r="Q317" s="2"/>
      <c r="R317" s="25">
        <v>11.92921406</v>
      </c>
      <c r="S317" s="25">
        <v>11.92921406</v>
      </c>
      <c r="T317" s="25">
        <v>11.92921406</v>
      </c>
      <c r="U317">
        <v>0</v>
      </c>
      <c r="X317">
        <v>0</v>
      </c>
      <c r="AA317" s="2"/>
      <c r="AB317">
        <v>14</v>
      </c>
      <c r="AC317" s="55">
        <f t="shared" ref="AC317:AC324" si="49">M317*N317*O317</f>
        <v>672.55269174126011</v>
      </c>
      <c r="AD317" s="57">
        <v>349.00875366799971</v>
      </c>
      <c r="AE317" s="55">
        <v>0</v>
      </c>
      <c r="AF317" s="55">
        <v>0</v>
      </c>
      <c r="AG317" s="52"/>
      <c r="AH317" s="51">
        <v>8.0227214090553903E-2</v>
      </c>
      <c r="AI317" s="52"/>
      <c r="AJ317" s="52"/>
      <c r="AK317" s="28">
        <v>1.7272727272727271</v>
      </c>
      <c r="AL317" s="28">
        <v>2.545454545454545</v>
      </c>
      <c r="AM317" s="28">
        <v>0.81818181818181823</v>
      </c>
      <c r="AN317" s="28">
        <v>0</v>
      </c>
      <c r="AO317" s="28">
        <v>0.3392857142857143</v>
      </c>
      <c r="AP317" s="28">
        <v>0.5</v>
      </c>
      <c r="AQ317" s="28">
        <v>0.1607142857142857</v>
      </c>
      <c r="AR317" s="28">
        <v>0</v>
      </c>
      <c r="AS317" s="25">
        <v>0.82</v>
      </c>
      <c r="AT317" s="25">
        <v>3.44</v>
      </c>
      <c r="AU317" s="25">
        <v>2.62</v>
      </c>
      <c r="AV317" s="25">
        <v>2.6545454545454539</v>
      </c>
      <c r="AW317">
        <v>2.6545454545454552</v>
      </c>
      <c r="AX317">
        <v>5.9865512095454543</v>
      </c>
      <c r="AY317" s="75">
        <v>0.50734392504100967</v>
      </c>
      <c r="AZ317" s="75"/>
      <c r="BA317" s="75"/>
      <c r="BC317">
        <v>4.0113607045276937E-2</v>
      </c>
      <c r="BF317">
        <v>8.0227214090553903E-2</v>
      </c>
      <c r="BG317">
        <v>4.0113607045276937E-2</v>
      </c>
      <c r="BH317">
        <v>0.50734392504100967</v>
      </c>
      <c r="BI317" s="79" t="s">
        <v>1264</v>
      </c>
      <c r="BJ317" s="79">
        <v>1373</v>
      </c>
      <c r="BK317" s="79">
        <v>50</v>
      </c>
      <c r="BM317" s="79" t="s">
        <v>464</v>
      </c>
      <c r="BN317" s="79" t="s">
        <v>464</v>
      </c>
      <c r="BO317" s="79">
        <v>0</v>
      </c>
      <c r="BP317" s="79">
        <v>1.5</v>
      </c>
      <c r="BQ317" s="79">
        <v>1.67</v>
      </c>
      <c r="BR317" s="79">
        <v>20</v>
      </c>
      <c r="BS317" s="79" t="s">
        <v>464</v>
      </c>
      <c r="BT317" s="79" t="s">
        <v>464</v>
      </c>
      <c r="BU317" s="79" t="s">
        <v>1271</v>
      </c>
      <c r="BV317" s="79">
        <v>1000</v>
      </c>
      <c r="BW317" s="79">
        <v>230</v>
      </c>
      <c r="BX317" s="79" t="s">
        <v>1336</v>
      </c>
      <c r="BZ317" s="81">
        <v>0</v>
      </c>
      <c r="CA317" t="e">
        <f t="shared" si="40"/>
        <v>#NUM!</v>
      </c>
    </row>
    <row r="318" spans="1:79" x14ac:dyDescent="0.3">
      <c r="A318" s="2" t="s">
        <v>175</v>
      </c>
      <c r="B318" s="13" t="s">
        <v>792</v>
      </c>
      <c r="C318" s="13"/>
      <c r="D318" s="2">
        <v>2.96</v>
      </c>
      <c r="E318" s="2" t="s">
        <v>176</v>
      </c>
      <c r="F318" s="9" t="s">
        <v>579</v>
      </c>
      <c r="G318" t="s">
        <v>654</v>
      </c>
      <c r="I318" s="2"/>
      <c r="J318" s="25">
        <v>1</v>
      </c>
      <c r="K318">
        <v>2</v>
      </c>
      <c r="L318">
        <v>0</v>
      </c>
      <c r="M318" s="2">
        <v>3.9045000000000001</v>
      </c>
      <c r="N318" s="2">
        <v>3.9045000000000001</v>
      </c>
      <c r="O318" s="2">
        <v>21.652100000000001</v>
      </c>
      <c r="P318" s="2" t="s">
        <v>516</v>
      </c>
      <c r="Q318" s="2"/>
      <c r="R318" s="25">
        <v>11.30538971</v>
      </c>
      <c r="S318" s="25">
        <v>11.30538971</v>
      </c>
      <c r="T318" s="25">
        <v>11.30538971</v>
      </c>
      <c r="U318">
        <v>3.8996</v>
      </c>
      <c r="V318">
        <v>3.8996</v>
      </c>
      <c r="W318">
        <v>21.687999999999999</v>
      </c>
      <c r="X318">
        <v>0</v>
      </c>
      <c r="AA318" s="2"/>
      <c r="AB318">
        <v>14</v>
      </c>
      <c r="AC318" s="55">
        <f t="shared" si="49"/>
        <v>330.08886816502502</v>
      </c>
      <c r="AD318" s="57">
        <v>169.7295487154349</v>
      </c>
      <c r="AE318" s="55">
        <v>329.80681691007999</v>
      </c>
      <c r="AF318" s="55">
        <v>0</v>
      </c>
      <c r="AG318" s="52"/>
      <c r="AH318" s="51">
        <v>8.248416440128592E-2</v>
      </c>
      <c r="AI318" s="52">
        <v>8.4898184526107132E-2</v>
      </c>
      <c r="AJ318" s="52"/>
      <c r="AK318" s="28">
        <v>1.7272727272727271</v>
      </c>
      <c r="AL318" s="28">
        <v>2.545454545454545</v>
      </c>
      <c r="AM318" s="28">
        <v>1.7272727272727271</v>
      </c>
      <c r="AN318" s="28">
        <v>0</v>
      </c>
      <c r="AO318" s="28">
        <v>0.2878787878787879</v>
      </c>
      <c r="AP318" s="28">
        <v>0.42424242424242431</v>
      </c>
      <c r="AQ318" s="28">
        <v>0.2878787878787879</v>
      </c>
      <c r="AR318" s="28">
        <v>0</v>
      </c>
      <c r="AS318" s="25">
        <v>1.1000000000000001</v>
      </c>
      <c r="AT318" s="25">
        <v>3.44</v>
      </c>
      <c r="AU318" s="25">
        <v>2.34</v>
      </c>
      <c r="AV318" s="25">
        <v>2.7554545454545449</v>
      </c>
      <c r="AW318">
        <v>2.7554545454545449</v>
      </c>
      <c r="AX318">
        <v>6.1782631499999994</v>
      </c>
      <c r="AY318" s="75">
        <v>0.46170510468104309</v>
      </c>
      <c r="AZ318" s="75">
        <v>0</v>
      </c>
      <c r="BA318" s="75"/>
      <c r="BC318">
        <v>4.124208220064296E-2</v>
      </c>
      <c r="BD318">
        <v>4.2449092263053573E-2</v>
      </c>
      <c r="BF318">
        <v>8.3691174463696533E-2</v>
      </c>
      <c r="BG318">
        <v>4.1845587231848273E-2</v>
      </c>
      <c r="BH318">
        <v>0.23085255234052149</v>
      </c>
      <c r="BI318" s="79" t="s">
        <v>1264</v>
      </c>
      <c r="BJ318" s="79">
        <v>1373</v>
      </c>
      <c r="BK318" s="79">
        <v>50</v>
      </c>
      <c r="BM318" s="79" t="s">
        <v>464</v>
      </c>
      <c r="BN318" s="79" t="s">
        <v>464</v>
      </c>
      <c r="BO318" s="79">
        <v>0</v>
      </c>
      <c r="BP318" s="79">
        <v>4.2</v>
      </c>
      <c r="BQ318" s="79">
        <v>1.67</v>
      </c>
      <c r="BR318" s="79">
        <v>20</v>
      </c>
      <c r="BS318" s="79" t="s">
        <v>464</v>
      </c>
      <c r="BT318" s="79" t="s">
        <v>464</v>
      </c>
      <c r="BU318" s="79" t="s">
        <v>1271</v>
      </c>
      <c r="BV318" s="79">
        <v>1000</v>
      </c>
      <c r="BW318" s="79">
        <v>230</v>
      </c>
      <c r="BX318" s="79" t="s">
        <v>1336</v>
      </c>
      <c r="BZ318" s="81">
        <v>208</v>
      </c>
      <c r="CA318">
        <f t="shared" si="40"/>
        <v>5.3375380797013179</v>
      </c>
    </row>
    <row r="319" spans="1:79" x14ac:dyDescent="0.3">
      <c r="A319" s="2" t="s">
        <v>5</v>
      </c>
      <c r="B319" s="13" t="s">
        <v>690</v>
      </c>
      <c r="C319" s="13"/>
      <c r="D319" s="2">
        <v>3.5</v>
      </c>
      <c r="E319" s="2" t="s">
        <v>176</v>
      </c>
      <c r="F319" s="9" t="s">
        <v>528</v>
      </c>
      <c r="G319" t="s">
        <v>610</v>
      </c>
      <c r="I319" s="2"/>
      <c r="J319" s="25">
        <v>1</v>
      </c>
      <c r="K319">
        <v>1</v>
      </c>
      <c r="L319">
        <v>0</v>
      </c>
      <c r="M319" s="2">
        <v>3.8650000000000002</v>
      </c>
      <c r="N319" s="2">
        <v>3.8650000000000002</v>
      </c>
      <c r="O319" s="2">
        <v>14.974299999999999</v>
      </c>
      <c r="P319" s="2" t="s">
        <v>439</v>
      </c>
      <c r="Q319" s="2"/>
      <c r="R319" s="25">
        <v>3.9661010000000001</v>
      </c>
      <c r="S319" s="25">
        <v>3.9661010000000001</v>
      </c>
      <c r="T319" s="25">
        <v>15.283337</v>
      </c>
      <c r="U319">
        <v>3.8586499999999999</v>
      </c>
      <c r="V319">
        <v>3.8586499999999999</v>
      </c>
      <c r="W319">
        <v>14.9108</v>
      </c>
      <c r="X319">
        <v>0</v>
      </c>
      <c r="AA319" s="2"/>
      <c r="AB319">
        <v>20</v>
      </c>
      <c r="AC319" s="55">
        <f t="shared" si="49"/>
        <v>223.6894626175</v>
      </c>
      <c r="AD319" s="57">
        <v>240.40623599981481</v>
      </c>
      <c r="AE319" s="55">
        <v>222.00958249733301</v>
      </c>
      <c r="AF319" s="55">
        <v>0</v>
      </c>
      <c r="AG319" s="52"/>
      <c r="AH319" s="51">
        <v>8.3192517518619641E-2</v>
      </c>
      <c r="AI319" s="52">
        <v>9.0086201573034624E-2</v>
      </c>
      <c r="AJ319" s="52"/>
      <c r="AK319" s="28">
        <v>1.75</v>
      </c>
      <c r="AL319" s="28">
        <v>2.5</v>
      </c>
      <c r="AM319" s="28">
        <v>0.75</v>
      </c>
      <c r="AN319" s="28">
        <v>0</v>
      </c>
      <c r="AO319" s="28">
        <v>0.35</v>
      </c>
      <c r="AP319" s="28">
        <v>0.5</v>
      </c>
      <c r="AQ319" s="28">
        <v>0.15</v>
      </c>
      <c r="AR319" s="28">
        <v>0</v>
      </c>
      <c r="AS319" s="25">
        <v>0.82</v>
      </c>
      <c r="AT319" s="25">
        <v>3.44</v>
      </c>
      <c r="AU319" s="25">
        <v>2.62</v>
      </c>
      <c r="AV319" s="25">
        <v>2.6262500000000002</v>
      </c>
      <c r="AW319">
        <v>2.6262500000000002</v>
      </c>
      <c r="AX319">
        <v>5.9612134765624996</v>
      </c>
      <c r="AY319" s="75">
        <v>0.50467688585120674</v>
      </c>
      <c r="AZ319" s="75">
        <v>0.54649654829675798</v>
      </c>
      <c r="BA319" s="75"/>
      <c r="BC319">
        <v>4.159625875930982E-2</v>
      </c>
      <c r="BD319">
        <v>4.5043100786517312E-2</v>
      </c>
      <c r="BF319">
        <v>8.6639359545827133E-2</v>
      </c>
      <c r="BG319">
        <v>4.3319679772913573E-2</v>
      </c>
      <c r="BH319">
        <v>0.5255867170739823</v>
      </c>
      <c r="BI319" s="79" t="s">
        <v>1264</v>
      </c>
      <c r="BJ319" s="79">
        <v>1373</v>
      </c>
      <c r="BK319" s="79">
        <v>50</v>
      </c>
      <c r="BM319" s="79" t="s">
        <v>464</v>
      </c>
      <c r="BN319" s="79" t="s">
        <v>464</v>
      </c>
      <c r="BO319" s="79">
        <v>0</v>
      </c>
      <c r="BP319" s="79">
        <v>1.9</v>
      </c>
      <c r="BQ319" s="79">
        <v>1.67</v>
      </c>
      <c r="BR319" s="79">
        <v>20</v>
      </c>
      <c r="BS319" s="79" t="s">
        <v>464</v>
      </c>
      <c r="BT319" s="79" t="s">
        <v>464</v>
      </c>
      <c r="BU319" s="79" t="s">
        <v>1271</v>
      </c>
      <c r="BV319" s="79">
        <v>1000</v>
      </c>
      <c r="BW319" s="79">
        <v>230</v>
      </c>
      <c r="BX319" s="79" t="s">
        <v>1336</v>
      </c>
      <c r="BZ319" s="81">
        <v>0</v>
      </c>
      <c r="CA319" t="e">
        <f t="shared" si="40"/>
        <v>#NUM!</v>
      </c>
    </row>
    <row r="320" spans="1:79" x14ac:dyDescent="0.3">
      <c r="A320" s="5" t="s">
        <v>177</v>
      </c>
      <c r="B320" s="39" t="s">
        <v>793</v>
      </c>
      <c r="C320" s="39"/>
      <c r="D320" s="5">
        <v>2.86</v>
      </c>
      <c r="E320" s="5" t="s">
        <v>176</v>
      </c>
      <c r="F320" s="32" t="s">
        <v>528</v>
      </c>
      <c r="G320" s="1" t="s">
        <v>610</v>
      </c>
      <c r="H320" s="5"/>
      <c r="I320" s="5"/>
      <c r="J320" s="41">
        <v>0</v>
      </c>
      <c r="K320">
        <v>0</v>
      </c>
      <c r="L320">
        <v>0</v>
      </c>
      <c r="M320" s="5"/>
      <c r="N320" s="5"/>
      <c r="O320" s="5"/>
      <c r="P320" s="5"/>
      <c r="Q320" s="5"/>
      <c r="R320" s="41">
        <v>0</v>
      </c>
      <c r="S320" s="41"/>
      <c r="T320" s="41"/>
      <c r="U320">
        <v>0</v>
      </c>
      <c r="X320">
        <v>0</v>
      </c>
      <c r="AA320" s="5"/>
      <c r="AB320" s="5">
        <v>20</v>
      </c>
      <c r="AC320" s="55">
        <f t="shared" si="49"/>
        <v>0</v>
      </c>
      <c r="AD320" s="57">
        <v>0</v>
      </c>
      <c r="AE320" s="55">
        <v>0</v>
      </c>
      <c r="AF320" s="55">
        <v>0</v>
      </c>
      <c r="AG320" s="52"/>
      <c r="AH320" s="51"/>
      <c r="AI320" s="52"/>
      <c r="AJ320" s="52"/>
      <c r="AK320" s="5">
        <v>1.75</v>
      </c>
      <c r="AL320" s="5">
        <v>2.5</v>
      </c>
      <c r="AM320" s="5">
        <v>1.375</v>
      </c>
      <c r="AN320" s="5">
        <v>0</v>
      </c>
      <c r="AO320" s="5">
        <v>0.31111111111111112</v>
      </c>
      <c r="AP320" s="5">
        <v>0.44444444444444442</v>
      </c>
      <c r="AQ320" s="5">
        <v>0.24444444444444441</v>
      </c>
      <c r="AR320" s="5">
        <v>0</v>
      </c>
      <c r="AS320" s="41">
        <v>1</v>
      </c>
      <c r="AT320" s="41">
        <v>3.44</v>
      </c>
      <c r="AU320" s="41">
        <v>2.44</v>
      </c>
      <c r="AV320" s="41">
        <v>2.6956250000000002</v>
      </c>
      <c r="AW320" s="5">
        <v>2.6956250000000002</v>
      </c>
      <c r="AX320" s="5">
        <v>6.0930154356250004</v>
      </c>
      <c r="AY320" s="75"/>
      <c r="AZ320" s="75"/>
      <c r="BA320" s="75"/>
      <c r="BF320">
        <v>0</v>
      </c>
      <c r="BG320">
        <v>0</v>
      </c>
      <c r="BH320">
        <v>0</v>
      </c>
      <c r="BI320" s="79" t="s">
        <v>1264</v>
      </c>
      <c r="BJ320" s="79">
        <v>1373</v>
      </c>
      <c r="BK320" s="79">
        <v>50</v>
      </c>
      <c r="BM320" s="79" t="s">
        <v>464</v>
      </c>
      <c r="BN320" s="79" t="s">
        <v>464</v>
      </c>
      <c r="BO320" s="79">
        <v>0</v>
      </c>
      <c r="BP320" s="79">
        <v>2.1</v>
      </c>
      <c r="BQ320" s="79">
        <v>1.67</v>
      </c>
      <c r="BR320" s="79">
        <v>20</v>
      </c>
      <c r="BS320" s="79" t="s">
        <v>464</v>
      </c>
      <c r="BT320" s="79" t="s">
        <v>464</v>
      </c>
      <c r="BU320" s="79" t="s">
        <v>1271</v>
      </c>
      <c r="BV320" s="79">
        <v>1000</v>
      </c>
      <c r="BW320" s="79">
        <v>230</v>
      </c>
      <c r="BX320" s="79" t="s">
        <v>1336</v>
      </c>
      <c r="BZ320" s="81">
        <v>2030</v>
      </c>
      <c r="CA320">
        <f t="shared" si="40"/>
        <v>7.6157910720358331</v>
      </c>
    </row>
    <row r="321" spans="1:79" x14ac:dyDescent="0.3">
      <c r="A321" s="2" t="s">
        <v>178</v>
      </c>
      <c r="B321" s="13" t="s">
        <v>794</v>
      </c>
      <c r="C321" s="13"/>
      <c r="D321" s="2">
        <v>3.1</v>
      </c>
      <c r="E321" s="2" t="s">
        <v>176</v>
      </c>
      <c r="F321" s="9" t="s">
        <v>580</v>
      </c>
      <c r="G321" t="s">
        <v>655</v>
      </c>
      <c r="I321" s="2"/>
      <c r="J321" s="25">
        <v>1</v>
      </c>
      <c r="K321">
        <v>1</v>
      </c>
      <c r="L321">
        <v>0</v>
      </c>
      <c r="M321" s="2">
        <v>3.9007999999999998</v>
      </c>
      <c r="N321" s="2">
        <v>3.9007999999999998</v>
      </c>
      <c r="O321" s="2">
        <v>15.317</v>
      </c>
      <c r="P321" s="2" t="s">
        <v>439</v>
      </c>
      <c r="Q321" s="2"/>
      <c r="R321" s="25">
        <v>3.9860820000000001</v>
      </c>
      <c r="S321" s="25">
        <v>3.9860820000000001</v>
      </c>
      <c r="T321" s="25">
        <v>15.440419</v>
      </c>
      <c r="U321">
        <v>3.8944000000000001</v>
      </c>
      <c r="V321">
        <v>3.8944000000000001</v>
      </c>
      <c r="W321">
        <v>15.271000000000001</v>
      </c>
      <c r="X321">
        <v>0</v>
      </c>
      <c r="AA321" s="2"/>
      <c r="AB321">
        <v>20</v>
      </c>
      <c r="AC321" s="55">
        <f t="shared" si="49"/>
        <v>233.06715788288</v>
      </c>
      <c r="AD321" s="57">
        <v>245.33049696160739</v>
      </c>
      <c r="AE321" s="55">
        <v>231.60535161856001</v>
      </c>
      <c r="AF321" s="55">
        <v>0</v>
      </c>
      <c r="AG321" s="52"/>
      <c r="AH321" s="51">
        <v>8.1522681638434333E-2</v>
      </c>
      <c r="AI321" s="52">
        <v>8.6353790446685313E-2</v>
      </c>
      <c r="AJ321" s="52"/>
      <c r="AK321" s="28">
        <v>1.75</v>
      </c>
      <c r="AL321" s="28">
        <v>2.5</v>
      </c>
      <c r="AM321" s="28">
        <v>0.75</v>
      </c>
      <c r="AN321" s="28">
        <v>0</v>
      </c>
      <c r="AO321" s="28">
        <v>0.35</v>
      </c>
      <c r="AP321" s="28">
        <v>0.5</v>
      </c>
      <c r="AQ321" s="28">
        <v>0.15</v>
      </c>
      <c r="AR321" s="28">
        <v>0</v>
      </c>
      <c r="AS321" s="25">
        <v>0.82</v>
      </c>
      <c r="AT321" s="25">
        <v>3.44</v>
      </c>
      <c r="AU321" s="25">
        <v>2.62</v>
      </c>
      <c r="AV321" s="25">
        <v>2.62</v>
      </c>
      <c r="AW321">
        <v>2.62</v>
      </c>
      <c r="AX321">
        <v>5.9367901628125006</v>
      </c>
      <c r="AY321" s="75">
        <v>0.52249469585014929</v>
      </c>
      <c r="AZ321" s="75">
        <v>0.55345821025686881</v>
      </c>
      <c r="BA321" s="75"/>
      <c r="BC321">
        <v>4.0761340819217173E-2</v>
      </c>
      <c r="BD321">
        <v>4.3176895223342657E-2</v>
      </c>
      <c r="BF321">
        <v>8.3938236042559816E-2</v>
      </c>
      <c r="BG321">
        <v>4.1969118021279922E-2</v>
      </c>
      <c r="BH321">
        <v>0.53797645305350905</v>
      </c>
      <c r="BI321" s="79" t="s">
        <v>1264</v>
      </c>
      <c r="BJ321" s="79">
        <v>1373</v>
      </c>
      <c r="BK321" s="79">
        <v>50</v>
      </c>
      <c r="BM321" s="79" t="s">
        <v>464</v>
      </c>
      <c r="BN321" s="79" t="s">
        <v>464</v>
      </c>
      <c r="BO321" s="79">
        <v>0</v>
      </c>
      <c r="BP321" s="79">
        <v>2.7</v>
      </c>
      <c r="BQ321" s="79">
        <v>1.67</v>
      </c>
      <c r="BR321" s="79">
        <v>20</v>
      </c>
      <c r="BS321" s="79" t="s">
        <v>464</v>
      </c>
      <c r="BT321" s="79" t="s">
        <v>464</v>
      </c>
      <c r="BU321" s="79" t="s">
        <v>1271</v>
      </c>
      <c r="BV321" s="79">
        <v>1000</v>
      </c>
      <c r="BW321" s="79">
        <v>230</v>
      </c>
      <c r="BX321" s="79" t="s">
        <v>1336</v>
      </c>
      <c r="BZ321" s="81">
        <v>0</v>
      </c>
      <c r="CA321" t="e">
        <f t="shared" si="40"/>
        <v>#NUM!</v>
      </c>
    </row>
    <row r="322" spans="1:79" x14ac:dyDescent="0.3">
      <c r="A322" s="5" t="s">
        <v>179</v>
      </c>
      <c r="B322" s="39" t="s">
        <v>795</v>
      </c>
      <c r="C322" s="39"/>
      <c r="D322" s="5">
        <v>2.85</v>
      </c>
      <c r="E322" s="5" t="s">
        <v>176</v>
      </c>
      <c r="F322" s="32" t="s">
        <v>528</v>
      </c>
      <c r="G322" s="1" t="s">
        <v>610</v>
      </c>
      <c r="H322" s="5"/>
      <c r="I322" s="5"/>
      <c r="J322" s="41">
        <v>0</v>
      </c>
      <c r="K322">
        <v>0</v>
      </c>
      <c r="L322">
        <v>0</v>
      </c>
      <c r="M322" s="5"/>
      <c r="N322" s="5"/>
      <c r="O322" s="5"/>
      <c r="P322" s="5"/>
      <c r="Q322" s="5"/>
      <c r="R322" s="41">
        <v>0</v>
      </c>
      <c r="S322" s="41"/>
      <c r="T322" s="41"/>
      <c r="U322">
        <v>0</v>
      </c>
      <c r="X322">
        <v>0</v>
      </c>
      <c r="AA322" s="5"/>
      <c r="AB322" s="5">
        <v>20</v>
      </c>
      <c r="AC322" s="55">
        <f t="shared" si="49"/>
        <v>0</v>
      </c>
      <c r="AD322" s="57">
        <v>0</v>
      </c>
      <c r="AE322" s="55">
        <v>0</v>
      </c>
      <c r="AF322" s="55">
        <v>0</v>
      </c>
      <c r="AG322" s="52"/>
      <c r="AH322" s="51"/>
      <c r="AI322" s="52"/>
      <c r="AJ322" s="52"/>
      <c r="AK322" s="5">
        <v>1.75</v>
      </c>
      <c r="AL322" s="5">
        <v>2.5</v>
      </c>
      <c r="AM322" s="5">
        <v>1.375</v>
      </c>
      <c r="AN322" s="5">
        <v>0</v>
      </c>
      <c r="AO322" s="5">
        <v>0.31111111111111112</v>
      </c>
      <c r="AP322" s="5">
        <v>0.44444444444444442</v>
      </c>
      <c r="AQ322" s="5">
        <v>0.24444444444444441</v>
      </c>
      <c r="AR322" s="5">
        <v>0</v>
      </c>
      <c r="AS322" s="41">
        <v>0.95</v>
      </c>
      <c r="AT322" s="41">
        <v>3.44</v>
      </c>
      <c r="AU322" s="41">
        <v>2.4900000000000002</v>
      </c>
      <c r="AV322" s="41">
        <v>2.6893750000000001</v>
      </c>
      <c r="AW322" s="5">
        <v>2.6893750000000001</v>
      </c>
      <c r="AX322" s="5">
        <v>6.0685921218750014</v>
      </c>
      <c r="AY322" s="75"/>
      <c r="AZ322" s="75"/>
      <c r="BA322" s="75"/>
      <c r="BF322">
        <v>0</v>
      </c>
      <c r="BG322">
        <v>0</v>
      </c>
      <c r="BH322">
        <v>0</v>
      </c>
      <c r="BI322" s="79" t="s">
        <v>1264</v>
      </c>
      <c r="BJ322" s="79">
        <v>1373</v>
      </c>
      <c r="BK322" s="79">
        <v>50</v>
      </c>
      <c r="BM322" s="79" t="s">
        <v>464</v>
      </c>
      <c r="BN322" s="79" t="s">
        <v>464</v>
      </c>
      <c r="BO322" s="79">
        <v>0</v>
      </c>
      <c r="BP322" s="79">
        <v>3</v>
      </c>
      <c r="BQ322" s="79">
        <v>1.67</v>
      </c>
      <c r="BR322" s="79">
        <v>20</v>
      </c>
      <c r="BS322" s="79" t="s">
        <v>464</v>
      </c>
      <c r="BT322" s="79" t="s">
        <v>464</v>
      </c>
      <c r="BU322" s="79" t="s">
        <v>1271</v>
      </c>
      <c r="BV322" s="79">
        <v>1000</v>
      </c>
      <c r="BW322" s="79">
        <v>230</v>
      </c>
      <c r="BX322" s="79" t="s">
        <v>1336</v>
      </c>
      <c r="BZ322" s="81">
        <v>1256</v>
      </c>
      <c r="CA322">
        <f t="shared" si="40"/>
        <v>7.1356873470281439</v>
      </c>
    </row>
    <row r="323" spans="1:79" x14ac:dyDescent="0.3">
      <c r="A323" s="2" t="s">
        <v>180</v>
      </c>
      <c r="B323" s="13" t="s">
        <v>796</v>
      </c>
      <c r="C323" s="13"/>
      <c r="D323" s="2">
        <v>3.6</v>
      </c>
      <c r="E323" s="2" t="s">
        <v>176</v>
      </c>
      <c r="F323" s="9">
        <v>-1</v>
      </c>
      <c r="G323">
        <v>-1</v>
      </c>
      <c r="I323" s="2">
        <v>2</v>
      </c>
      <c r="J323" s="25">
        <v>0</v>
      </c>
      <c r="K323">
        <v>0</v>
      </c>
      <c r="L323">
        <v>0</v>
      </c>
      <c r="M323" s="2">
        <v>3.9287999999999998</v>
      </c>
      <c r="N323" s="2">
        <v>3.9287999999999998</v>
      </c>
      <c r="O323" s="2">
        <v>30.2698</v>
      </c>
      <c r="P323" s="2" t="s">
        <v>439</v>
      </c>
      <c r="Q323" s="2"/>
      <c r="R323" s="25">
        <v>0</v>
      </c>
      <c r="S323" s="25"/>
      <c r="T323" s="25"/>
      <c r="U323">
        <v>0</v>
      </c>
      <c r="X323">
        <v>0</v>
      </c>
      <c r="AA323" s="2"/>
      <c r="AB323">
        <v>20</v>
      </c>
      <c r="AC323" s="55">
        <f t="shared" si="49"/>
        <v>467.22857285491193</v>
      </c>
      <c r="AD323" s="57">
        <v>0</v>
      </c>
      <c r="AE323" s="55">
        <v>0</v>
      </c>
      <c r="AF323" s="55">
        <v>0</v>
      </c>
      <c r="AG323" s="52">
        <f t="shared" ref="AG323:AG324" si="50">I323*AB323/AC323</f>
        <v>8.5611202576048706E-2</v>
      </c>
      <c r="AH323" s="51"/>
      <c r="AI323" s="52"/>
      <c r="AJ323" s="52"/>
      <c r="AK323" s="28">
        <v>1.882352941176471</v>
      </c>
      <c r="AL323" s="28">
        <v>2.3529411764705879</v>
      </c>
      <c r="AM323" s="28">
        <v>0.47058823529411759</v>
      </c>
      <c r="AN323" s="28">
        <v>0</v>
      </c>
      <c r="AO323" s="28">
        <v>0.4</v>
      </c>
      <c r="AP323" s="28">
        <v>0.5</v>
      </c>
      <c r="AQ323" s="28">
        <v>9.9999999999999992E-2</v>
      </c>
      <c r="AR323" s="28">
        <v>0</v>
      </c>
      <c r="AS323" s="25">
        <v>0.82</v>
      </c>
      <c r="AT323" s="25">
        <v>3.44</v>
      </c>
      <c r="AU323" s="25">
        <v>2.62</v>
      </c>
      <c r="AV323" s="25">
        <v>2.5211764705882351</v>
      </c>
      <c r="AW323">
        <v>2.521176470588236</v>
      </c>
      <c r="AX323">
        <v>5.6793405594117647</v>
      </c>
      <c r="AY323" s="75"/>
      <c r="AZ323" s="75"/>
      <c r="BA323" s="75"/>
      <c r="BB323">
        <v>4.2805601288024353E-2</v>
      </c>
      <c r="BF323">
        <v>8.5611202576048706E-2</v>
      </c>
      <c r="BG323">
        <v>4.2805601288024353E-2</v>
      </c>
      <c r="BH323">
        <v>0</v>
      </c>
      <c r="BI323" s="79" t="s">
        <v>1264</v>
      </c>
      <c r="BJ323" s="79">
        <v>1373</v>
      </c>
      <c r="BK323" s="79">
        <v>50</v>
      </c>
      <c r="BM323" s="79" t="s">
        <v>464</v>
      </c>
      <c r="BN323" s="79" t="s">
        <v>464</v>
      </c>
      <c r="BO323" s="79">
        <v>0</v>
      </c>
      <c r="BP323" s="79">
        <v>2.2999999999999998</v>
      </c>
      <c r="BQ323" s="79">
        <v>1.67</v>
      </c>
      <c r="BR323" s="79">
        <v>20</v>
      </c>
      <c r="BS323" s="79" t="s">
        <v>464</v>
      </c>
      <c r="BT323" s="79" t="s">
        <v>464</v>
      </c>
      <c r="BU323" s="79" t="s">
        <v>1271</v>
      </c>
      <c r="BV323" s="79">
        <v>1000</v>
      </c>
      <c r="BW323" s="79">
        <v>230</v>
      </c>
      <c r="BX323" s="79" t="s">
        <v>1336</v>
      </c>
      <c r="BZ323" s="81">
        <v>0</v>
      </c>
      <c r="CA323" t="e">
        <f t="shared" ref="CA323:CA386" si="51">LN(BZ323)</f>
        <v>#NUM!</v>
      </c>
    </row>
    <row r="324" spans="1:79" x14ac:dyDescent="0.3">
      <c r="A324" s="2" t="s">
        <v>181</v>
      </c>
      <c r="B324" s="13" t="s">
        <v>797</v>
      </c>
      <c r="C324" s="13"/>
      <c r="D324" s="2">
        <v>2.65</v>
      </c>
      <c r="E324" s="2" t="s">
        <v>176</v>
      </c>
      <c r="F324" s="9" t="s">
        <v>581</v>
      </c>
      <c r="G324" t="s">
        <v>656</v>
      </c>
      <c r="I324" s="2">
        <v>2</v>
      </c>
      <c r="J324" s="25">
        <v>1</v>
      </c>
      <c r="K324">
        <v>2</v>
      </c>
      <c r="L324">
        <v>0</v>
      </c>
      <c r="M324" s="2">
        <v>3.8313999999999999</v>
      </c>
      <c r="N324" s="2">
        <v>3.8313999999999999</v>
      </c>
      <c r="O324" s="2">
        <v>28.871400000000001</v>
      </c>
      <c r="P324" s="2" t="s">
        <v>440</v>
      </c>
      <c r="Q324" s="2"/>
      <c r="R324" s="25">
        <v>14.88329339</v>
      </c>
      <c r="S324" s="25">
        <v>14.88329339</v>
      </c>
      <c r="T324" s="25">
        <v>14.88329339</v>
      </c>
      <c r="U324">
        <v>3.8250999999999999</v>
      </c>
      <c r="V324">
        <v>3.8250999999999999</v>
      </c>
      <c r="W324">
        <v>28.884</v>
      </c>
      <c r="X324">
        <v>0</v>
      </c>
      <c r="AA324" s="2"/>
      <c r="AB324">
        <v>20</v>
      </c>
      <c r="AC324" s="55">
        <f t="shared" si="49"/>
        <v>423.82135294154398</v>
      </c>
      <c r="AD324" s="57">
        <v>218.43262216091571</v>
      </c>
      <c r="AE324" s="55">
        <v>422.61306904883998</v>
      </c>
      <c r="AF324" s="55">
        <v>0</v>
      </c>
      <c r="AG324" s="52">
        <f t="shared" si="50"/>
        <v>9.4379388207741013E-2</v>
      </c>
      <c r="AH324" s="51">
        <v>9.1561415150097566E-2</v>
      </c>
      <c r="AI324" s="52">
        <v>9.4649226276950119E-2</v>
      </c>
      <c r="AJ324" s="52"/>
      <c r="AK324" s="28">
        <v>1.882352941176471</v>
      </c>
      <c r="AL324" s="28">
        <v>2.3529411764705879</v>
      </c>
      <c r="AM324" s="28">
        <v>1.6470588235294119</v>
      </c>
      <c r="AN324" s="28">
        <v>0</v>
      </c>
      <c r="AO324" s="28">
        <v>0.32</v>
      </c>
      <c r="AP324" s="28">
        <v>0.4</v>
      </c>
      <c r="AQ324" s="28">
        <v>0.28000000000000003</v>
      </c>
      <c r="AR324" s="28">
        <v>0</v>
      </c>
      <c r="AS324" s="25">
        <v>1.1000000000000001</v>
      </c>
      <c r="AT324" s="25">
        <v>3.44</v>
      </c>
      <c r="AU324" s="25">
        <v>2.34</v>
      </c>
      <c r="AV324" s="25">
        <v>2.651764705882353</v>
      </c>
      <c r="AW324">
        <v>2.651764705882353</v>
      </c>
      <c r="AX324">
        <v>5.9274383647058819</v>
      </c>
      <c r="AY324" s="75">
        <v>0.55146660057091235</v>
      </c>
      <c r="AZ324" s="75">
        <v>0.57006422384419775</v>
      </c>
      <c r="BA324" s="75"/>
      <c r="BB324">
        <v>4.7189694103870507E-2</v>
      </c>
      <c r="BC324">
        <v>4.5780707575048769E-2</v>
      </c>
      <c r="BD324">
        <v>4.7324613138475059E-2</v>
      </c>
      <c r="BF324">
        <v>9.353000987826289E-2</v>
      </c>
      <c r="BG324">
        <v>4.6765004939131452E-2</v>
      </c>
      <c r="BH324">
        <v>0.56076541220755505</v>
      </c>
      <c r="BI324" s="79" t="s">
        <v>1264</v>
      </c>
      <c r="BJ324" s="79">
        <v>1373</v>
      </c>
      <c r="BK324" s="79">
        <v>50</v>
      </c>
      <c r="BM324" s="79" t="s">
        <v>464</v>
      </c>
      <c r="BN324" s="79" t="s">
        <v>464</v>
      </c>
      <c r="BO324" s="79">
        <v>0</v>
      </c>
      <c r="BP324" s="79">
        <v>3.1</v>
      </c>
      <c r="BQ324" s="79">
        <v>1.67</v>
      </c>
      <c r="BR324" s="79">
        <v>20</v>
      </c>
      <c r="BS324" s="79" t="s">
        <v>464</v>
      </c>
      <c r="BT324" s="79" t="s">
        <v>464</v>
      </c>
      <c r="BU324" s="79" t="s">
        <v>1271</v>
      </c>
      <c r="BV324" s="79">
        <v>1000</v>
      </c>
      <c r="BW324" s="79">
        <v>230</v>
      </c>
      <c r="BX324" s="79" t="s">
        <v>1336</v>
      </c>
      <c r="BZ324" s="81">
        <v>230</v>
      </c>
      <c r="CA324">
        <f t="shared" si="51"/>
        <v>5.4380793089231956</v>
      </c>
    </row>
    <row r="325" spans="1:79" x14ac:dyDescent="0.3">
      <c r="A325" s="2" t="s">
        <v>38</v>
      </c>
      <c r="B325" s="13" t="s">
        <v>714</v>
      </c>
      <c r="C325" s="13"/>
      <c r="D325" s="2">
        <v>3.9</v>
      </c>
      <c r="E325" s="2" t="s">
        <v>182</v>
      </c>
      <c r="F325" s="9" t="s">
        <v>545</v>
      </c>
      <c r="G325" t="s">
        <v>626</v>
      </c>
      <c r="I325" s="2"/>
      <c r="J325" s="25">
        <v>1</v>
      </c>
      <c r="K325">
        <v>1</v>
      </c>
      <c r="L325">
        <v>0</v>
      </c>
      <c r="M325" s="2"/>
      <c r="N325" s="2"/>
      <c r="O325" s="2"/>
      <c r="P325" s="2"/>
      <c r="Q325" s="2"/>
      <c r="R325" s="25">
        <v>5.8532381300000003</v>
      </c>
      <c r="S325" s="25">
        <v>5.8532371599999999</v>
      </c>
      <c r="T325" s="25">
        <v>11.912811489999999</v>
      </c>
      <c r="U325">
        <v>5.7946</v>
      </c>
      <c r="V325">
        <v>5.7946</v>
      </c>
      <c r="W325">
        <v>11.787599999999999</v>
      </c>
      <c r="X325">
        <v>0</v>
      </c>
      <c r="AA325" s="2"/>
      <c r="AB325">
        <v>30</v>
      </c>
      <c r="AC325" s="55">
        <f t="shared" si="44"/>
        <v>0</v>
      </c>
      <c r="AD325" s="57">
        <v>353.45760058531442</v>
      </c>
      <c r="AE325" s="55">
        <v>342.77011164986573</v>
      </c>
      <c r="AF325" s="55">
        <v>0</v>
      </c>
      <c r="AG325" s="52"/>
      <c r="AH325" s="51">
        <v>8.487580957467307E-2</v>
      </c>
      <c r="AI325" s="52">
        <v>8.752221672887435E-2</v>
      </c>
      <c r="AJ325" s="52"/>
      <c r="AK325" s="28">
        <v>1.833333333333333</v>
      </c>
      <c r="AL325" s="28">
        <v>2.5</v>
      </c>
      <c r="AM325" s="28">
        <v>0.66666666666666663</v>
      </c>
      <c r="AN325" s="28">
        <v>0</v>
      </c>
      <c r="AO325" s="28">
        <v>0.36666666666666659</v>
      </c>
      <c r="AP325" s="28">
        <v>0.5</v>
      </c>
      <c r="AQ325" s="28">
        <v>0.1333333333333333</v>
      </c>
      <c r="AR325" s="28">
        <v>0</v>
      </c>
      <c r="AS325" s="25">
        <v>0.89</v>
      </c>
      <c r="AT325" s="25">
        <v>3.44</v>
      </c>
      <c r="AU325" s="25">
        <v>2.5499999999999998</v>
      </c>
      <c r="AV325" s="25">
        <v>2.6020833333333329</v>
      </c>
      <c r="AW325">
        <v>2.6020833333333329</v>
      </c>
      <c r="AX325">
        <v>5.9098726145833336</v>
      </c>
      <c r="AY325" s="75">
        <v>0.57410011132036598</v>
      </c>
      <c r="AZ325" s="75">
        <v>0.59200041353179045</v>
      </c>
      <c r="BA325" s="75"/>
      <c r="BC325">
        <v>4.2437904787336528E-2</v>
      </c>
      <c r="BD325">
        <v>4.3761108364437168E-2</v>
      </c>
      <c r="BF325">
        <v>8.619901315177371E-2</v>
      </c>
      <c r="BG325">
        <v>4.3099506575886848E-2</v>
      </c>
      <c r="BH325">
        <v>0.58305026242607827</v>
      </c>
      <c r="BI325" s="79" t="s">
        <v>1264</v>
      </c>
      <c r="BJ325" s="79">
        <v>1473</v>
      </c>
      <c r="BK325" s="79">
        <v>10</v>
      </c>
      <c r="BM325" s="79" t="s">
        <v>464</v>
      </c>
      <c r="BN325" s="79" t="s">
        <v>464</v>
      </c>
      <c r="BO325" s="79">
        <v>0</v>
      </c>
      <c r="BP325" s="79">
        <v>0.7</v>
      </c>
      <c r="BQ325" s="79">
        <v>1.32</v>
      </c>
      <c r="BR325" s="79">
        <v>0</v>
      </c>
      <c r="BS325" s="79" t="s">
        <v>464</v>
      </c>
      <c r="BT325" s="79" t="s">
        <v>464</v>
      </c>
      <c r="BU325" s="79" t="s">
        <v>1266</v>
      </c>
      <c r="BV325" s="79">
        <v>400</v>
      </c>
      <c r="BX325" s="79" t="s">
        <v>1287</v>
      </c>
      <c r="BZ325" s="81">
        <f>20</f>
        <v>20</v>
      </c>
      <c r="CA325">
        <f t="shared" si="51"/>
        <v>2.9957322735539909</v>
      </c>
    </row>
    <row r="326" spans="1:79" x14ac:dyDescent="0.3">
      <c r="A326" s="2" t="s">
        <v>38</v>
      </c>
      <c r="B326" s="13" t="s">
        <v>714</v>
      </c>
      <c r="C326" s="13"/>
      <c r="D326" s="2">
        <v>3.9</v>
      </c>
      <c r="E326" s="2" t="s">
        <v>182</v>
      </c>
      <c r="F326" s="9" t="s">
        <v>545</v>
      </c>
      <c r="G326" t="s">
        <v>626</v>
      </c>
      <c r="I326" s="2"/>
      <c r="J326" s="25">
        <v>1</v>
      </c>
      <c r="K326">
        <v>1</v>
      </c>
      <c r="L326">
        <v>0</v>
      </c>
      <c r="M326" s="2"/>
      <c r="N326" s="2"/>
      <c r="O326" s="2"/>
      <c r="P326" s="2"/>
      <c r="Q326" s="2"/>
      <c r="R326" s="25">
        <v>5.8532381300000003</v>
      </c>
      <c r="S326" s="25">
        <v>5.8532371599999999</v>
      </c>
      <c r="T326" s="25">
        <v>11.912811489999999</v>
      </c>
      <c r="U326">
        <v>5.7946</v>
      </c>
      <c r="V326">
        <v>5.7946</v>
      </c>
      <c r="W326">
        <v>11.787599999999999</v>
      </c>
      <c r="X326">
        <v>0</v>
      </c>
      <c r="AA326" s="2"/>
      <c r="AB326">
        <v>30</v>
      </c>
      <c r="AC326" s="55">
        <f t="shared" ref="AC326" si="52">M326*N326*O326</f>
        <v>0</v>
      </c>
      <c r="AD326" s="57">
        <v>353.45760058531442</v>
      </c>
      <c r="AE326" s="55">
        <v>342.77011164986573</v>
      </c>
      <c r="AF326" s="55">
        <v>0</v>
      </c>
      <c r="AG326" s="52"/>
      <c r="AH326" s="51">
        <v>8.487580957467307E-2</v>
      </c>
      <c r="AI326" s="52">
        <v>8.752221672887435E-2</v>
      </c>
      <c r="AJ326" s="52"/>
      <c r="AK326" s="28">
        <v>1.833333333333333</v>
      </c>
      <c r="AL326" s="28">
        <v>2.5</v>
      </c>
      <c r="AM326" s="28">
        <v>0.66666666666666663</v>
      </c>
      <c r="AN326" s="28">
        <v>0</v>
      </c>
      <c r="AO326" s="28">
        <v>0.36666666666666659</v>
      </c>
      <c r="AP326" s="28">
        <v>0.5</v>
      </c>
      <c r="AQ326" s="28">
        <v>0.1333333333333333</v>
      </c>
      <c r="AR326" s="28">
        <v>0</v>
      </c>
      <c r="AS326" s="25">
        <v>0.89</v>
      </c>
      <c r="AT326" s="25">
        <v>3.44</v>
      </c>
      <c r="AU326" s="25">
        <v>2.5499999999999998</v>
      </c>
      <c r="AV326" s="25">
        <v>2.6020833333333329</v>
      </c>
      <c r="AW326">
        <v>2.6020833333333329</v>
      </c>
      <c r="AX326">
        <v>5.9098726145833336</v>
      </c>
      <c r="AY326" s="75">
        <v>0.57410011132036598</v>
      </c>
      <c r="AZ326" s="75">
        <v>0.59200041353179045</v>
      </c>
      <c r="BA326" s="75"/>
      <c r="BC326">
        <v>4.2437904787336528E-2</v>
      </c>
      <c r="BD326">
        <v>4.3761108364437168E-2</v>
      </c>
      <c r="BF326">
        <v>8.619901315177371E-2</v>
      </c>
      <c r="BG326">
        <v>4.3099506575886848E-2</v>
      </c>
      <c r="BH326">
        <v>0.58305026242607827</v>
      </c>
      <c r="BI326" s="79" t="s">
        <v>1264</v>
      </c>
      <c r="BJ326" s="79">
        <v>1473</v>
      </c>
      <c r="BK326" s="79">
        <v>10</v>
      </c>
      <c r="BM326" s="79" t="s">
        <v>1275</v>
      </c>
      <c r="BN326" s="79" t="s">
        <v>56</v>
      </c>
      <c r="BO326" s="79">
        <v>0.2</v>
      </c>
      <c r="BP326" s="79">
        <v>0.7</v>
      </c>
      <c r="BQ326" s="79">
        <v>1.32</v>
      </c>
      <c r="BR326" s="79">
        <v>0</v>
      </c>
      <c r="BS326" s="79" t="s">
        <v>464</v>
      </c>
      <c r="BT326" s="79" t="s">
        <v>464</v>
      </c>
      <c r="BU326" s="79" t="s">
        <v>1266</v>
      </c>
      <c r="BV326" s="79">
        <v>400</v>
      </c>
      <c r="BX326" s="79" t="s">
        <v>1287</v>
      </c>
      <c r="BZ326" s="81">
        <v>140</v>
      </c>
      <c r="CA326">
        <f t="shared" si="51"/>
        <v>4.9416424226093039</v>
      </c>
    </row>
    <row r="327" spans="1:79" x14ac:dyDescent="0.3">
      <c r="A327" s="2" t="s">
        <v>38</v>
      </c>
      <c r="B327" s="13" t="s">
        <v>714</v>
      </c>
      <c r="C327" s="13"/>
      <c r="D327" s="2">
        <v>3.9</v>
      </c>
      <c r="E327" s="2" t="s">
        <v>182</v>
      </c>
      <c r="F327" s="9" t="s">
        <v>545</v>
      </c>
      <c r="G327" t="s">
        <v>626</v>
      </c>
      <c r="I327" s="2"/>
      <c r="J327" s="25">
        <v>1</v>
      </c>
      <c r="K327">
        <v>1</v>
      </c>
      <c r="L327">
        <v>0</v>
      </c>
      <c r="M327" s="2"/>
      <c r="N327" s="2"/>
      <c r="O327" s="2"/>
      <c r="P327" s="2"/>
      <c r="Q327" s="2"/>
      <c r="R327" s="25">
        <v>5.8532381300000003</v>
      </c>
      <c r="S327" s="25">
        <v>5.8532371599999999</v>
      </c>
      <c r="T327" s="25">
        <v>11.912811489999999</v>
      </c>
      <c r="U327">
        <v>5.7946</v>
      </c>
      <c r="V327">
        <v>5.7946</v>
      </c>
      <c r="W327">
        <v>11.787599999999999</v>
      </c>
      <c r="X327">
        <v>0</v>
      </c>
      <c r="AA327" s="2"/>
      <c r="AB327">
        <v>30</v>
      </c>
      <c r="AC327" s="55">
        <f t="shared" ref="AC327" si="53">M327*N327*O327</f>
        <v>0</v>
      </c>
      <c r="AD327" s="57">
        <v>353.45760058531442</v>
      </c>
      <c r="AE327" s="55">
        <v>342.77011164986573</v>
      </c>
      <c r="AF327" s="55">
        <v>0</v>
      </c>
      <c r="AG327" s="52"/>
      <c r="AH327" s="51">
        <v>8.487580957467307E-2</v>
      </c>
      <c r="AI327" s="52">
        <v>8.752221672887435E-2</v>
      </c>
      <c r="AJ327" s="52"/>
      <c r="AK327" s="28">
        <v>1.833333333333333</v>
      </c>
      <c r="AL327" s="28">
        <v>2.5</v>
      </c>
      <c r="AM327" s="28">
        <v>0.66666666666666663</v>
      </c>
      <c r="AN327" s="28">
        <v>0</v>
      </c>
      <c r="AO327" s="28">
        <v>0.36666666666666659</v>
      </c>
      <c r="AP327" s="28">
        <v>0.5</v>
      </c>
      <c r="AQ327" s="28">
        <v>0.1333333333333333</v>
      </c>
      <c r="AR327" s="28">
        <v>0</v>
      </c>
      <c r="AS327" s="25">
        <v>0.89</v>
      </c>
      <c r="AT327" s="25">
        <v>3.44</v>
      </c>
      <c r="AU327" s="25">
        <v>2.5499999999999998</v>
      </c>
      <c r="AV327" s="25">
        <v>2.6020833333333329</v>
      </c>
      <c r="AW327">
        <v>2.6020833333333329</v>
      </c>
      <c r="AX327">
        <v>5.9098726145833336</v>
      </c>
      <c r="AY327" s="75">
        <v>0.57410011132036598</v>
      </c>
      <c r="AZ327" s="75">
        <v>0.59200041353179045</v>
      </c>
      <c r="BA327" s="75"/>
      <c r="BC327">
        <v>4.2437904787336528E-2</v>
      </c>
      <c r="BD327">
        <v>4.3761108364437168E-2</v>
      </c>
      <c r="BF327">
        <v>8.619901315177371E-2</v>
      </c>
      <c r="BG327">
        <v>4.3099506575886848E-2</v>
      </c>
      <c r="BH327">
        <v>0.58305026242607827</v>
      </c>
      <c r="BI327" s="79" t="s">
        <v>1305</v>
      </c>
      <c r="BJ327" s="79">
        <v>973</v>
      </c>
      <c r="BK327" s="79">
        <v>10</v>
      </c>
      <c r="BM327" s="79" t="s">
        <v>464</v>
      </c>
      <c r="BN327" s="79" t="s">
        <v>464</v>
      </c>
      <c r="BO327" s="79">
        <v>0</v>
      </c>
      <c r="BP327" s="79">
        <v>0.7</v>
      </c>
      <c r="BQ327" s="79">
        <v>1.32</v>
      </c>
      <c r="BR327" s="79">
        <v>0</v>
      </c>
      <c r="BS327" s="79" t="s">
        <v>464</v>
      </c>
      <c r="BT327" s="79" t="s">
        <v>464</v>
      </c>
      <c r="BU327" s="79" t="s">
        <v>1266</v>
      </c>
      <c r="BV327" s="79">
        <v>400</v>
      </c>
      <c r="BX327" s="79" t="s">
        <v>1287</v>
      </c>
      <c r="BZ327" s="81">
        <v>6</v>
      </c>
      <c r="CA327">
        <f t="shared" si="51"/>
        <v>1.791759469228055</v>
      </c>
    </row>
    <row r="328" spans="1:79" x14ac:dyDescent="0.3">
      <c r="A328" s="2" t="s">
        <v>48</v>
      </c>
      <c r="B328" s="13" t="s">
        <v>724</v>
      </c>
      <c r="C328" s="13"/>
      <c r="D328" s="2">
        <v>4.3</v>
      </c>
      <c r="E328" s="2" t="s">
        <v>183</v>
      </c>
      <c r="F328" s="9" t="s">
        <v>552</v>
      </c>
      <c r="G328" t="s">
        <v>630</v>
      </c>
      <c r="I328" s="2"/>
      <c r="J328" s="25">
        <v>2</v>
      </c>
      <c r="K328">
        <v>8</v>
      </c>
      <c r="L328">
        <v>0</v>
      </c>
      <c r="M328" s="2"/>
      <c r="N328" s="2"/>
      <c r="O328" s="2"/>
      <c r="P328" s="2"/>
      <c r="Q328" s="2"/>
      <c r="R328" s="25">
        <v>7.4836094600000003</v>
      </c>
      <c r="S328" s="25">
        <v>7.4836094600000003</v>
      </c>
      <c r="T328" s="25">
        <v>7.4836094600000003</v>
      </c>
      <c r="U328">
        <v>10.34</v>
      </c>
      <c r="V328">
        <v>10.34</v>
      </c>
      <c r="W328">
        <v>10.34</v>
      </c>
      <c r="X328">
        <v>0</v>
      </c>
      <c r="AA328" s="2"/>
      <c r="AB328">
        <v>14</v>
      </c>
      <c r="AC328" s="55">
        <f t="shared" si="44"/>
        <v>0</v>
      </c>
      <c r="AD328" s="57">
        <v>296.35915518228359</v>
      </c>
      <c r="AE328" s="55">
        <v>1105.507304</v>
      </c>
      <c r="AF328" s="55">
        <v>0</v>
      </c>
      <c r="AG328" s="52"/>
      <c r="AH328" s="51">
        <v>9.4479956196318104E-2</v>
      </c>
      <c r="AI328" s="52">
        <v>0.1013109543417363</v>
      </c>
      <c r="AJ328" s="52"/>
      <c r="AK328" s="28">
        <v>1.8181818181818179</v>
      </c>
      <c r="AL328" s="28">
        <v>2.545454545454545</v>
      </c>
      <c r="AM328" s="28">
        <v>0.72727272727272729</v>
      </c>
      <c r="AN328" s="28">
        <v>0</v>
      </c>
      <c r="AO328" s="28">
        <v>0.35714285714285721</v>
      </c>
      <c r="AP328" s="28">
        <v>0.5</v>
      </c>
      <c r="AQ328" s="28">
        <v>0.1428571428571429</v>
      </c>
      <c r="AR328" s="28">
        <v>0</v>
      </c>
      <c r="AS328" s="25">
        <v>1</v>
      </c>
      <c r="AT328" s="25">
        <v>3.44</v>
      </c>
      <c r="AU328" s="25">
        <v>2.44</v>
      </c>
      <c r="AV328" s="25">
        <v>2.6618181818181821</v>
      </c>
      <c r="AW328">
        <v>2.6618181818181821</v>
      </c>
      <c r="AX328">
        <v>6.0537295018181814</v>
      </c>
      <c r="AY328" s="75">
        <v>0.50642227837041764</v>
      </c>
      <c r="AZ328" s="75">
        <v>0.5430371307011983</v>
      </c>
      <c r="BA328" s="75"/>
      <c r="BC328">
        <v>4.7239978098159073E-2</v>
      </c>
      <c r="BD328">
        <v>5.0655477170868157E-2</v>
      </c>
      <c r="BF328">
        <v>9.789545526902721E-2</v>
      </c>
      <c r="BG328">
        <v>4.8947727634513619E-2</v>
      </c>
      <c r="BH328">
        <v>0.52472970453580792</v>
      </c>
      <c r="BI328" s="79" t="s">
        <v>1264</v>
      </c>
      <c r="BJ328" s="79">
        <v>1173</v>
      </c>
      <c r="BK328" s="79">
        <v>6</v>
      </c>
      <c r="BM328" s="79" t="s">
        <v>1275</v>
      </c>
      <c r="BN328" s="79" t="s">
        <v>56</v>
      </c>
      <c r="BO328" s="79">
        <v>1</v>
      </c>
      <c r="BP328" s="79">
        <v>4.2</v>
      </c>
      <c r="BQ328" s="79">
        <v>2.86</v>
      </c>
      <c r="BR328" s="79">
        <v>0</v>
      </c>
      <c r="BS328" s="79" t="s">
        <v>464</v>
      </c>
      <c r="BT328" s="79" t="s">
        <v>464</v>
      </c>
      <c r="BU328" s="79" t="s">
        <v>1266</v>
      </c>
      <c r="BV328" s="79">
        <v>450</v>
      </c>
      <c r="BZ328" s="81">
        <v>101</v>
      </c>
      <c r="CA328">
        <f t="shared" si="51"/>
        <v>4.6151205168412597</v>
      </c>
    </row>
    <row r="329" spans="1:79" x14ac:dyDescent="0.3">
      <c r="A329" s="2" t="s">
        <v>49</v>
      </c>
      <c r="B329" s="13" t="s">
        <v>725</v>
      </c>
      <c r="C329" s="13"/>
      <c r="D329" s="2">
        <v>4.0999999999999996</v>
      </c>
      <c r="E329" s="2" t="s">
        <v>183</v>
      </c>
      <c r="F329" s="9" t="s">
        <v>553</v>
      </c>
      <c r="G329" t="s">
        <v>631</v>
      </c>
      <c r="I329" s="2"/>
      <c r="J329" s="25">
        <v>8</v>
      </c>
      <c r="K329">
        <v>8</v>
      </c>
      <c r="L329">
        <v>0</v>
      </c>
      <c r="M329" s="2"/>
      <c r="N329" s="2"/>
      <c r="O329" s="2"/>
      <c r="P329" s="2"/>
      <c r="Q329" s="2"/>
      <c r="R329" s="25">
        <v>5.8017180100000001</v>
      </c>
      <c r="S329" s="25">
        <v>7.9756520899999996</v>
      </c>
      <c r="T329" s="25">
        <v>27.352093400000001</v>
      </c>
      <c r="U329">
        <v>26.646989999999999</v>
      </c>
      <c r="V329">
        <v>7.9359999999999999</v>
      </c>
      <c r="W329">
        <v>5.7050000000000001</v>
      </c>
      <c r="X329">
        <v>0</v>
      </c>
      <c r="AA329" s="2"/>
      <c r="AB329">
        <v>14</v>
      </c>
      <c r="AC329" s="55">
        <f t="shared" si="44"/>
        <v>0</v>
      </c>
      <c r="AD329" s="57">
        <v>1265.6493143942739</v>
      </c>
      <c r="AE329" s="55">
        <v>1206.4392746112001</v>
      </c>
      <c r="AF329" s="55">
        <v>0</v>
      </c>
      <c r="AG329" s="52"/>
      <c r="AH329" s="51">
        <v>8.8492127105210025E-2</v>
      </c>
      <c r="AI329" s="52">
        <v>9.2835174017436004E-2</v>
      </c>
      <c r="AJ329" s="52"/>
      <c r="AK329" s="28">
        <v>1.8181818181818179</v>
      </c>
      <c r="AL329" s="28">
        <v>2.545454545454545</v>
      </c>
      <c r="AM329" s="28">
        <v>0.72727272727272729</v>
      </c>
      <c r="AN329" s="28">
        <v>0</v>
      </c>
      <c r="AO329" s="28">
        <v>0.35714285714285721</v>
      </c>
      <c r="AP329" s="28">
        <v>0.5</v>
      </c>
      <c r="AQ329" s="28">
        <v>0.1428571428571429</v>
      </c>
      <c r="AR329" s="28">
        <v>0</v>
      </c>
      <c r="AS329" s="25">
        <v>0.95</v>
      </c>
      <c r="AT329" s="25">
        <v>3.44</v>
      </c>
      <c r="AU329" s="25">
        <v>2.4900000000000002</v>
      </c>
      <c r="AV329" s="25">
        <v>2.6527272727272719</v>
      </c>
      <c r="AW329">
        <v>2.6527272727272728</v>
      </c>
      <c r="AX329">
        <v>6.0182046818181814</v>
      </c>
      <c r="AY329" s="75">
        <v>0.5176653673612065</v>
      </c>
      <c r="AZ329" s="75">
        <v>0.54307152550012683</v>
      </c>
      <c r="BA329" s="75"/>
      <c r="BC329">
        <v>4.4246063552605013E-2</v>
      </c>
      <c r="BD329">
        <v>4.6417587008717988E-2</v>
      </c>
      <c r="BF329">
        <v>9.0663650561323014E-2</v>
      </c>
      <c r="BG329">
        <v>4.53318252806615E-2</v>
      </c>
      <c r="BH329">
        <v>0.53036844643066661</v>
      </c>
      <c r="BI329" s="79" t="s">
        <v>1264</v>
      </c>
      <c r="BJ329" s="79">
        <v>1173</v>
      </c>
      <c r="BK329" s="79">
        <v>6</v>
      </c>
      <c r="BM329" s="79" t="s">
        <v>1275</v>
      </c>
      <c r="BN329" s="79" t="s">
        <v>56</v>
      </c>
      <c r="BO329" s="79">
        <v>1</v>
      </c>
      <c r="BP329" s="79">
        <v>5.0999999999999996</v>
      </c>
      <c r="BQ329" s="79">
        <v>2.86</v>
      </c>
      <c r="BR329" s="79">
        <v>0</v>
      </c>
      <c r="BS329" s="79" t="s">
        <v>464</v>
      </c>
      <c r="BT329" s="79" t="s">
        <v>464</v>
      </c>
      <c r="BU329" s="79" t="s">
        <v>1266</v>
      </c>
      <c r="BV329" s="79">
        <v>450</v>
      </c>
      <c r="BZ329" s="81">
        <v>402</v>
      </c>
      <c r="CA329">
        <f t="shared" si="51"/>
        <v>5.9964520886190211</v>
      </c>
    </row>
    <row r="330" spans="1:79" x14ac:dyDescent="0.3">
      <c r="A330" s="2" t="s">
        <v>46</v>
      </c>
      <c r="B330" s="13" t="s">
        <v>722</v>
      </c>
      <c r="C330" s="13"/>
      <c r="D330" s="2">
        <v>3.2</v>
      </c>
      <c r="E330" s="2" t="s">
        <v>183</v>
      </c>
      <c r="F330" s="9" t="s">
        <v>551</v>
      </c>
      <c r="G330" t="s">
        <v>629</v>
      </c>
      <c r="I330" s="2"/>
      <c r="J330" s="25">
        <v>2</v>
      </c>
      <c r="K330">
        <v>4</v>
      </c>
      <c r="L330">
        <v>0</v>
      </c>
      <c r="M330" s="2"/>
      <c r="N330" s="2"/>
      <c r="O330" s="2"/>
      <c r="P330" s="2"/>
      <c r="Q330" s="2"/>
      <c r="R330" s="25">
        <v>7.41544296</v>
      </c>
      <c r="S330" s="25">
        <v>7.4154429599999991</v>
      </c>
      <c r="T330" s="25">
        <v>7.41544296</v>
      </c>
      <c r="U330">
        <v>7.8</v>
      </c>
      <c r="V330">
        <v>13.010999999999999</v>
      </c>
      <c r="W330">
        <v>5.5460000000000003</v>
      </c>
      <c r="X330">
        <v>0</v>
      </c>
      <c r="AA330" s="2"/>
      <c r="AB330">
        <v>14</v>
      </c>
      <c r="AC330" s="55">
        <f t="shared" si="44"/>
        <v>0</v>
      </c>
      <c r="AD330" s="57">
        <v>288.33429290182369</v>
      </c>
      <c r="AE330" s="55">
        <v>556.51188553357167</v>
      </c>
      <c r="AF330" s="55">
        <v>0</v>
      </c>
      <c r="AG330" s="52"/>
      <c r="AH330" s="51">
        <v>9.7109503410799117E-2</v>
      </c>
      <c r="AI330" s="52">
        <v>0.10062678166578309</v>
      </c>
      <c r="AJ330" s="52"/>
      <c r="AK330" s="28">
        <v>2</v>
      </c>
      <c r="AL330" s="28">
        <v>2.545454545454545</v>
      </c>
      <c r="AM330" s="28">
        <v>0.54545454545454541</v>
      </c>
      <c r="AN330" s="28">
        <v>0</v>
      </c>
      <c r="AO330" s="28">
        <v>0.39285714285714279</v>
      </c>
      <c r="AP330" s="28">
        <v>0.5</v>
      </c>
      <c r="AQ330" s="28">
        <v>0.1071428571428571</v>
      </c>
      <c r="AR330" s="28">
        <v>0</v>
      </c>
      <c r="AS330" s="25">
        <v>1.1000000000000001</v>
      </c>
      <c r="AT330" s="25">
        <v>3.44</v>
      </c>
      <c r="AU330" s="25">
        <v>2.34</v>
      </c>
      <c r="AV330" s="25">
        <v>2.669090909090909</v>
      </c>
      <c r="AW330">
        <v>2.669090909090909</v>
      </c>
      <c r="AX330">
        <v>5.9831974772727277</v>
      </c>
      <c r="AY330" s="75">
        <v>0.52442413903612473</v>
      </c>
      <c r="AZ330" s="75">
        <v>0.54341863036636606</v>
      </c>
      <c r="BA330" s="75"/>
      <c r="BC330">
        <v>4.8554751705399558E-2</v>
      </c>
      <c r="BD330">
        <v>5.0313390832891547E-2</v>
      </c>
      <c r="BF330">
        <v>9.8868142538291098E-2</v>
      </c>
      <c r="BG330">
        <v>4.9434071269145549E-2</v>
      </c>
      <c r="BH330">
        <v>0.53392138470124539</v>
      </c>
      <c r="BI330" s="79" t="s">
        <v>1264</v>
      </c>
      <c r="BJ330" s="79">
        <v>1173</v>
      </c>
      <c r="BK330" s="79">
        <v>6</v>
      </c>
      <c r="BM330" s="79" t="s">
        <v>1275</v>
      </c>
      <c r="BN330" s="79" t="s">
        <v>56</v>
      </c>
      <c r="BO330" s="79">
        <v>1</v>
      </c>
      <c r="BP330" s="79">
        <v>5.2</v>
      </c>
      <c r="BQ330" s="79">
        <v>2.86</v>
      </c>
      <c r="BR330" s="79">
        <v>0</v>
      </c>
      <c r="BS330" s="79" t="s">
        <v>464</v>
      </c>
      <c r="BT330" s="79" t="s">
        <v>464</v>
      </c>
      <c r="BU330" s="79" t="s">
        <v>1266</v>
      </c>
      <c r="BV330" s="79">
        <v>450</v>
      </c>
      <c r="BZ330" s="81">
        <v>441</v>
      </c>
      <c r="CA330">
        <f t="shared" si="51"/>
        <v>6.089044875446846</v>
      </c>
    </row>
    <row r="331" spans="1:79" x14ac:dyDescent="0.3">
      <c r="A331" s="2" t="s">
        <v>47</v>
      </c>
      <c r="B331" s="13" t="s">
        <v>723</v>
      </c>
      <c r="C331" s="13"/>
      <c r="D331" s="2">
        <v>3.8</v>
      </c>
      <c r="E331" s="2" t="s">
        <v>183</v>
      </c>
      <c r="F331" s="9">
        <v>-1</v>
      </c>
      <c r="G331">
        <v>-1</v>
      </c>
      <c r="H331" t="s">
        <v>1152</v>
      </c>
      <c r="I331" s="2"/>
      <c r="J331" s="25">
        <v>0</v>
      </c>
      <c r="K331">
        <v>0</v>
      </c>
      <c r="L331">
        <v>2</v>
      </c>
      <c r="M331" s="2"/>
      <c r="N331" s="2"/>
      <c r="O331" s="2"/>
      <c r="P331" s="2"/>
      <c r="Q331" s="2"/>
      <c r="R331" s="25">
        <v>0</v>
      </c>
      <c r="S331" s="25"/>
      <c r="T331" s="25"/>
      <c r="U331">
        <v>0</v>
      </c>
      <c r="X331">
        <v>5.5170000000000003</v>
      </c>
      <c r="Y331">
        <v>31.274999999999999</v>
      </c>
      <c r="Z331">
        <v>3.8942000000000001</v>
      </c>
      <c r="AA331" s="2"/>
      <c r="AB331">
        <v>34</v>
      </c>
      <c r="AC331" s="55">
        <f t="shared" si="44"/>
        <v>0</v>
      </c>
      <c r="AD331" s="57">
        <v>0</v>
      </c>
      <c r="AE331" s="55">
        <v>0</v>
      </c>
      <c r="AF331" s="55">
        <v>671.92152628500003</v>
      </c>
      <c r="AG331" s="52"/>
      <c r="AH331" s="51"/>
      <c r="AI331" s="52"/>
      <c r="AJ331" s="52">
        <v>0.1012022942261822</v>
      </c>
      <c r="AK331" s="28">
        <v>2</v>
      </c>
      <c r="AL331" s="28">
        <v>2.518518518518519</v>
      </c>
      <c r="AM331" s="28">
        <v>0.51851851851851849</v>
      </c>
      <c r="AN331" s="28">
        <v>0</v>
      </c>
      <c r="AO331" s="28">
        <v>0.39705882352941169</v>
      </c>
      <c r="AP331" s="28">
        <v>0.5</v>
      </c>
      <c r="AQ331" s="28">
        <v>0.1029411764705882</v>
      </c>
      <c r="AR331" s="28">
        <v>0</v>
      </c>
      <c r="AS331" s="25">
        <v>1</v>
      </c>
      <c r="AT331" s="25">
        <v>3.44</v>
      </c>
      <c r="AU331" s="25">
        <v>2.44</v>
      </c>
      <c r="AV331" s="25">
        <v>2.6511111111111112</v>
      </c>
      <c r="AW331">
        <v>2.6511111111111112</v>
      </c>
      <c r="AX331">
        <v>5.9544359512962952</v>
      </c>
      <c r="AY331" s="75"/>
      <c r="AZ331" s="75"/>
      <c r="BA331" s="75"/>
      <c r="BE331">
        <v>5.0601147113091112E-2</v>
      </c>
      <c r="BF331">
        <v>0.1012022942261822</v>
      </c>
      <c r="BG331">
        <v>5.0601147113091112E-2</v>
      </c>
      <c r="BH331">
        <v>0</v>
      </c>
      <c r="BI331" s="79" t="s">
        <v>1264</v>
      </c>
      <c r="BJ331" s="79">
        <v>1173</v>
      </c>
      <c r="BK331" s="79">
        <v>6</v>
      </c>
      <c r="BM331" s="79" t="s">
        <v>1275</v>
      </c>
      <c r="BN331" s="79" t="s">
        <v>56</v>
      </c>
      <c r="BO331" s="79">
        <v>1</v>
      </c>
      <c r="BP331" s="79">
        <v>4.9000000000000004</v>
      </c>
      <c r="BQ331" s="79">
        <v>2.86</v>
      </c>
      <c r="BR331" s="79">
        <v>0</v>
      </c>
      <c r="BS331" s="79" t="s">
        <v>464</v>
      </c>
      <c r="BT331" s="79" t="s">
        <v>464</v>
      </c>
      <c r="BU331" s="79" t="s">
        <v>1266</v>
      </c>
      <c r="BV331" s="79">
        <v>450</v>
      </c>
      <c r="BZ331" s="81">
        <v>499</v>
      </c>
      <c r="CA331">
        <f t="shared" si="51"/>
        <v>6.2126060957515188</v>
      </c>
    </row>
    <row r="332" spans="1:79" x14ac:dyDescent="0.3">
      <c r="A332" s="2" t="s">
        <v>8</v>
      </c>
      <c r="B332" s="13" t="s">
        <v>694</v>
      </c>
      <c r="C332" s="13"/>
      <c r="D332" s="2">
        <v>3.1</v>
      </c>
      <c r="E332" s="2" t="s">
        <v>183</v>
      </c>
      <c r="F332" s="9" t="s">
        <v>530</v>
      </c>
      <c r="G332" t="s">
        <v>612</v>
      </c>
      <c r="I332" s="2"/>
      <c r="J332" s="25">
        <v>30</v>
      </c>
      <c r="K332">
        <v>4</v>
      </c>
      <c r="L332">
        <v>0</v>
      </c>
      <c r="M332" s="2"/>
      <c r="N332" s="2"/>
      <c r="O332" s="2"/>
      <c r="P332" s="2"/>
      <c r="Q332" s="2"/>
      <c r="R332" s="25">
        <v>10.59112378</v>
      </c>
      <c r="S332" s="25">
        <v>10.784736629999999</v>
      </c>
      <c r="T332" s="25">
        <v>10.486176179999999</v>
      </c>
      <c r="U332">
        <v>3.73</v>
      </c>
      <c r="V332">
        <v>3.73</v>
      </c>
      <c r="W332">
        <v>9.3699999999999992</v>
      </c>
      <c r="X332">
        <v>0</v>
      </c>
      <c r="AA332" s="2"/>
      <c r="AB332">
        <v>4</v>
      </c>
      <c r="AC332" s="55">
        <f t="shared" si="44"/>
        <v>0</v>
      </c>
      <c r="AD332" s="57">
        <v>1182.741260108548</v>
      </c>
      <c r="AE332" s="55">
        <v>130.36387300000001</v>
      </c>
      <c r="AF332" s="55">
        <v>0</v>
      </c>
      <c r="AG332" s="52"/>
      <c r="AH332" s="51">
        <v>0.1014592151701775</v>
      </c>
      <c r="AI332" s="52">
        <v>0.1227333894874388</v>
      </c>
      <c r="AJ332" s="52"/>
      <c r="AK332" s="28">
        <v>2</v>
      </c>
      <c r="AL332" s="28">
        <v>2.666666666666667</v>
      </c>
      <c r="AM332" s="28">
        <v>0.66666666666666663</v>
      </c>
      <c r="AN332" s="28">
        <v>0</v>
      </c>
      <c r="AO332" s="28">
        <v>0.375</v>
      </c>
      <c r="AP332" s="28">
        <v>0.5</v>
      </c>
      <c r="AQ332" s="28">
        <v>0.125</v>
      </c>
      <c r="AR332" s="28">
        <v>0</v>
      </c>
      <c r="AS332" s="25">
        <v>1.54</v>
      </c>
      <c r="AT332" s="25">
        <v>3.44</v>
      </c>
      <c r="AU332" s="25">
        <v>1.9</v>
      </c>
      <c r="AV332" s="25">
        <v>2.8066666666666671</v>
      </c>
      <c r="AW332">
        <v>2.8066666666666662</v>
      </c>
      <c r="AX332">
        <v>6.1769976</v>
      </c>
      <c r="AY332" s="75">
        <v>0.46900407026869628</v>
      </c>
      <c r="AZ332" s="75">
        <v>0.56734579634715776</v>
      </c>
      <c r="BA332" s="75"/>
      <c r="BC332">
        <v>5.072960758508873E-2</v>
      </c>
      <c r="BD332">
        <v>6.136669474371937E-2</v>
      </c>
      <c r="BF332">
        <v>0.1120963023288082</v>
      </c>
      <c r="BG332">
        <v>5.604815116440405E-2</v>
      </c>
      <c r="BH332">
        <v>0.51817493330792708</v>
      </c>
      <c r="BI332" s="79" t="s">
        <v>1264</v>
      </c>
      <c r="BJ332" s="79">
        <v>1173</v>
      </c>
      <c r="BK332" s="79">
        <v>6</v>
      </c>
      <c r="BM332" s="79" t="s">
        <v>1275</v>
      </c>
      <c r="BN332" s="79" t="s">
        <v>56</v>
      </c>
      <c r="BO332" s="79">
        <v>1</v>
      </c>
      <c r="BP332" s="79">
        <v>50</v>
      </c>
      <c r="BQ332" s="79">
        <v>2.86</v>
      </c>
      <c r="BR332" s="79">
        <v>0</v>
      </c>
      <c r="BS332" s="79" t="s">
        <v>464</v>
      </c>
      <c r="BT332" s="79" t="s">
        <v>464</v>
      </c>
      <c r="BU332" s="79" t="s">
        <v>1266</v>
      </c>
      <c r="BV332" s="79">
        <v>450</v>
      </c>
      <c r="BZ332" s="81">
        <v>0.3</v>
      </c>
      <c r="CA332">
        <f t="shared" si="51"/>
        <v>-1.2039728043259361</v>
      </c>
    </row>
    <row r="333" spans="1:79" x14ac:dyDescent="0.3">
      <c r="A333" s="2" t="s">
        <v>0</v>
      </c>
      <c r="B333" s="13" t="s">
        <v>685</v>
      </c>
      <c r="C333" s="13"/>
      <c r="D333" s="2">
        <v>3.3</v>
      </c>
      <c r="E333" s="2" t="s">
        <v>183</v>
      </c>
      <c r="F333" s="9" t="s">
        <v>523</v>
      </c>
      <c r="G333" t="s">
        <v>606</v>
      </c>
      <c r="I333" s="2"/>
      <c r="J333" s="25">
        <v>4</v>
      </c>
      <c r="K333">
        <v>4</v>
      </c>
      <c r="L333">
        <v>0</v>
      </c>
      <c r="M333" s="2"/>
      <c r="N333" s="2"/>
      <c r="O333" s="2"/>
      <c r="P333" s="2"/>
      <c r="Q333" s="2"/>
      <c r="R333" s="25">
        <v>6.6040679999999998</v>
      </c>
      <c r="S333" s="25">
        <v>7.9389519999999996</v>
      </c>
      <c r="T333" s="25">
        <v>33.703336</v>
      </c>
      <c r="U333">
        <v>7.83</v>
      </c>
      <c r="V333">
        <v>33.209989999999998</v>
      </c>
      <c r="W333">
        <v>6.46</v>
      </c>
      <c r="X333">
        <v>0</v>
      </c>
      <c r="AA333" s="2"/>
      <c r="AB333">
        <v>34</v>
      </c>
      <c r="AC333" s="55">
        <f t="shared" si="44"/>
        <v>0</v>
      </c>
      <c r="AD333" s="57">
        <v>1767.0449718798691</v>
      </c>
      <c r="AE333" s="55">
        <v>1679.8210721820001</v>
      </c>
      <c r="AF333" s="55">
        <v>0</v>
      </c>
      <c r="AG333" s="52"/>
      <c r="AH333" s="51">
        <v>7.6964651247849417E-2</v>
      </c>
      <c r="AI333" s="52">
        <v>8.0961003676030277E-2</v>
      </c>
      <c r="AJ333" s="52"/>
      <c r="AK333" s="28">
        <v>1.62962962962963</v>
      </c>
      <c r="AL333" s="28">
        <v>2.518518518518519</v>
      </c>
      <c r="AM333" s="28">
        <v>0.88888888888888884</v>
      </c>
      <c r="AN333" s="28">
        <v>0</v>
      </c>
      <c r="AO333" s="28">
        <v>0.32352941176470579</v>
      </c>
      <c r="AP333" s="28">
        <v>0.5</v>
      </c>
      <c r="AQ333" s="28">
        <v>0.1764705882352941</v>
      </c>
      <c r="AR333" s="28">
        <v>0</v>
      </c>
      <c r="AS333" s="25">
        <v>0.82</v>
      </c>
      <c r="AT333" s="25">
        <v>3.44</v>
      </c>
      <c r="AU333" s="25">
        <v>2.62</v>
      </c>
      <c r="AV333" s="25">
        <v>2.642962962962963</v>
      </c>
      <c r="AW333">
        <v>2.642962962962963</v>
      </c>
      <c r="AX333">
        <v>5.9587362692592576</v>
      </c>
      <c r="AY333" s="75">
        <v>0.48264383878002159</v>
      </c>
      <c r="AZ333" s="75">
        <v>0.50770488753139842</v>
      </c>
      <c r="BA333" s="75"/>
      <c r="BC333">
        <v>3.8482325623924708E-2</v>
      </c>
      <c r="BD333">
        <v>4.0480501838015132E-2</v>
      </c>
      <c r="BF333">
        <v>7.8962827461939847E-2</v>
      </c>
      <c r="BG333">
        <v>3.9481413730969923E-2</v>
      </c>
      <c r="BH333">
        <v>0.49517436315571001</v>
      </c>
      <c r="BI333" s="79" t="s">
        <v>1264</v>
      </c>
      <c r="BJ333" s="79">
        <v>1173</v>
      </c>
      <c r="BK333" s="79">
        <v>6</v>
      </c>
      <c r="BM333" s="79" t="s">
        <v>1275</v>
      </c>
      <c r="BN333" s="79" t="s">
        <v>56</v>
      </c>
      <c r="BO333" s="79">
        <v>0.1</v>
      </c>
      <c r="BP333" s="79">
        <v>4.5</v>
      </c>
      <c r="BQ333" s="79">
        <v>2.86</v>
      </c>
      <c r="BR333" s="79">
        <v>0</v>
      </c>
      <c r="BS333" s="79" t="s">
        <v>464</v>
      </c>
      <c r="BT333" s="79" t="s">
        <v>464</v>
      </c>
      <c r="BU333" s="79" t="s">
        <v>1266</v>
      </c>
      <c r="BV333" s="79">
        <v>450</v>
      </c>
      <c r="BZ333" s="81">
        <v>210</v>
      </c>
      <c r="CA333">
        <f t="shared" si="51"/>
        <v>5.3471075307174685</v>
      </c>
    </row>
    <row r="334" spans="1:79" x14ac:dyDescent="0.3">
      <c r="A334" s="5" t="s">
        <v>184</v>
      </c>
      <c r="B334" s="39" t="s">
        <v>798</v>
      </c>
      <c r="C334" s="39"/>
      <c r="D334" s="5">
        <v>3.5</v>
      </c>
      <c r="E334" s="5" t="s">
        <v>183</v>
      </c>
      <c r="F334" s="40">
        <v>-2</v>
      </c>
      <c r="G334" s="5">
        <v>-1</v>
      </c>
      <c r="H334" s="5"/>
      <c r="I334" s="5"/>
      <c r="J334" s="41">
        <v>0</v>
      </c>
      <c r="K334">
        <v>0</v>
      </c>
      <c r="L334">
        <v>0</v>
      </c>
      <c r="M334" s="5"/>
      <c r="N334" s="5"/>
      <c r="O334" s="5"/>
      <c r="P334" s="5"/>
      <c r="Q334" s="5"/>
      <c r="R334" s="41">
        <v>0</v>
      </c>
      <c r="S334" s="41"/>
      <c r="T334" s="41"/>
      <c r="U334">
        <v>0</v>
      </c>
      <c r="X334">
        <v>0</v>
      </c>
      <c r="AA334" s="5"/>
      <c r="AB334" s="5">
        <v>20</v>
      </c>
      <c r="AC334" s="55">
        <f t="shared" si="44"/>
        <v>0</v>
      </c>
      <c r="AD334" s="57">
        <v>0</v>
      </c>
      <c r="AE334" s="55">
        <v>0</v>
      </c>
      <c r="AF334" s="55">
        <v>0</v>
      </c>
      <c r="AG334" s="52"/>
      <c r="AH334" s="51"/>
      <c r="AI334" s="52"/>
      <c r="AJ334" s="52"/>
      <c r="AK334" s="5">
        <v>1.9375</v>
      </c>
      <c r="AL334" s="5">
        <v>2.5</v>
      </c>
      <c r="AM334" s="5">
        <v>0.5625</v>
      </c>
      <c r="AN334" s="5">
        <v>2.625</v>
      </c>
      <c r="AO334" s="5">
        <v>0.25409836065573771</v>
      </c>
      <c r="AP334" s="5">
        <v>0.32786885245901642</v>
      </c>
      <c r="AQ334" s="5">
        <v>7.3770491803278687E-2</v>
      </c>
      <c r="AR334" s="5">
        <v>0.34426229508196721</v>
      </c>
      <c r="AS334" s="41">
        <v>0.82</v>
      </c>
      <c r="AT334" s="41">
        <v>3.44</v>
      </c>
      <c r="AU334" s="41">
        <v>2.62</v>
      </c>
      <c r="AV334" s="41">
        <v>2.59375</v>
      </c>
      <c r="AW334" s="5">
        <v>2.59375</v>
      </c>
      <c r="AX334" s="5">
        <v>5.9363868768750008</v>
      </c>
      <c r="AY334" s="75"/>
      <c r="AZ334" s="75"/>
      <c r="BA334" s="75"/>
      <c r="BF334">
        <v>0</v>
      </c>
      <c r="BG334">
        <v>0</v>
      </c>
      <c r="BH334">
        <v>0</v>
      </c>
      <c r="BI334" s="79" t="s">
        <v>1264</v>
      </c>
      <c r="BJ334" s="79">
        <v>1173</v>
      </c>
      <c r="BK334" s="79">
        <v>6</v>
      </c>
      <c r="BM334" s="79" t="s">
        <v>1275</v>
      </c>
      <c r="BN334" s="79" t="s">
        <v>56</v>
      </c>
      <c r="BO334" s="79">
        <v>0.1</v>
      </c>
      <c r="BP334" s="79">
        <v>4.2</v>
      </c>
      <c r="BQ334" s="79">
        <v>2.86</v>
      </c>
      <c r="BR334" s="79">
        <v>0</v>
      </c>
      <c r="BS334" s="79" t="s">
        <v>464</v>
      </c>
      <c r="BT334" s="79" t="s">
        <v>464</v>
      </c>
      <c r="BU334" s="79" t="s">
        <v>1266</v>
      </c>
      <c r="BV334" s="79">
        <v>450</v>
      </c>
      <c r="BZ334" s="81">
        <v>150</v>
      </c>
      <c r="CA334">
        <f t="shared" si="51"/>
        <v>5.0106352940962555</v>
      </c>
    </row>
    <row r="335" spans="1:79" x14ac:dyDescent="0.3">
      <c r="A335" s="2" t="s">
        <v>185</v>
      </c>
      <c r="B335" s="13" t="s">
        <v>729</v>
      </c>
      <c r="C335" s="13"/>
      <c r="D335" s="2">
        <v>4.55</v>
      </c>
      <c r="E335" s="2" t="s">
        <v>192</v>
      </c>
      <c r="F335" s="9" t="s">
        <v>556</v>
      </c>
      <c r="G335" t="s">
        <v>633</v>
      </c>
      <c r="I335" s="2">
        <v>4</v>
      </c>
      <c r="J335" s="25">
        <v>2</v>
      </c>
      <c r="K335">
        <v>4</v>
      </c>
      <c r="L335">
        <v>0</v>
      </c>
      <c r="M335" s="2">
        <v>3.9369999999999998</v>
      </c>
      <c r="N335" s="2">
        <v>27.198</v>
      </c>
      <c r="O335" s="2">
        <v>5.6920000000000002</v>
      </c>
      <c r="P335" s="2"/>
      <c r="Q335" s="2"/>
      <c r="R335" s="25">
        <v>13.81974189</v>
      </c>
      <c r="S335" s="25">
        <v>13.81974189</v>
      </c>
      <c r="T335" s="25">
        <v>5.7110870199999999</v>
      </c>
      <c r="U335">
        <v>3.94</v>
      </c>
      <c r="V335">
        <v>27.15</v>
      </c>
      <c r="W335">
        <v>5.6920000000000002</v>
      </c>
      <c r="X335">
        <v>0</v>
      </c>
      <c r="AA335" s="2"/>
      <c r="AB335">
        <v>14</v>
      </c>
      <c r="AC335" s="55">
        <f t="shared" si="44"/>
        <v>609.49096999200003</v>
      </c>
      <c r="AD335" s="57">
        <v>309.44138863753989</v>
      </c>
      <c r="AE335" s="55">
        <v>608.87893199999996</v>
      </c>
      <c r="AF335" s="55">
        <v>0</v>
      </c>
      <c r="AG335" s="52">
        <f t="shared" ref="AG335:AG348" si="54">I335*AB335/AC335</f>
        <v>9.1879950248869205E-2</v>
      </c>
      <c r="AH335" s="51">
        <v>9.0485633235046756E-2</v>
      </c>
      <c r="AI335" s="52">
        <v>9.1972306901891634E-2</v>
      </c>
      <c r="AJ335" s="52"/>
      <c r="AK335" s="28">
        <v>2</v>
      </c>
      <c r="AL335" s="28">
        <v>2.545454545454545</v>
      </c>
      <c r="AM335" s="28">
        <v>0.54545454545454541</v>
      </c>
      <c r="AN335" s="28">
        <v>2.545454545454545</v>
      </c>
      <c r="AO335" s="28">
        <v>0.26190476190476192</v>
      </c>
      <c r="AP335" s="28">
        <v>0.33333333333333331</v>
      </c>
      <c r="AQ335" s="28">
        <v>7.1428571428571425E-2</v>
      </c>
      <c r="AR335" s="28">
        <v>0.33333333333333331</v>
      </c>
      <c r="AS335" s="25">
        <v>0.95</v>
      </c>
      <c r="AT335" s="25">
        <v>3.44</v>
      </c>
      <c r="AU335" s="25">
        <v>2.4900000000000002</v>
      </c>
      <c r="AV335" s="25">
        <v>2.6345454545454539</v>
      </c>
      <c r="AW335">
        <v>2.6345454545454552</v>
      </c>
      <c r="AX335">
        <v>6.036062318181818</v>
      </c>
      <c r="AY335" s="75">
        <v>0.52932707238284982</v>
      </c>
      <c r="AZ335" s="75">
        <v>0.53802388525275069</v>
      </c>
      <c r="BA335" s="75"/>
      <c r="BB335">
        <v>4.5939975124434602E-2</v>
      </c>
      <c r="BC335">
        <v>4.5242816617523378E-2</v>
      </c>
      <c r="BD335">
        <v>4.5986153450945817E-2</v>
      </c>
      <c r="BF335">
        <v>9.1445963461935856E-2</v>
      </c>
      <c r="BG335">
        <v>4.5722981730967928E-2</v>
      </c>
      <c r="BH335">
        <v>0.5336754788178002</v>
      </c>
      <c r="BI335" s="79" t="s">
        <v>1264</v>
      </c>
      <c r="BJ335" s="79">
        <v>1450</v>
      </c>
      <c r="BK335" s="79">
        <v>200</v>
      </c>
      <c r="BM335" s="79" t="s">
        <v>1275</v>
      </c>
      <c r="BN335" s="79" t="s">
        <v>56</v>
      </c>
      <c r="BO335" s="79">
        <v>0.15</v>
      </c>
      <c r="BP335" s="79">
        <v>0.9</v>
      </c>
      <c r="BQ335" s="79">
        <v>2.56</v>
      </c>
      <c r="BR335" s="79">
        <v>0</v>
      </c>
      <c r="BS335" s="79" t="s">
        <v>464</v>
      </c>
      <c r="BT335" s="79" t="s">
        <v>464</v>
      </c>
      <c r="BU335" s="79" t="s">
        <v>1266</v>
      </c>
      <c r="BV335" s="79">
        <v>400</v>
      </c>
      <c r="BX335" s="79" t="s">
        <v>1287</v>
      </c>
      <c r="BZ335" s="81">
        <v>1000</v>
      </c>
      <c r="CA335">
        <f t="shared" si="51"/>
        <v>6.9077552789821368</v>
      </c>
    </row>
    <row r="336" spans="1:79" x14ac:dyDescent="0.3">
      <c r="A336" s="2" t="s">
        <v>1227</v>
      </c>
      <c r="B336" s="68" t="s">
        <v>1234</v>
      </c>
      <c r="C336" s="13"/>
      <c r="D336" s="2">
        <v>4.43</v>
      </c>
      <c r="E336" s="2" t="s">
        <v>192</v>
      </c>
      <c r="F336" s="32" t="s">
        <v>556</v>
      </c>
      <c r="G336" s="1" t="s">
        <v>633</v>
      </c>
      <c r="I336" s="2">
        <v>4</v>
      </c>
      <c r="J336" s="25">
        <v>0</v>
      </c>
      <c r="K336">
        <v>0</v>
      </c>
      <c r="L336">
        <v>0</v>
      </c>
      <c r="M336" s="1">
        <v>3.9369999999999998</v>
      </c>
      <c r="N336" s="1">
        <v>27.198</v>
      </c>
      <c r="O336" s="1">
        <v>5.6920000000000002</v>
      </c>
      <c r="P336" s="2"/>
      <c r="Q336" s="2"/>
      <c r="R336" s="25">
        <v>0</v>
      </c>
      <c r="S336" s="25"/>
      <c r="T336" s="25"/>
      <c r="U336">
        <v>0</v>
      </c>
      <c r="X336">
        <v>0</v>
      </c>
      <c r="AA336" s="2"/>
      <c r="AB336">
        <v>14</v>
      </c>
      <c r="AC336" s="55">
        <f t="shared" si="44"/>
        <v>609.49096999200003</v>
      </c>
      <c r="AD336" s="57">
        <v>0</v>
      </c>
      <c r="AE336" s="55">
        <v>0</v>
      </c>
      <c r="AF336" s="55">
        <v>0</v>
      </c>
      <c r="AG336" s="52">
        <f t="shared" si="54"/>
        <v>9.1879950248869205E-2</v>
      </c>
      <c r="AH336" s="51"/>
      <c r="AI336" s="52"/>
      <c r="AJ336" s="52"/>
      <c r="AK336" s="28">
        <v>1.9950000000000001</v>
      </c>
      <c r="AL336" s="28">
        <v>2.8</v>
      </c>
      <c r="AM336" s="28">
        <v>0.30499999999999999</v>
      </c>
      <c r="AN336" s="28">
        <v>1.33</v>
      </c>
      <c r="AO336" s="28">
        <v>0.31026438569206838</v>
      </c>
      <c r="AP336" s="28">
        <v>0.43545878693623641</v>
      </c>
      <c r="AQ336" s="28">
        <v>4.7433903576982892E-2</v>
      </c>
      <c r="AR336" s="28">
        <v>0.20684292379471231</v>
      </c>
      <c r="AS336" s="25">
        <v>0.95</v>
      </c>
      <c r="AT336" s="25">
        <v>3.44</v>
      </c>
      <c r="AU336" s="25">
        <v>2.4900000000000002</v>
      </c>
      <c r="AV336" s="25">
        <v>2.7484999999999991</v>
      </c>
      <c r="AW336">
        <v>2.7484999999999999</v>
      </c>
      <c r="AX336">
        <v>6.2455429149999997</v>
      </c>
      <c r="AY336" s="75"/>
      <c r="AZ336" s="75"/>
      <c r="BA336" s="75"/>
      <c r="BB336">
        <v>4.5939975124434602E-2</v>
      </c>
      <c r="BF336">
        <v>9.1879950248869205E-2</v>
      </c>
      <c r="BG336">
        <v>4.5939975124434602E-2</v>
      </c>
      <c r="BH336">
        <v>0</v>
      </c>
      <c r="BI336" s="79" t="s">
        <v>1264</v>
      </c>
      <c r="BJ336" s="79">
        <v>1450</v>
      </c>
      <c r="BK336" s="79">
        <v>200</v>
      </c>
      <c r="BM336" s="79" t="s">
        <v>1275</v>
      </c>
      <c r="BN336" s="79" t="s">
        <v>56</v>
      </c>
      <c r="BO336" s="79">
        <v>0.15</v>
      </c>
      <c r="BP336" s="79">
        <v>1.2</v>
      </c>
      <c r="BQ336" s="79">
        <v>2.56</v>
      </c>
      <c r="BR336" s="79">
        <v>0</v>
      </c>
      <c r="BS336" s="79" t="s">
        <v>464</v>
      </c>
      <c r="BT336" s="79" t="s">
        <v>464</v>
      </c>
      <c r="BU336" s="79" t="s">
        <v>1266</v>
      </c>
      <c r="BV336" s="79">
        <v>400</v>
      </c>
      <c r="BX336" s="79" t="s">
        <v>1287</v>
      </c>
      <c r="BZ336" s="81">
        <v>190</v>
      </c>
      <c r="CA336">
        <f t="shared" si="51"/>
        <v>5.2470240721604862</v>
      </c>
    </row>
    <row r="337" spans="1:79" x14ac:dyDescent="0.3">
      <c r="A337" s="2" t="s">
        <v>1228</v>
      </c>
      <c r="B337" s="68" t="s">
        <v>1235</v>
      </c>
      <c r="C337" s="13"/>
      <c r="D337" s="2">
        <v>4.34</v>
      </c>
      <c r="E337" s="2" t="s">
        <v>192</v>
      </c>
      <c r="F337" s="32" t="s">
        <v>556</v>
      </c>
      <c r="G337" s="1" t="s">
        <v>633</v>
      </c>
      <c r="I337" s="2">
        <v>4</v>
      </c>
      <c r="J337" s="25">
        <v>0</v>
      </c>
      <c r="K337">
        <v>0</v>
      </c>
      <c r="L337">
        <v>0</v>
      </c>
      <c r="M337" s="1">
        <v>3.9369999999999998</v>
      </c>
      <c r="N337" s="1">
        <v>27.198</v>
      </c>
      <c r="O337" s="1">
        <v>5.6920000000000002</v>
      </c>
      <c r="P337" s="2"/>
      <c r="Q337" s="2"/>
      <c r="R337" s="25">
        <v>0</v>
      </c>
      <c r="S337" s="25"/>
      <c r="T337" s="25"/>
      <c r="U337">
        <v>0</v>
      </c>
      <c r="X337">
        <v>0</v>
      </c>
      <c r="AA337" s="2"/>
      <c r="AB337">
        <v>14</v>
      </c>
      <c r="AC337" s="55">
        <f t="shared" si="44"/>
        <v>609.49096999200003</v>
      </c>
      <c r="AD337" s="57">
        <v>0</v>
      </c>
      <c r="AE337" s="55">
        <v>0</v>
      </c>
      <c r="AF337" s="55">
        <v>0</v>
      </c>
      <c r="AG337" s="52">
        <f t="shared" si="54"/>
        <v>9.1879950248869205E-2</v>
      </c>
      <c r="AH337" s="51"/>
      <c r="AI337" s="52"/>
      <c r="AJ337" s="52"/>
      <c r="AK337" s="28">
        <v>1.99</v>
      </c>
      <c r="AL337" s="28">
        <v>2.8</v>
      </c>
      <c r="AM337" s="28">
        <v>0.31</v>
      </c>
      <c r="AN337" s="28">
        <v>1.26</v>
      </c>
      <c r="AO337" s="28">
        <v>0.31289308176100628</v>
      </c>
      <c r="AP337" s="28">
        <v>0.44025157232704398</v>
      </c>
      <c r="AQ337" s="28">
        <v>4.874213836477987E-2</v>
      </c>
      <c r="AR337" s="28">
        <v>0.1981132075471698</v>
      </c>
      <c r="AS337" s="25">
        <v>0.95</v>
      </c>
      <c r="AT337" s="25">
        <v>3.44</v>
      </c>
      <c r="AU337" s="25">
        <v>2.4900000000000002</v>
      </c>
      <c r="AV337" s="25">
        <v>2.7490000000000001</v>
      </c>
      <c r="AW337">
        <v>2.7490000000000001</v>
      </c>
      <c r="AX337">
        <v>6.2450518300000004</v>
      </c>
      <c r="AY337" s="75"/>
      <c r="AZ337" s="75"/>
      <c r="BA337" s="75"/>
      <c r="BB337">
        <v>4.5939975124434602E-2</v>
      </c>
      <c r="BF337">
        <v>9.1879950248869205E-2</v>
      </c>
      <c r="BG337">
        <v>4.5939975124434602E-2</v>
      </c>
      <c r="BH337">
        <v>0</v>
      </c>
      <c r="BI337" s="79" t="s">
        <v>1264</v>
      </c>
      <c r="BJ337" s="79">
        <v>1450</v>
      </c>
      <c r="BK337" s="79">
        <v>200</v>
      </c>
      <c r="BM337" s="79" t="s">
        <v>1275</v>
      </c>
      <c r="BN337" s="79" t="s">
        <v>56</v>
      </c>
      <c r="BO337" s="79">
        <v>0.15</v>
      </c>
      <c r="BP337" s="79">
        <v>1.3</v>
      </c>
      <c r="BQ337" s="79">
        <v>2.56</v>
      </c>
      <c r="BR337" s="79">
        <v>0</v>
      </c>
      <c r="BS337" s="79" t="s">
        <v>464</v>
      </c>
      <c r="BT337" s="79" t="s">
        <v>464</v>
      </c>
      <c r="BU337" s="79" t="s">
        <v>1266</v>
      </c>
      <c r="BV337" s="79">
        <v>400</v>
      </c>
      <c r="BX337" s="79" t="s">
        <v>1287</v>
      </c>
      <c r="BZ337" s="81">
        <v>130</v>
      </c>
      <c r="CA337">
        <f t="shared" si="51"/>
        <v>4.8675344504555822</v>
      </c>
    </row>
    <row r="338" spans="1:79" x14ac:dyDescent="0.3">
      <c r="A338" s="2" t="s">
        <v>1229</v>
      </c>
      <c r="B338" s="68" t="s">
        <v>1236</v>
      </c>
      <c r="C338" s="13"/>
      <c r="D338" s="2">
        <v>4.2699999999999996</v>
      </c>
      <c r="E338" s="2" t="s">
        <v>192</v>
      </c>
      <c r="F338" s="32" t="s">
        <v>556</v>
      </c>
      <c r="G338" s="1" t="s">
        <v>633</v>
      </c>
      <c r="I338" s="2">
        <v>4</v>
      </c>
      <c r="J338" s="25">
        <v>0</v>
      </c>
      <c r="K338">
        <v>0</v>
      </c>
      <c r="L338">
        <v>0</v>
      </c>
      <c r="M338" s="1">
        <v>3.9369999999999998</v>
      </c>
      <c r="N338" s="1">
        <v>27.198</v>
      </c>
      <c r="O338" s="1">
        <v>5.6920000000000002</v>
      </c>
      <c r="P338" s="2"/>
      <c r="Q338" s="2"/>
      <c r="R338" s="25">
        <v>0</v>
      </c>
      <c r="S338" s="25"/>
      <c r="T338" s="25"/>
      <c r="U338">
        <v>0</v>
      </c>
      <c r="X338">
        <v>0</v>
      </c>
      <c r="AA338" s="2"/>
      <c r="AB338">
        <v>14</v>
      </c>
      <c r="AC338" s="55">
        <f t="shared" si="44"/>
        <v>609.49096999200003</v>
      </c>
      <c r="AD338" s="57">
        <v>0</v>
      </c>
      <c r="AE338" s="55">
        <v>0</v>
      </c>
      <c r="AF338" s="55">
        <v>0</v>
      </c>
      <c r="AG338" s="52">
        <f t="shared" si="54"/>
        <v>9.1879950248869205E-2</v>
      </c>
      <c r="AH338" s="51"/>
      <c r="AI338" s="52"/>
      <c r="AJ338" s="52"/>
      <c r="AK338" s="28">
        <v>1.9850000000000001</v>
      </c>
      <c r="AL338" s="28">
        <v>2.8</v>
      </c>
      <c r="AM338" s="28">
        <v>0.315</v>
      </c>
      <c r="AN338" s="28">
        <v>1.19</v>
      </c>
      <c r="AO338" s="28">
        <v>0.31558028616852152</v>
      </c>
      <c r="AP338" s="28">
        <v>0.4451510333863275</v>
      </c>
      <c r="AQ338" s="28">
        <v>5.0079491255961853E-2</v>
      </c>
      <c r="AR338" s="28">
        <v>0.1891891891891892</v>
      </c>
      <c r="AS338" s="25">
        <v>0.95</v>
      </c>
      <c r="AT338" s="25">
        <v>3.44</v>
      </c>
      <c r="AU338" s="25">
        <v>2.4900000000000002</v>
      </c>
      <c r="AV338" s="25">
        <v>2.7494999999999989</v>
      </c>
      <c r="AW338">
        <v>2.7494999999999998</v>
      </c>
      <c r="AX338">
        <v>6.2445607449999994</v>
      </c>
      <c r="AY338" s="75"/>
      <c r="AZ338" s="75"/>
      <c r="BA338" s="75"/>
      <c r="BB338">
        <v>4.5939975124434602E-2</v>
      </c>
      <c r="BF338">
        <v>9.1879950248869205E-2</v>
      </c>
      <c r="BG338">
        <v>4.5939975124434602E-2</v>
      </c>
      <c r="BH338">
        <v>0</v>
      </c>
      <c r="BI338" s="79" t="s">
        <v>1264</v>
      </c>
      <c r="BJ338" s="79">
        <v>1450</v>
      </c>
      <c r="BK338" s="79">
        <v>200</v>
      </c>
      <c r="BM338" s="79" t="s">
        <v>1275</v>
      </c>
      <c r="BN338" s="79" t="s">
        <v>56</v>
      </c>
      <c r="BO338" s="79">
        <v>0.15</v>
      </c>
      <c r="BP338" s="79">
        <v>1</v>
      </c>
      <c r="BQ338" s="79">
        <v>2.56</v>
      </c>
      <c r="BR338" s="79">
        <v>0</v>
      </c>
      <c r="BS338" s="79" t="s">
        <v>464</v>
      </c>
      <c r="BT338" s="79" t="s">
        <v>464</v>
      </c>
      <c r="BU338" s="79" t="s">
        <v>1266</v>
      </c>
      <c r="BV338" s="79">
        <v>400</v>
      </c>
      <c r="BX338" s="79" t="s">
        <v>1287</v>
      </c>
      <c r="BZ338" s="81">
        <v>200</v>
      </c>
      <c r="CA338">
        <f t="shared" si="51"/>
        <v>5.2983173665480363</v>
      </c>
    </row>
    <row r="339" spans="1:79" x14ac:dyDescent="0.3">
      <c r="A339" s="2" t="s">
        <v>1230</v>
      </c>
      <c r="B339" s="68" t="s">
        <v>1237</v>
      </c>
      <c r="C339" s="13"/>
      <c r="D339" s="2">
        <v>4.13</v>
      </c>
      <c r="E339" s="2" t="s">
        <v>192</v>
      </c>
      <c r="F339" s="32" t="s">
        <v>556</v>
      </c>
      <c r="G339" s="1" t="s">
        <v>633</v>
      </c>
      <c r="I339" s="2">
        <v>4</v>
      </c>
      <c r="J339" s="25">
        <v>0</v>
      </c>
      <c r="K339">
        <v>0</v>
      </c>
      <c r="L339">
        <v>0</v>
      </c>
      <c r="M339" s="1">
        <v>3.9369999999999998</v>
      </c>
      <c r="N339" s="1">
        <v>27.198</v>
      </c>
      <c r="O339" s="1">
        <v>5.6920000000000002</v>
      </c>
      <c r="P339" s="2"/>
      <c r="Q339" s="2"/>
      <c r="R339" s="25">
        <v>0</v>
      </c>
      <c r="S339" s="25"/>
      <c r="T339" s="25"/>
      <c r="U339">
        <v>0</v>
      </c>
      <c r="X339">
        <v>0</v>
      </c>
      <c r="AA339" s="2"/>
      <c r="AB339">
        <v>14</v>
      </c>
      <c r="AC339" s="55">
        <f t="shared" si="44"/>
        <v>609.49096999200003</v>
      </c>
      <c r="AD339" s="57">
        <v>0</v>
      </c>
      <c r="AE339" s="55">
        <v>0</v>
      </c>
      <c r="AF339" s="55">
        <v>0</v>
      </c>
      <c r="AG339" s="52">
        <f t="shared" si="54"/>
        <v>9.1879950248869205E-2</v>
      </c>
      <c r="AH339" s="51"/>
      <c r="AI339" s="52"/>
      <c r="AJ339" s="52"/>
      <c r="AK339" s="28">
        <v>1.9750000000000001</v>
      </c>
      <c r="AL339" s="28">
        <v>2.8</v>
      </c>
      <c r="AM339" s="28">
        <v>0.32500000000000001</v>
      </c>
      <c r="AN339" s="28">
        <v>1.05</v>
      </c>
      <c r="AO339" s="28">
        <v>0.32113821138211379</v>
      </c>
      <c r="AP339" s="28">
        <v>0.45528455284552838</v>
      </c>
      <c r="AQ339" s="28">
        <v>5.2845528455284549E-2</v>
      </c>
      <c r="AR339" s="28">
        <v>0.17073170731707321</v>
      </c>
      <c r="AS339" s="25">
        <v>0.95</v>
      </c>
      <c r="AT339" s="25">
        <v>3.44</v>
      </c>
      <c r="AU339" s="25">
        <v>2.4900000000000002</v>
      </c>
      <c r="AV339" s="25">
        <v>2.7505000000000002</v>
      </c>
      <c r="AW339">
        <v>2.7505000000000002</v>
      </c>
      <c r="AX339">
        <v>6.2435785749999999</v>
      </c>
      <c r="AY339" s="75"/>
      <c r="AZ339" s="75"/>
      <c r="BA339" s="75"/>
      <c r="BB339">
        <v>4.5939975124434602E-2</v>
      </c>
      <c r="BF339">
        <v>9.1879950248869205E-2</v>
      </c>
      <c r="BG339">
        <v>4.5939975124434602E-2</v>
      </c>
      <c r="BH339">
        <v>0</v>
      </c>
      <c r="BI339" s="79" t="s">
        <v>1264</v>
      </c>
      <c r="BJ339" s="79">
        <v>1450</v>
      </c>
      <c r="BK339" s="79">
        <v>200</v>
      </c>
      <c r="BM339" s="79" t="s">
        <v>1275</v>
      </c>
      <c r="BN339" s="79" t="s">
        <v>56</v>
      </c>
      <c r="BO339" s="79">
        <v>0.15</v>
      </c>
      <c r="BP339" s="79">
        <v>1.2</v>
      </c>
      <c r="BQ339" s="79">
        <v>2.56</v>
      </c>
      <c r="BR339" s="79">
        <v>0</v>
      </c>
      <c r="BS339" s="79" t="s">
        <v>464</v>
      </c>
      <c r="BT339" s="79" t="s">
        <v>464</v>
      </c>
      <c r="BU339" s="79" t="s">
        <v>1266</v>
      </c>
      <c r="BV339" s="79">
        <v>400</v>
      </c>
      <c r="BX339" s="79" t="s">
        <v>1287</v>
      </c>
      <c r="BZ339" s="81">
        <v>240</v>
      </c>
      <c r="CA339">
        <f t="shared" si="51"/>
        <v>5.4806389233419912</v>
      </c>
    </row>
    <row r="340" spans="1:79" x14ac:dyDescent="0.3">
      <c r="A340" s="2" t="s">
        <v>1231</v>
      </c>
      <c r="B340" s="68" t="s">
        <v>1238</v>
      </c>
      <c r="C340" s="13"/>
      <c r="D340" s="2">
        <v>4.07</v>
      </c>
      <c r="E340" s="2" t="s">
        <v>192</v>
      </c>
      <c r="F340" s="32" t="s">
        <v>556</v>
      </c>
      <c r="G340" s="1" t="s">
        <v>633</v>
      </c>
      <c r="I340" s="2">
        <v>4</v>
      </c>
      <c r="J340" s="25">
        <v>0</v>
      </c>
      <c r="K340">
        <v>0</v>
      </c>
      <c r="L340">
        <v>0</v>
      </c>
      <c r="M340" s="1">
        <v>3.9369999999999998</v>
      </c>
      <c r="N340" s="1">
        <v>27.198</v>
      </c>
      <c r="O340" s="1">
        <v>5.6920000000000002</v>
      </c>
      <c r="P340" s="2"/>
      <c r="Q340" s="2"/>
      <c r="R340" s="25">
        <v>0</v>
      </c>
      <c r="S340" s="25"/>
      <c r="T340" s="25"/>
      <c r="U340">
        <v>0</v>
      </c>
      <c r="X340">
        <v>0</v>
      </c>
      <c r="AA340" s="2"/>
      <c r="AB340">
        <v>14</v>
      </c>
      <c r="AC340" s="55">
        <f t="shared" si="44"/>
        <v>609.49096999200003</v>
      </c>
      <c r="AD340" s="57">
        <v>0</v>
      </c>
      <c r="AE340" s="55">
        <v>0</v>
      </c>
      <c r="AF340" s="55">
        <v>0</v>
      </c>
      <c r="AG340" s="52">
        <f t="shared" si="54"/>
        <v>9.1879950248869205E-2</v>
      </c>
      <c r="AH340" s="51"/>
      <c r="AI340" s="52"/>
      <c r="AJ340" s="52"/>
      <c r="AK340" s="28">
        <v>1.9650000000000001</v>
      </c>
      <c r="AL340" s="28">
        <v>2.8</v>
      </c>
      <c r="AM340" s="28">
        <v>0.33500000000000002</v>
      </c>
      <c r="AN340" s="28">
        <v>0.90999999999999992</v>
      </c>
      <c r="AO340" s="28">
        <v>0.32695507487520797</v>
      </c>
      <c r="AP340" s="28">
        <v>0.46589018302828622</v>
      </c>
      <c r="AQ340" s="28">
        <v>5.5740432612312818E-2</v>
      </c>
      <c r="AR340" s="28">
        <v>0.15141430948419299</v>
      </c>
      <c r="AS340" s="25">
        <v>0.95</v>
      </c>
      <c r="AT340" s="25">
        <v>3.44</v>
      </c>
      <c r="AU340" s="25">
        <v>2.4900000000000002</v>
      </c>
      <c r="AV340" s="25">
        <v>2.7515000000000001</v>
      </c>
      <c r="AW340">
        <v>2.7515000000000001</v>
      </c>
      <c r="AX340">
        <v>6.2425964049999996</v>
      </c>
      <c r="AY340" s="75"/>
      <c r="AZ340" s="75"/>
      <c r="BA340" s="75"/>
      <c r="BB340">
        <v>4.5939975124434602E-2</v>
      </c>
      <c r="BF340">
        <v>9.1879950248869205E-2</v>
      </c>
      <c r="BG340">
        <v>4.5939975124434602E-2</v>
      </c>
      <c r="BH340">
        <v>0</v>
      </c>
      <c r="BI340" s="79" t="s">
        <v>1264</v>
      </c>
      <c r="BJ340" s="79">
        <v>1450</v>
      </c>
      <c r="BK340" s="79">
        <v>200</v>
      </c>
      <c r="BM340" s="79" t="s">
        <v>1275</v>
      </c>
      <c r="BN340" s="79" t="s">
        <v>56</v>
      </c>
      <c r="BO340" s="79">
        <v>0.15</v>
      </c>
      <c r="BP340" s="79">
        <v>1</v>
      </c>
      <c r="BQ340" s="79">
        <v>2.56</v>
      </c>
      <c r="BR340" s="79">
        <v>0</v>
      </c>
      <c r="BS340" s="79" t="s">
        <v>464</v>
      </c>
      <c r="BT340" s="79" t="s">
        <v>464</v>
      </c>
      <c r="BU340" s="79" t="s">
        <v>1266</v>
      </c>
      <c r="BV340" s="79">
        <v>400</v>
      </c>
      <c r="BX340" s="79" t="s">
        <v>1287</v>
      </c>
      <c r="BZ340" s="81">
        <v>160</v>
      </c>
      <c r="CA340">
        <f t="shared" si="51"/>
        <v>5.0751738152338266</v>
      </c>
    </row>
    <row r="341" spans="1:79" x14ac:dyDescent="0.3">
      <c r="A341" s="2" t="s">
        <v>1232</v>
      </c>
      <c r="B341" s="68" t="s">
        <v>1239</v>
      </c>
      <c r="C341" s="13"/>
      <c r="D341" s="2">
        <v>4.03</v>
      </c>
      <c r="E341" s="2" t="s">
        <v>192</v>
      </c>
      <c r="F341" s="32" t="s">
        <v>556</v>
      </c>
      <c r="G341" s="1" t="s">
        <v>633</v>
      </c>
      <c r="I341" s="2">
        <v>4</v>
      </c>
      <c r="J341" s="25">
        <v>0</v>
      </c>
      <c r="K341">
        <v>0</v>
      </c>
      <c r="L341">
        <v>0</v>
      </c>
      <c r="M341" s="1">
        <v>3.9369999999999998</v>
      </c>
      <c r="N341" s="1">
        <v>27.198</v>
      </c>
      <c r="O341" s="1">
        <v>5.6920000000000002</v>
      </c>
      <c r="P341" s="2"/>
      <c r="Q341" s="2"/>
      <c r="R341" s="25">
        <v>0</v>
      </c>
      <c r="S341" s="25"/>
      <c r="T341" s="25"/>
      <c r="U341">
        <v>0</v>
      </c>
      <c r="X341">
        <v>0</v>
      </c>
      <c r="AA341" s="2"/>
      <c r="AB341">
        <v>14</v>
      </c>
      <c r="AC341" s="55">
        <f t="shared" si="44"/>
        <v>609.49096999200003</v>
      </c>
      <c r="AD341" s="57">
        <v>0</v>
      </c>
      <c r="AE341" s="55">
        <v>0</v>
      </c>
      <c r="AF341" s="55">
        <v>0</v>
      </c>
      <c r="AG341" s="52">
        <f t="shared" si="54"/>
        <v>9.1879950248869205E-2</v>
      </c>
      <c r="AH341" s="51"/>
      <c r="AI341" s="52"/>
      <c r="AJ341" s="52"/>
      <c r="AK341" s="28">
        <v>1.95</v>
      </c>
      <c r="AL341" s="28">
        <v>2.8</v>
      </c>
      <c r="AM341" s="28">
        <v>0.35</v>
      </c>
      <c r="AN341" s="28">
        <v>0.7</v>
      </c>
      <c r="AO341" s="28">
        <v>0.33620689655172409</v>
      </c>
      <c r="AP341" s="28">
        <v>0.48275862068965508</v>
      </c>
      <c r="AQ341" s="28">
        <v>6.0344827586206892E-2</v>
      </c>
      <c r="AR341" s="28">
        <v>0.1206896551724138</v>
      </c>
      <c r="AS341" s="25">
        <v>0.95</v>
      </c>
      <c r="AT341" s="25">
        <v>3.44</v>
      </c>
      <c r="AU341" s="25">
        <v>2.4900000000000002</v>
      </c>
      <c r="AV341" s="25">
        <v>2.7530000000000001</v>
      </c>
      <c r="AW341">
        <v>2.7530000000000001</v>
      </c>
      <c r="AX341">
        <v>6.24112315</v>
      </c>
      <c r="AY341" s="75"/>
      <c r="AZ341" s="75"/>
      <c r="BA341" s="75"/>
      <c r="BB341">
        <v>4.5939975124434602E-2</v>
      </c>
      <c r="BF341">
        <v>9.1879950248869205E-2</v>
      </c>
      <c r="BG341">
        <v>4.5939975124434602E-2</v>
      </c>
      <c r="BH341">
        <v>0</v>
      </c>
      <c r="BI341" s="79" t="s">
        <v>1264</v>
      </c>
      <c r="BJ341" s="79">
        <v>1450</v>
      </c>
      <c r="BK341" s="79">
        <v>200</v>
      </c>
      <c r="BM341" s="79" t="s">
        <v>1275</v>
      </c>
      <c r="BN341" s="79" t="s">
        <v>56</v>
      </c>
      <c r="BO341" s="79">
        <v>0.15</v>
      </c>
      <c r="BP341" s="79">
        <v>1.2</v>
      </c>
      <c r="BQ341" s="79">
        <v>2.56</v>
      </c>
      <c r="BR341" s="79">
        <v>0</v>
      </c>
      <c r="BS341" s="79" t="s">
        <v>464</v>
      </c>
      <c r="BT341" s="79" t="s">
        <v>464</v>
      </c>
      <c r="BU341" s="79" t="s">
        <v>1266</v>
      </c>
      <c r="BV341" s="79">
        <v>400</v>
      </c>
      <c r="BX341" s="79" t="s">
        <v>1287</v>
      </c>
      <c r="BZ341" s="81">
        <v>110</v>
      </c>
      <c r="CA341">
        <f t="shared" si="51"/>
        <v>4.7004803657924166</v>
      </c>
    </row>
    <row r="342" spans="1:79" x14ac:dyDescent="0.3">
      <c r="A342" s="2" t="s">
        <v>1233</v>
      </c>
      <c r="B342" s="68" t="s">
        <v>1240</v>
      </c>
      <c r="C342" s="13"/>
      <c r="D342" s="2">
        <v>3.96</v>
      </c>
      <c r="E342" s="2" t="s">
        <v>192</v>
      </c>
      <c r="F342" s="32" t="s">
        <v>556</v>
      </c>
      <c r="G342" s="1" t="s">
        <v>633</v>
      </c>
      <c r="I342" s="2">
        <v>4</v>
      </c>
      <c r="J342" s="25">
        <v>0</v>
      </c>
      <c r="K342">
        <v>0</v>
      </c>
      <c r="L342">
        <v>0</v>
      </c>
      <c r="M342" s="1">
        <v>3.9369999999999998</v>
      </c>
      <c r="N342" s="1">
        <v>27.198</v>
      </c>
      <c r="O342" s="1">
        <v>5.6920000000000002</v>
      </c>
      <c r="P342" s="2"/>
      <c r="Q342" s="2"/>
      <c r="R342" s="25">
        <v>0</v>
      </c>
      <c r="S342" s="25"/>
      <c r="T342" s="25"/>
      <c r="U342">
        <v>0</v>
      </c>
      <c r="X342">
        <v>0</v>
      </c>
      <c r="AA342" s="2"/>
      <c r="AB342">
        <v>14</v>
      </c>
      <c r="AC342" s="55">
        <f t="shared" si="44"/>
        <v>609.49096999200003</v>
      </c>
      <c r="AD342" s="57">
        <v>0</v>
      </c>
      <c r="AE342" s="55">
        <v>0</v>
      </c>
      <c r="AF342" s="55">
        <v>0</v>
      </c>
      <c r="AG342" s="52">
        <f t="shared" si="54"/>
        <v>9.1879950248869205E-2</v>
      </c>
      <c r="AH342" s="51"/>
      <c r="AI342" s="52"/>
      <c r="AJ342" s="52"/>
      <c r="AK342" s="28">
        <v>1.92</v>
      </c>
      <c r="AL342" s="28">
        <v>2.8</v>
      </c>
      <c r="AM342" s="28">
        <v>0.38</v>
      </c>
      <c r="AN342" s="28">
        <v>0.28000000000000003</v>
      </c>
      <c r="AO342" s="28">
        <v>0.35687732342007428</v>
      </c>
      <c r="AP342" s="28">
        <v>0.5204460966542751</v>
      </c>
      <c r="AQ342" s="28">
        <v>7.0631970260223054E-2</v>
      </c>
      <c r="AR342" s="28">
        <v>5.2044609665427517E-2</v>
      </c>
      <c r="AS342" s="25">
        <v>0.95</v>
      </c>
      <c r="AT342" s="25">
        <v>3.44</v>
      </c>
      <c r="AU342" s="25">
        <v>2.4900000000000002</v>
      </c>
      <c r="AV342" s="25">
        <v>2.7559999999999998</v>
      </c>
      <c r="AW342">
        <v>2.7559999999999998</v>
      </c>
      <c r="AX342">
        <v>6.2381766400000007</v>
      </c>
      <c r="AY342" s="75"/>
      <c r="AZ342" s="75"/>
      <c r="BA342" s="75"/>
      <c r="BB342">
        <v>4.5939975124434602E-2</v>
      </c>
      <c r="BF342">
        <v>9.1879950248869205E-2</v>
      </c>
      <c r="BG342">
        <v>4.5939975124434602E-2</v>
      </c>
      <c r="BH342">
        <v>0</v>
      </c>
      <c r="BI342" s="79" t="s">
        <v>1264</v>
      </c>
      <c r="BJ342" s="79">
        <v>1450</v>
      </c>
      <c r="BK342" s="79">
        <v>200</v>
      </c>
      <c r="BM342" s="79" t="s">
        <v>1275</v>
      </c>
      <c r="BN342" s="79" t="s">
        <v>56</v>
      </c>
      <c r="BO342" s="79">
        <v>0.15</v>
      </c>
      <c r="BP342" s="79">
        <v>0.8</v>
      </c>
      <c r="BQ342" s="79">
        <v>2.56</v>
      </c>
      <c r="BR342" s="79">
        <v>0</v>
      </c>
      <c r="BS342" s="79" t="s">
        <v>464</v>
      </c>
      <c r="BT342" s="79" t="s">
        <v>464</v>
      </c>
      <c r="BU342" s="79" t="s">
        <v>1266</v>
      </c>
      <c r="BV342" s="79">
        <v>400</v>
      </c>
      <c r="BX342" s="79" t="s">
        <v>1287</v>
      </c>
      <c r="BZ342" s="81">
        <v>50</v>
      </c>
      <c r="CA342">
        <f t="shared" si="51"/>
        <v>3.912023005428146</v>
      </c>
    </row>
    <row r="343" spans="1:79" x14ac:dyDescent="0.3">
      <c r="A343" s="2" t="s">
        <v>49</v>
      </c>
      <c r="B343" s="13" t="s">
        <v>725</v>
      </c>
      <c r="C343" s="13"/>
      <c r="D343" s="2">
        <v>3.92</v>
      </c>
      <c r="E343" s="2" t="s">
        <v>192</v>
      </c>
      <c r="F343" s="9" t="s">
        <v>553</v>
      </c>
      <c r="G343" t="s">
        <v>631</v>
      </c>
      <c r="I343" s="2"/>
      <c r="J343" s="25">
        <v>8</v>
      </c>
      <c r="K343">
        <v>8</v>
      </c>
      <c r="L343">
        <v>0</v>
      </c>
      <c r="M343" s="2">
        <v>3.9329999999999998</v>
      </c>
      <c r="N343" s="2">
        <v>26.725999999999999</v>
      </c>
      <c r="O343" s="2">
        <v>5.8630000000000004</v>
      </c>
      <c r="P343" s="2" t="s">
        <v>1095</v>
      </c>
      <c r="Q343" s="2"/>
      <c r="R343" s="25">
        <v>5.8017180100000001</v>
      </c>
      <c r="S343" s="25">
        <v>7.9756520899999996</v>
      </c>
      <c r="T343" s="25">
        <v>27.352093400000001</v>
      </c>
      <c r="U343">
        <v>26.646989999999999</v>
      </c>
      <c r="V343">
        <v>7.9359999999999999</v>
      </c>
      <c r="W343">
        <v>5.7050000000000001</v>
      </c>
      <c r="X343">
        <v>0</v>
      </c>
      <c r="AA343" s="2"/>
      <c r="AB343">
        <v>14</v>
      </c>
      <c r="AC343" s="55">
        <f t="shared" si="44"/>
        <v>616.27961795399995</v>
      </c>
      <c r="AD343" s="57">
        <v>1265.6493143942739</v>
      </c>
      <c r="AE343" s="55">
        <v>1206.4392746112001</v>
      </c>
      <c r="AF343" s="55">
        <v>0</v>
      </c>
      <c r="AG343" s="52"/>
      <c r="AH343" s="51">
        <v>8.8492127105210025E-2</v>
      </c>
      <c r="AI343" s="52">
        <v>9.2835174017436004E-2</v>
      </c>
      <c r="AJ343" s="52"/>
      <c r="AK343" s="28">
        <v>1.8181818181818179</v>
      </c>
      <c r="AL343" s="28">
        <v>2.545454545454545</v>
      </c>
      <c r="AM343" s="28">
        <v>0.72727272727272729</v>
      </c>
      <c r="AN343" s="28">
        <v>0</v>
      </c>
      <c r="AO343" s="28">
        <v>0.35714285714285721</v>
      </c>
      <c r="AP343" s="28">
        <v>0.5</v>
      </c>
      <c r="AQ343" s="28">
        <v>0.1428571428571429</v>
      </c>
      <c r="AR343" s="28">
        <v>0</v>
      </c>
      <c r="AS343" s="25">
        <v>0.95</v>
      </c>
      <c r="AT343" s="25">
        <v>3.44</v>
      </c>
      <c r="AU343" s="25">
        <v>2.4900000000000002</v>
      </c>
      <c r="AV343" s="25">
        <v>2.6527272727272719</v>
      </c>
      <c r="AW343">
        <v>2.6527272727272728</v>
      </c>
      <c r="AX343">
        <v>6.0182046818181814</v>
      </c>
      <c r="AY343" s="75">
        <v>0.5176653673612065</v>
      </c>
      <c r="AZ343" s="75">
        <v>0.54307152550012683</v>
      </c>
      <c r="BA343" s="75"/>
      <c r="BC343">
        <v>4.4246063552605013E-2</v>
      </c>
      <c r="BD343">
        <v>4.6417587008717988E-2</v>
      </c>
      <c r="BF343">
        <v>9.0663650561323014E-2</v>
      </c>
      <c r="BG343">
        <v>4.53318252806615E-2</v>
      </c>
      <c r="BH343">
        <v>0.53036844643066661</v>
      </c>
      <c r="BI343" s="79" t="s">
        <v>1264</v>
      </c>
      <c r="BJ343" s="79">
        <v>1450</v>
      </c>
      <c r="BK343" s="79">
        <v>200</v>
      </c>
      <c r="BM343" s="79" t="s">
        <v>1275</v>
      </c>
      <c r="BN343" s="79" t="s">
        <v>56</v>
      </c>
      <c r="BO343" s="79">
        <v>0.15</v>
      </c>
      <c r="BP343" s="79">
        <v>0.6</v>
      </c>
      <c r="BQ343" s="79">
        <v>2.56</v>
      </c>
      <c r="BR343" s="79">
        <v>0</v>
      </c>
      <c r="BS343" s="79" t="s">
        <v>464</v>
      </c>
      <c r="BT343" s="79" t="s">
        <v>464</v>
      </c>
      <c r="BU343" s="79" t="s">
        <v>1266</v>
      </c>
      <c r="BV343" s="79">
        <v>400</v>
      </c>
      <c r="BX343" s="79" t="s">
        <v>1287</v>
      </c>
      <c r="BZ343" s="81">
        <v>39</v>
      </c>
      <c r="CA343">
        <f t="shared" si="51"/>
        <v>3.6635616461296463</v>
      </c>
    </row>
    <row r="344" spans="1:79" x14ac:dyDescent="0.3">
      <c r="A344" s="2" t="s">
        <v>46</v>
      </c>
      <c r="B344" s="13" t="s">
        <v>722</v>
      </c>
      <c r="C344" s="13"/>
      <c r="D344" s="2">
        <v>3.82</v>
      </c>
      <c r="E344" s="2" t="s">
        <v>197</v>
      </c>
      <c r="F344" s="9" t="s">
        <v>551</v>
      </c>
      <c r="G344" t="s">
        <v>629</v>
      </c>
      <c r="I344" s="2">
        <v>4</v>
      </c>
      <c r="J344" s="25">
        <v>2</v>
      </c>
      <c r="K344">
        <v>4</v>
      </c>
      <c r="L344">
        <v>0</v>
      </c>
      <c r="M344" s="2">
        <v>13.01</v>
      </c>
      <c r="N344" s="2">
        <v>5.5439999999999996</v>
      </c>
      <c r="O344" s="2">
        <v>7.81</v>
      </c>
      <c r="P344" s="2" t="s">
        <v>1095</v>
      </c>
      <c r="Q344" s="2"/>
      <c r="R344" s="25">
        <v>7.41544296</v>
      </c>
      <c r="S344" s="25">
        <v>7.4154429599999991</v>
      </c>
      <c r="T344" s="25">
        <v>7.41544296</v>
      </c>
      <c r="U344">
        <v>7.8</v>
      </c>
      <c r="V344">
        <v>13.010999999999999</v>
      </c>
      <c r="W344">
        <v>5.5460000000000003</v>
      </c>
      <c r="X344">
        <v>0</v>
      </c>
      <c r="AA344" s="2"/>
      <c r="AB344">
        <v>14</v>
      </c>
      <c r="AC344" s="55">
        <f t="shared" si="44"/>
        <v>563.31530639999994</v>
      </c>
      <c r="AD344" s="57">
        <v>288.33429290182369</v>
      </c>
      <c r="AE344" s="55">
        <v>556.51188553357167</v>
      </c>
      <c r="AF344" s="55">
        <v>0</v>
      </c>
      <c r="AG344" s="52">
        <f t="shared" si="54"/>
        <v>9.9411465237614932E-2</v>
      </c>
      <c r="AH344" s="51">
        <v>9.7109503410799117E-2</v>
      </c>
      <c r="AI344" s="52">
        <v>0.10062678166578309</v>
      </c>
      <c r="AJ344" s="52"/>
      <c r="AK344" s="28">
        <v>2</v>
      </c>
      <c r="AL344" s="28">
        <v>2.545454545454545</v>
      </c>
      <c r="AM344" s="28">
        <v>0.54545454545454541</v>
      </c>
      <c r="AN344" s="28">
        <v>0</v>
      </c>
      <c r="AO344" s="28">
        <v>0.39285714285714279</v>
      </c>
      <c r="AP344" s="28">
        <v>0.5</v>
      </c>
      <c r="AQ344" s="28">
        <v>0.1071428571428571</v>
      </c>
      <c r="AR344" s="28">
        <v>0</v>
      </c>
      <c r="AS344" s="25">
        <v>1.1000000000000001</v>
      </c>
      <c r="AT344" s="25">
        <v>3.44</v>
      </c>
      <c r="AU344" s="25">
        <v>2.34</v>
      </c>
      <c r="AV344" s="25">
        <v>2.669090909090909</v>
      </c>
      <c r="AW344">
        <v>2.669090909090909</v>
      </c>
      <c r="AX344">
        <v>5.9831974772727277</v>
      </c>
      <c r="AY344" s="75">
        <v>0.52442413903612473</v>
      </c>
      <c r="AZ344" s="75">
        <v>0.54341863036636606</v>
      </c>
      <c r="BA344" s="75"/>
      <c r="BB344">
        <v>4.9705732618807473E-2</v>
      </c>
      <c r="BC344">
        <v>4.8554751705399558E-2</v>
      </c>
      <c r="BD344">
        <v>5.0313390832891547E-2</v>
      </c>
      <c r="BF344">
        <v>9.9049250104732381E-2</v>
      </c>
      <c r="BG344">
        <v>4.952462505236619E-2</v>
      </c>
      <c r="BH344">
        <v>0.53392138470124539</v>
      </c>
      <c r="BI344" s="79" t="s">
        <v>1264</v>
      </c>
      <c r="BJ344" s="79">
        <v>1423</v>
      </c>
      <c r="BK344" s="79">
        <v>10</v>
      </c>
      <c r="BM344" s="79" t="s">
        <v>464</v>
      </c>
      <c r="BN344" s="79" t="s">
        <v>464</v>
      </c>
      <c r="BO344" s="79">
        <v>0</v>
      </c>
      <c r="BQ344" s="79">
        <v>2</v>
      </c>
      <c r="BR344" s="79">
        <v>0</v>
      </c>
      <c r="BS344" s="79" t="s">
        <v>464</v>
      </c>
      <c r="BT344" s="79" t="s">
        <v>464</v>
      </c>
      <c r="BU344" s="79" t="s">
        <v>1266</v>
      </c>
      <c r="BV344" s="79">
        <v>450</v>
      </c>
      <c r="BW344" s="79">
        <v>200</v>
      </c>
      <c r="BX344" s="79" t="s">
        <v>1287</v>
      </c>
      <c r="BZ344" s="81">
        <v>10</v>
      </c>
      <c r="CA344">
        <f t="shared" si="51"/>
        <v>2.3025850929940459</v>
      </c>
    </row>
    <row r="345" spans="1:79" x14ac:dyDescent="0.3">
      <c r="A345" s="2" t="s">
        <v>193</v>
      </c>
      <c r="B345" s="13" t="s">
        <v>799</v>
      </c>
      <c r="C345" s="13"/>
      <c r="D345" s="2">
        <v>3.68</v>
      </c>
      <c r="E345" s="2" t="s">
        <v>197</v>
      </c>
      <c r="F345" s="32" t="s">
        <v>551</v>
      </c>
      <c r="G345" s="1" t="s">
        <v>629</v>
      </c>
      <c r="I345" s="2">
        <v>4</v>
      </c>
      <c r="J345" s="25">
        <v>0</v>
      </c>
      <c r="K345">
        <v>0</v>
      </c>
      <c r="L345">
        <v>0</v>
      </c>
      <c r="M345" s="2">
        <v>13.02</v>
      </c>
      <c r="N345" s="2">
        <v>5.5119999999999996</v>
      </c>
      <c r="O345" s="2">
        <v>7.7450000000000001</v>
      </c>
      <c r="P345" s="2" t="s">
        <v>1095</v>
      </c>
      <c r="Q345" s="2"/>
      <c r="R345" s="25">
        <v>0</v>
      </c>
      <c r="S345" s="25"/>
      <c r="T345" s="25"/>
      <c r="U345">
        <v>0</v>
      </c>
      <c r="X345">
        <v>0</v>
      </c>
      <c r="AA345" s="2"/>
      <c r="AB345">
        <v>14</v>
      </c>
      <c r="AC345" s="55">
        <f t="shared" si="44"/>
        <v>555.82952879999993</v>
      </c>
      <c r="AD345" s="57">
        <v>0</v>
      </c>
      <c r="AE345" s="55">
        <v>0</v>
      </c>
      <c r="AF345" s="55">
        <v>0</v>
      </c>
      <c r="AG345" s="52">
        <f t="shared" si="54"/>
        <v>0.10075031479687735</v>
      </c>
      <c r="AH345" s="51"/>
      <c r="AI345" s="52"/>
      <c r="AJ345" s="52"/>
      <c r="AK345" s="28">
        <v>2</v>
      </c>
      <c r="AL345" s="28">
        <v>2.545454545454545</v>
      </c>
      <c r="AM345" s="28">
        <v>0.45454545454545447</v>
      </c>
      <c r="AN345" s="28">
        <v>0.36363636363636359</v>
      </c>
      <c r="AO345" s="28">
        <v>0.3728813559322034</v>
      </c>
      <c r="AP345" s="28">
        <v>0.47457627118644069</v>
      </c>
      <c r="AQ345" s="28">
        <v>8.4745762711864403E-2</v>
      </c>
      <c r="AR345" s="28">
        <v>6.7796610169491525E-2</v>
      </c>
      <c r="AS345" s="25">
        <v>1.1000000000000001</v>
      </c>
      <c r="AT345" s="25">
        <v>3.44</v>
      </c>
      <c r="AU345" s="25">
        <v>2.34</v>
      </c>
      <c r="AV345" s="25">
        <v>2.672727272727272</v>
      </c>
      <c r="AW345">
        <v>2.6727272727272728</v>
      </c>
      <c r="AX345">
        <v>5.9599268909090908</v>
      </c>
      <c r="AY345" s="75"/>
      <c r="AZ345" s="75"/>
      <c r="BA345" s="75"/>
      <c r="BB345">
        <v>5.0375157398438668E-2</v>
      </c>
      <c r="BF345">
        <v>0.10075031479687729</v>
      </c>
      <c r="BG345">
        <v>5.0375157398438668E-2</v>
      </c>
      <c r="BH345">
        <v>0</v>
      </c>
      <c r="BI345" s="79" t="s">
        <v>1264</v>
      </c>
      <c r="BJ345" s="79">
        <v>1423</v>
      </c>
      <c r="BK345" s="79">
        <v>10</v>
      </c>
      <c r="BM345" s="79" t="s">
        <v>464</v>
      </c>
      <c r="BN345" s="79" t="s">
        <v>464</v>
      </c>
      <c r="BO345" s="79">
        <v>0</v>
      </c>
      <c r="BQ345" s="79">
        <v>2</v>
      </c>
      <c r="BR345" s="79">
        <v>0</v>
      </c>
      <c r="BS345" s="79" t="s">
        <v>464</v>
      </c>
      <c r="BT345" s="79" t="s">
        <v>464</v>
      </c>
      <c r="BU345" s="79" t="s">
        <v>1266</v>
      </c>
      <c r="BV345" s="79">
        <v>450</v>
      </c>
      <c r="BW345" s="79">
        <v>200</v>
      </c>
      <c r="BX345" s="79" t="s">
        <v>1287</v>
      </c>
      <c r="BZ345" s="81">
        <v>6</v>
      </c>
      <c r="CA345">
        <f t="shared" si="51"/>
        <v>1.791759469228055</v>
      </c>
    </row>
    <row r="346" spans="1:79" x14ac:dyDescent="0.3">
      <c r="A346" s="2" t="s">
        <v>194</v>
      </c>
      <c r="B346" s="13" t="s">
        <v>800</v>
      </c>
      <c r="C346" s="13"/>
      <c r="D346" s="2">
        <v>3.65</v>
      </c>
      <c r="E346" s="2" t="s">
        <v>197</v>
      </c>
      <c r="F346" s="9" t="s">
        <v>582</v>
      </c>
      <c r="G346" t="s">
        <v>657</v>
      </c>
      <c r="I346" s="2">
        <v>4</v>
      </c>
      <c r="J346" s="25">
        <v>2</v>
      </c>
      <c r="K346">
        <v>8</v>
      </c>
      <c r="L346">
        <v>0</v>
      </c>
      <c r="M346" s="2">
        <v>13.02</v>
      </c>
      <c r="N346" s="2">
        <v>5.48</v>
      </c>
      <c r="O346" s="2">
        <v>7.68</v>
      </c>
      <c r="P346" s="2" t="s">
        <v>1095</v>
      </c>
      <c r="Q346" s="2"/>
      <c r="R346" s="25">
        <v>7.2854997800000012</v>
      </c>
      <c r="S346" s="25">
        <v>7.2855000099999998</v>
      </c>
      <c r="T346" s="25">
        <v>7.28550129</v>
      </c>
      <c r="U346">
        <v>7.6769999999999996</v>
      </c>
      <c r="V346">
        <v>5.4560000000000004</v>
      </c>
      <c r="W346">
        <v>26.012989999999999</v>
      </c>
      <c r="X346">
        <v>0</v>
      </c>
      <c r="AA346" s="2"/>
      <c r="AB346">
        <v>14</v>
      </c>
      <c r="AC346" s="55">
        <f t="shared" si="44"/>
        <v>547.9649280000001</v>
      </c>
      <c r="AD346" s="57">
        <v>273.44070809730869</v>
      </c>
      <c r="AE346" s="55">
        <v>1077.884035254056</v>
      </c>
      <c r="AF346" s="55">
        <v>0</v>
      </c>
      <c r="AG346" s="52">
        <f t="shared" si="54"/>
        <v>0.10219632158647933</v>
      </c>
      <c r="AH346" s="51">
        <v>0.1023987986091511</v>
      </c>
      <c r="AI346" s="52">
        <v>0.1039072816155049</v>
      </c>
      <c r="AJ346" s="52"/>
      <c r="AK346" s="28">
        <v>2</v>
      </c>
      <c r="AL346" s="28">
        <v>2.545454545454545</v>
      </c>
      <c r="AM346" s="28">
        <v>0.36363636363636359</v>
      </c>
      <c r="AN346" s="28">
        <v>0.72727272727272729</v>
      </c>
      <c r="AO346" s="28">
        <v>0.35483870967741932</v>
      </c>
      <c r="AP346" s="28">
        <v>0.45161290322580638</v>
      </c>
      <c r="AQ346" s="28">
        <v>6.4516129032258063E-2</v>
      </c>
      <c r="AR346" s="28">
        <v>0.1290322580645161</v>
      </c>
      <c r="AS346" s="25">
        <v>1.1399999999999999</v>
      </c>
      <c r="AT346" s="25">
        <v>3.44</v>
      </c>
      <c r="AU346" s="25">
        <v>2.2999999999999998</v>
      </c>
      <c r="AV346" s="25">
        <v>2.6763636363636358</v>
      </c>
      <c r="AW346">
        <v>2.6763636363636358</v>
      </c>
      <c r="AX346">
        <v>5.9366563045454548</v>
      </c>
      <c r="AY346" s="75">
        <v>0.5411256777060568</v>
      </c>
      <c r="AZ346" s="75">
        <v>0.54909724475770694</v>
      </c>
      <c r="BA346" s="75"/>
      <c r="BB346">
        <v>5.1098160793239672E-2</v>
      </c>
      <c r="BC346">
        <v>5.119939930457558E-2</v>
      </c>
      <c r="BD346">
        <v>5.1953640807752437E-2</v>
      </c>
      <c r="BF346">
        <v>0.1028341339370451</v>
      </c>
      <c r="BG346">
        <v>5.1417066968522558E-2</v>
      </c>
      <c r="BH346">
        <v>0.54511146123188192</v>
      </c>
      <c r="BI346" s="79" t="s">
        <v>1264</v>
      </c>
      <c r="BJ346" s="79">
        <v>1423</v>
      </c>
      <c r="BK346" s="79">
        <v>10</v>
      </c>
      <c r="BM346" s="79" t="s">
        <v>464</v>
      </c>
      <c r="BN346" s="79" t="s">
        <v>464</v>
      </c>
      <c r="BO346" s="79">
        <v>0</v>
      </c>
      <c r="BQ346" s="79">
        <v>2</v>
      </c>
      <c r="BR346" s="79">
        <v>0</v>
      </c>
      <c r="BS346" s="79" t="s">
        <v>464</v>
      </c>
      <c r="BT346" s="79" t="s">
        <v>464</v>
      </c>
      <c r="BU346" s="79" t="s">
        <v>1266</v>
      </c>
      <c r="BV346" s="79">
        <v>450</v>
      </c>
      <c r="BW346" s="79">
        <v>200</v>
      </c>
      <c r="BX346" s="79" t="s">
        <v>1287</v>
      </c>
      <c r="BZ346" s="81">
        <v>4</v>
      </c>
      <c r="CA346">
        <f t="shared" si="51"/>
        <v>1.3862943611198906</v>
      </c>
    </row>
    <row r="347" spans="1:79" x14ac:dyDescent="0.3">
      <c r="A347" s="2" t="s">
        <v>195</v>
      </c>
      <c r="B347" s="13" t="s">
        <v>801</v>
      </c>
      <c r="C347" s="13"/>
      <c r="D347" s="2">
        <v>2.99</v>
      </c>
      <c r="E347" s="2" t="s">
        <v>197</v>
      </c>
      <c r="F347" s="9" t="s">
        <v>583</v>
      </c>
      <c r="G347">
        <v>-1</v>
      </c>
      <c r="I347" s="2">
        <v>4</v>
      </c>
      <c r="J347" s="25">
        <v>4</v>
      </c>
      <c r="K347">
        <v>0</v>
      </c>
      <c r="L347">
        <v>0</v>
      </c>
      <c r="M347" s="2">
        <v>12.996</v>
      </c>
      <c r="N347" s="2">
        <v>5.4850000000000003</v>
      </c>
      <c r="O347" s="2">
        <v>7.7039999999999997</v>
      </c>
      <c r="P347" s="2" t="s">
        <v>1095</v>
      </c>
      <c r="Q347" s="2"/>
      <c r="R347" s="25">
        <v>5.5191434299999997</v>
      </c>
      <c r="S347" s="25">
        <v>7.7203982699999987</v>
      </c>
      <c r="T347" s="25">
        <v>13.117043880000001</v>
      </c>
      <c r="U347">
        <v>0</v>
      </c>
      <c r="X347">
        <v>0</v>
      </c>
      <c r="AA347" s="2"/>
      <c r="AB347">
        <v>14</v>
      </c>
      <c r="AC347" s="55">
        <f t="shared" si="44"/>
        <v>549.16469424000002</v>
      </c>
      <c r="AD347" s="57">
        <v>552.74712386171507</v>
      </c>
      <c r="AE347" s="55">
        <v>0</v>
      </c>
      <c r="AF347" s="55">
        <v>0</v>
      </c>
      <c r="AG347" s="52">
        <f t="shared" si="54"/>
        <v>0.1019730521414883</v>
      </c>
      <c r="AH347" s="51">
        <v>0.1013121508598025</v>
      </c>
      <c r="AI347" s="52"/>
      <c r="AJ347" s="52"/>
      <c r="AK347" s="28">
        <v>2</v>
      </c>
      <c r="AL347" s="28">
        <v>2.545454545454545</v>
      </c>
      <c r="AM347" s="28">
        <v>0.36363636363636359</v>
      </c>
      <c r="AN347" s="28">
        <v>0.54545454545454541</v>
      </c>
      <c r="AO347" s="28">
        <v>0.3666666666666667</v>
      </c>
      <c r="AP347" s="28">
        <v>0.46666666666666667</v>
      </c>
      <c r="AQ347" s="28">
        <v>6.666666666666668E-2</v>
      </c>
      <c r="AR347" s="28">
        <v>0.1</v>
      </c>
      <c r="AS347" s="25">
        <v>1.1299999999999999</v>
      </c>
      <c r="AT347" s="25">
        <v>3.44</v>
      </c>
      <c r="AU347" s="25">
        <v>2.31</v>
      </c>
      <c r="AV347" s="25">
        <v>2.6745454545454539</v>
      </c>
      <c r="AW347">
        <v>2.6745454545454548</v>
      </c>
      <c r="AX347">
        <v>5.9327418772727274</v>
      </c>
      <c r="AY347" s="75">
        <v>0.53699890088551772</v>
      </c>
      <c r="AZ347" s="75"/>
      <c r="BA347" s="75"/>
      <c r="BB347">
        <v>5.0986526070744151E-2</v>
      </c>
      <c r="BC347">
        <v>5.0656075429901228E-2</v>
      </c>
      <c r="BF347">
        <v>0.1016426015006454</v>
      </c>
      <c r="BG347">
        <v>5.0821300750322693E-2</v>
      </c>
      <c r="BH347">
        <v>0.53699890088551772</v>
      </c>
      <c r="BI347" s="79" t="s">
        <v>1264</v>
      </c>
      <c r="BJ347" s="79">
        <v>1423</v>
      </c>
      <c r="BK347" s="79">
        <v>10</v>
      </c>
      <c r="BM347" s="79" t="s">
        <v>464</v>
      </c>
      <c r="BN347" s="79" t="s">
        <v>464</v>
      </c>
      <c r="BO347" s="79">
        <v>0</v>
      </c>
      <c r="BQ347" s="79">
        <v>2</v>
      </c>
      <c r="BR347" s="79">
        <v>0</v>
      </c>
      <c r="BS347" s="79" t="s">
        <v>464</v>
      </c>
      <c r="BT347" s="79" t="s">
        <v>464</v>
      </c>
      <c r="BU347" s="79" t="s">
        <v>1266</v>
      </c>
      <c r="BV347" s="79">
        <v>450</v>
      </c>
      <c r="BW347" s="79">
        <v>200</v>
      </c>
      <c r="BX347" s="79" t="s">
        <v>1287</v>
      </c>
      <c r="BZ347" s="81">
        <v>5</v>
      </c>
      <c r="CA347">
        <f t="shared" si="51"/>
        <v>1.6094379124341003</v>
      </c>
    </row>
    <row r="348" spans="1:79" x14ac:dyDescent="0.3">
      <c r="A348" s="2" t="s">
        <v>196</v>
      </c>
      <c r="B348" s="13" t="s">
        <v>802</v>
      </c>
      <c r="C348" s="13"/>
      <c r="D348" s="2">
        <v>2.98</v>
      </c>
      <c r="E348" s="2" t="s">
        <v>197</v>
      </c>
      <c r="F348" s="32" t="s">
        <v>583</v>
      </c>
      <c r="G348">
        <v>-1</v>
      </c>
      <c r="I348" s="2">
        <v>4</v>
      </c>
      <c r="J348" s="25">
        <v>0</v>
      </c>
      <c r="K348">
        <v>0</v>
      </c>
      <c r="L348">
        <v>0</v>
      </c>
      <c r="M348" s="2">
        <v>13.003</v>
      </c>
      <c r="N348" s="2">
        <v>5.5149999999999997</v>
      </c>
      <c r="O348" s="2">
        <v>7.7569999999999997</v>
      </c>
      <c r="P348" s="2" t="s">
        <v>1095</v>
      </c>
      <c r="Q348" s="2"/>
      <c r="R348" s="25">
        <v>0</v>
      </c>
      <c r="S348" s="25"/>
      <c r="T348" s="25"/>
      <c r="U348">
        <v>0</v>
      </c>
      <c r="X348">
        <v>0</v>
      </c>
      <c r="AA348" s="2"/>
      <c r="AB348">
        <v>14</v>
      </c>
      <c r="AC348" s="55">
        <f t="shared" si="44"/>
        <v>556.266454565</v>
      </c>
      <c r="AD348" s="57">
        <v>0</v>
      </c>
      <c r="AE348" s="55">
        <v>0</v>
      </c>
      <c r="AF348" s="55">
        <v>0</v>
      </c>
      <c r="AG348" s="52">
        <f t="shared" si="54"/>
        <v>0.10067117932500884</v>
      </c>
      <c r="AH348" s="51"/>
      <c r="AI348" s="52"/>
      <c r="AJ348" s="52"/>
      <c r="AK348" s="28">
        <v>2</v>
      </c>
      <c r="AL348" s="28">
        <v>2.545454545454545</v>
      </c>
      <c r="AM348" s="28">
        <v>0.45454545454545447</v>
      </c>
      <c r="AN348" s="28">
        <v>0.27272727272727271</v>
      </c>
      <c r="AO348" s="28">
        <v>0.37931034482758619</v>
      </c>
      <c r="AP348" s="28">
        <v>0.48275862068965519</v>
      </c>
      <c r="AQ348" s="28">
        <v>8.6206896551724144E-2</v>
      </c>
      <c r="AR348" s="28">
        <v>5.1724137931034482E-2</v>
      </c>
      <c r="AS348" s="25">
        <v>1.1000000000000001</v>
      </c>
      <c r="AT348" s="25">
        <v>3.44</v>
      </c>
      <c r="AU348" s="25">
        <v>2.34</v>
      </c>
      <c r="AV348" s="25">
        <v>2.6718181818181819</v>
      </c>
      <c r="AW348">
        <v>2.6718181818181819</v>
      </c>
      <c r="AX348">
        <v>5.9579696772727271</v>
      </c>
      <c r="AY348" s="75"/>
      <c r="AZ348" s="75"/>
      <c r="BA348" s="75"/>
      <c r="BB348">
        <v>5.0335589662504419E-2</v>
      </c>
      <c r="BF348">
        <v>0.1006711793250088</v>
      </c>
      <c r="BG348">
        <v>5.0335589662504419E-2</v>
      </c>
      <c r="BH348">
        <v>0</v>
      </c>
      <c r="BI348" s="79" t="s">
        <v>1264</v>
      </c>
      <c r="BJ348" s="79">
        <v>1423</v>
      </c>
      <c r="BK348" s="79">
        <v>10</v>
      </c>
      <c r="BM348" s="79" t="s">
        <v>464</v>
      </c>
      <c r="BN348" s="79" t="s">
        <v>464</v>
      </c>
      <c r="BO348" s="79">
        <v>0</v>
      </c>
      <c r="BQ348" s="79">
        <v>2</v>
      </c>
      <c r="BR348" s="79">
        <v>0</v>
      </c>
      <c r="BS348" s="79" t="s">
        <v>464</v>
      </c>
      <c r="BT348" s="79" t="s">
        <v>464</v>
      </c>
      <c r="BU348" s="79" t="s">
        <v>1266</v>
      </c>
      <c r="BV348" s="79">
        <v>450</v>
      </c>
      <c r="BW348" s="79">
        <v>200</v>
      </c>
      <c r="BX348" s="79" t="s">
        <v>1287</v>
      </c>
      <c r="BZ348" s="81">
        <v>8</v>
      </c>
      <c r="CA348">
        <f t="shared" si="51"/>
        <v>2.0794415416798357</v>
      </c>
    </row>
    <row r="349" spans="1:79" x14ac:dyDescent="0.3">
      <c r="A349" s="2" t="s">
        <v>46</v>
      </c>
      <c r="B349" s="13" t="s">
        <v>722</v>
      </c>
      <c r="C349" s="13"/>
      <c r="D349" s="2">
        <v>3.82</v>
      </c>
      <c r="E349" s="2" t="s">
        <v>197</v>
      </c>
      <c r="F349" s="9" t="s">
        <v>551</v>
      </c>
      <c r="G349" t="s">
        <v>629</v>
      </c>
      <c r="I349" s="2">
        <v>4</v>
      </c>
      <c r="J349" s="25">
        <v>2</v>
      </c>
      <c r="K349">
        <v>4</v>
      </c>
      <c r="L349">
        <v>0</v>
      </c>
      <c r="M349" s="2">
        <v>13.01</v>
      </c>
      <c r="N349" s="2">
        <v>5.5439999999999996</v>
      </c>
      <c r="O349" s="2">
        <v>7.81</v>
      </c>
      <c r="P349" s="2" t="s">
        <v>1095</v>
      </c>
      <c r="Q349" s="2"/>
      <c r="R349" s="25">
        <v>7.41544296</v>
      </c>
      <c r="S349" s="25">
        <v>7.4154429599999991</v>
      </c>
      <c r="T349" s="25">
        <v>7.41544296</v>
      </c>
      <c r="U349">
        <v>7.8</v>
      </c>
      <c r="V349">
        <v>13.010999999999999</v>
      </c>
      <c r="W349">
        <v>5.5460000000000003</v>
      </c>
      <c r="X349">
        <v>0</v>
      </c>
      <c r="AA349" s="2"/>
      <c r="AB349">
        <v>14</v>
      </c>
      <c r="AC349" s="55">
        <f t="shared" ref="AC349:AC358" si="55">M349*N349*O349</f>
        <v>563.31530639999994</v>
      </c>
      <c r="AD349" s="57">
        <v>288.33429290182369</v>
      </c>
      <c r="AE349" s="55">
        <v>556.51188553357167</v>
      </c>
      <c r="AF349" s="55">
        <v>0</v>
      </c>
      <c r="AG349" s="52">
        <f t="shared" ref="AG349:AG358" si="56">I349*AB349/AC349</f>
        <v>9.9411465237614932E-2</v>
      </c>
      <c r="AH349" s="51">
        <v>9.7109503410799117E-2</v>
      </c>
      <c r="AI349" s="52">
        <v>0.10062678166578309</v>
      </c>
      <c r="AJ349" s="52"/>
      <c r="AK349" s="28">
        <v>2</v>
      </c>
      <c r="AL349" s="28">
        <v>2.545454545454545</v>
      </c>
      <c r="AM349" s="28">
        <v>0.54545454545454541</v>
      </c>
      <c r="AN349" s="28">
        <v>0</v>
      </c>
      <c r="AO349" s="28">
        <v>0.39285714285714279</v>
      </c>
      <c r="AP349" s="28">
        <v>0.5</v>
      </c>
      <c r="AQ349" s="28">
        <v>0.1071428571428571</v>
      </c>
      <c r="AR349" s="28">
        <v>0</v>
      </c>
      <c r="AS349" s="25">
        <v>1.1000000000000001</v>
      </c>
      <c r="AT349" s="25">
        <v>3.44</v>
      </c>
      <c r="AU349" s="25">
        <v>2.34</v>
      </c>
      <c r="AV349" s="25">
        <v>2.669090909090909</v>
      </c>
      <c r="AW349">
        <v>2.669090909090909</v>
      </c>
      <c r="AX349">
        <v>5.9831974772727277</v>
      </c>
      <c r="AY349" s="75">
        <v>0.52442413903612473</v>
      </c>
      <c r="AZ349" s="75">
        <v>0.54341863036636606</v>
      </c>
      <c r="BA349" s="75"/>
      <c r="BB349">
        <v>4.9705732618807473E-2</v>
      </c>
      <c r="BC349">
        <v>4.8554751705399558E-2</v>
      </c>
      <c r="BD349">
        <v>5.0313390832891547E-2</v>
      </c>
      <c r="BF349">
        <v>9.9049250104732381E-2</v>
      </c>
      <c r="BG349">
        <v>4.952462505236619E-2</v>
      </c>
      <c r="BH349">
        <v>0.53392138470124539</v>
      </c>
      <c r="BI349" s="79" t="s">
        <v>1264</v>
      </c>
      <c r="BJ349" s="79">
        <v>1423</v>
      </c>
      <c r="BK349" s="79">
        <v>10</v>
      </c>
      <c r="BM349" s="79" t="s">
        <v>1275</v>
      </c>
      <c r="BN349" s="79" t="s">
        <v>56</v>
      </c>
      <c r="BO349" s="79">
        <v>1</v>
      </c>
      <c r="BQ349" s="79">
        <v>2</v>
      </c>
      <c r="BR349" s="79">
        <v>0</v>
      </c>
      <c r="BS349" s="79" t="s">
        <v>464</v>
      </c>
      <c r="BT349" s="79" t="s">
        <v>464</v>
      </c>
      <c r="BU349" s="79" t="s">
        <v>1266</v>
      </c>
      <c r="BV349" s="79">
        <v>450</v>
      </c>
      <c r="BW349" s="79">
        <v>200</v>
      </c>
      <c r="BX349" s="79" t="s">
        <v>1287</v>
      </c>
      <c r="BZ349" s="81">
        <v>400</v>
      </c>
      <c r="CA349">
        <f t="shared" si="51"/>
        <v>5.9914645471079817</v>
      </c>
    </row>
    <row r="350" spans="1:79" x14ac:dyDescent="0.3">
      <c r="A350" s="2" t="s">
        <v>193</v>
      </c>
      <c r="B350" s="13" t="s">
        <v>799</v>
      </c>
      <c r="C350" s="13"/>
      <c r="D350" s="2">
        <v>3.68</v>
      </c>
      <c r="E350" s="2" t="s">
        <v>197</v>
      </c>
      <c r="F350" s="32" t="s">
        <v>551</v>
      </c>
      <c r="G350" s="1" t="s">
        <v>629</v>
      </c>
      <c r="I350" s="2">
        <v>4</v>
      </c>
      <c r="J350" s="25">
        <v>0</v>
      </c>
      <c r="K350">
        <v>0</v>
      </c>
      <c r="L350">
        <v>0</v>
      </c>
      <c r="M350" s="2">
        <v>13.02</v>
      </c>
      <c r="N350" s="2">
        <v>5.5119999999999996</v>
      </c>
      <c r="O350" s="2">
        <v>7.7450000000000001</v>
      </c>
      <c r="P350" s="2" t="s">
        <v>1095</v>
      </c>
      <c r="Q350" s="2"/>
      <c r="R350" s="25">
        <v>0</v>
      </c>
      <c r="S350" s="25"/>
      <c r="T350" s="25"/>
      <c r="U350">
        <v>0</v>
      </c>
      <c r="X350">
        <v>0</v>
      </c>
      <c r="AA350" s="2"/>
      <c r="AB350">
        <v>14</v>
      </c>
      <c r="AC350" s="55">
        <f t="shared" si="55"/>
        <v>555.82952879999993</v>
      </c>
      <c r="AD350" s="57">
        <v>0</v>
      </c>
      <c r="AE350" s="55">
        <v>0</v>
      </c>
      <c r="AF350" s="55">
        <v>0</v>
      </c>
      <c r="AG350" s="52">
        <f t="shared" si="56"/>
        <v>0.10075031479687735</v>
      </c>
      <c r="AH350" s="51"/>
      <c r="AI350" s="52"/>
      <c r="AJ350" s="52"/>
      <c r="AK350" s="28">
        <v>2</v>
      </c>
      <c r="AL350" s="28">
        <v>2.545454545454545</v>
      </c>
      <c r="AM350" s="28">
        <v>0.45454545454545447</v>
      </c>
      <c r="AN350" s="28">
        <v>0.36363636363636359</v>
      </c>
      <c r="AO350" s="28">
        <v>0.3728813559322034</v>
      </c>
      <c r="AP350" s="28">
        <v>0.47457627118644069</v>
      </c>
      <c r="AQ350" s="28">
        <v>8.4745762711864403E-2</v>
      </c>
      <c r="AR350" s="28">
        <v>6.7796610169491525E-2</v>
      </c>
      <c r="AS350" s="25">
        <v>1.1000000000000001</v>
      </c>
      <c r="AT350" s="25">
        <v>3.44</v>
      </c>
      <c r="AU350" s="25">
        <v>2.34</v>
      </c>
      <c r="AV350" s="25">
        <v>2.672727272727272</v>
      </c>
      <c r="AW350">
        <v>2.6727272727272728</v>
      </c>
      <c r="AX350">
        <v>5.9599268909090908</v>
      </c>
      <c r="AY350" s="75"/>
      <c r="AZ350" s="75"/>
      <c r="BA350" s="75"/>
      <c r="BB350">
        <v>5.0375157398438668E-2</v>
      </c>
      <c r="BF350">
        <v>0.10075031479687729</v>
      </c>
      <c r="BG350">
        <v>5.0375157398438668E-2</v>
      </c>
      <c r="BH350">
        <v>0</v>
      </c>
      <c r="BI350" s="79" t="s">
        <v>1264</v>
      </c>
      <c r="BJ350" s="79">
        <v>1423</v>
      </c>
      <c r="BK350" s="79">
        <v>10</v>
      </c>
      <c r="BM350" s="79" t="s">
        <v>1275</v>
      </c>
      <c r="BN350" s="79" t="s">
        <v>56</v>
      </c>
      <c r="BO350" s="79">
        <v>1</v>
      </c>
      <c r="BQ350" s="79">
        <v>2</v>
      </c>
      <c r="BR350" s="79">
        <v>0</v>
      </c>
      <c r="BS350" s="79" t="s">
        <v>464</v>
      </c>
      <c r="BT350" s="79" t="s">
        <v>464</v>
      </c>
      <c r="BU350" s="79" t="s">
        <v>1266</v>
      </c>
      <c r="BV350" s="79">
        <v>450</v>
      </c>
      <c r="BW350" s="79">
        <v>200</v>
      </c>
      <c r="BX350" s="79" t="s">
        <v>1287</v>
      </c>
      <c r="BZ350" s="81">
        <v>131</v>
      </c>
      <c r="CA350">
        <f t="shared" si="51"/>
        <v>4.8751973232011512</v>
      </c>
    </row>
    <row r="351" spans="1:79" x14ac:dyDescent="0.3">
      <c r="A351" s="2" t="s">
        <v>194</v>
      </c>
      <c r="B351" s="13" t="s">
        <v>800</v>
      </c>
      <c r="C351" s="13"/>
      <c r="D351" s="2">
        <v>3.65</v>
      </c>
      <c r="E351" s="2" t="s">
        <v>197</v>
      </c>
      <c r="F351" s="9" t="s">
        <v>582</v>
      </c>
      <c r="G351" t="s">
        <v>657</v>
      </c>
      <c r="I351" s="2">
        <v>4</v>
      </c>
      <c r="J351" s="25">
        <v>2</v>
      </c>
      <c r="K351">
        <v>8</v>
      </c>
      <c r="L351">
        <v>0</v>
      </c>
      <c r="M351" s="2">
        <v>13.02</v>
      </c>
      <c r="N351" s="2">
        <v>5.48</v>
      </c>
      <c r="O351" s="2">
        <v>7.68</v>
      </c>
      <c r="P351" s="2" t="s">
        <v>1095</v>
      </c>
      <c r="Q351" s="2"/>
      <c r="R351" s="25">
        <v>7.2854997800000012</v>
      </c>
      <c r="S351" s="25">
        <v>7.2855000099999998</v>
      </c>
      <c r="T351" s="25">
        <v>7.28550129</v>
      </c>
      <c r="U351">
        <v>7.6769999999999996</v>
      </c>
      <c r="V351">
        <v>5.4560000000000004</v>
      </c>
      <c r="W351">
        <v>26.012989999999999</v>
      </c>
      <c r="X351">
        <v>0</v>
      </c>
      <c r="AA351" s="2"/>
      <c r="AB351">
        <v>14</v>
      </c>
      <c r="AC351" s="55">
        <f t="shared" si="55"/>
        <v>547.9649280000001</v>
      </c>
      <c r="AD351" s="57">
        <v>273.44070809730869</v>
      </c>
      <c r="AE351" s="55">
        <v>1077.884035254056</v>
      </c>
      <c r="AF351" s="55">
        <v>0</v>
      </c>
      <c r="AG351" s="52">
        <f t="shared" si="56"/>
        <v>0.10219632158647933</v>
      </c>
      <c r="AH351" s="51">
        <v>0.1023987986091511</v>
      </c>
      <c r="AI351" s="52">
        <v>0.1039072816155049</v>
      </c>
      <c r="AJ351" s="52"/>
      <c r="AK351" s="28">
        <v>2</v>
      </c>
      <c r="AL351" s="28">
        <v>2.545454545454545</v>
      </c>
      <c r="AM351" s="28">
        <v>0.36363636363636359</v>
      </c>
      <c r="AN351" s="28">
        <v>0.72727272727272729</v>
      </c>
      <c r="AO351" s="28">
        <v>0.35483870967741932</v>
      </c>
      <c r="AP351" s="28">
        <v>0.45161290322580638</v>
      </c>
      <c r="AQ351" s="28">
        <v>6.4516129032258063E-2</v>
      </c>
      <c r="AR351" s="28">
        <v>0.1290322580645161</v>
      </c>
      <c r="AS351" s="25">
        <v>1.1399999999999999</v>
      </c>
      <c r="AT351" s="25">
        <v>3.44</v>
      </c>
      <c r="AU351" s="25">
        <v>2.2999999999999998</v>
      </c>
      <c r="AV351" s="25">
        <v>2.6763636363636358</v>
      </c>
      <c r="AW351">
        <v>2.6763636363636358</v>
      </c>
      <c r="AX351">
        <v>5.9366563045454548</v>
      </c>
      <c r="AY351" s="75">
        <v>0.5411256777060568</v>
      </c>
      <c r="AZ351" s="75">
        <v>0.54909724475770694</v>
      </c>
      <c r="BA351" s="75"/>
      <c r="BB351">
        <v>5.1098160793239672E-2</v>
      </c>
      <c r="BC351">
        <v>5.119939930457558E-2</v>
      </c>
      <c r="BD351">
        <v>5.1953640807752437E-2</v>
      </c>
      <c r="BF351">
        <v>0.1028341339370451</v>
      </c>
      <c r="BG351">
        <v>5.1417066968522558E-2</v>
      </c>
      <c r="BH351">
        <v>0.54511146123188192</v>
      </c>
      <c r="BI351" s="79" t="s">
        <v>1264</v>
      </c>
      <c r="BJ351" s="79">
        <v>1423</v>
      </c>
      <c r="BK351" s="79">
        <v>10</v>
      </c>
      <c r="BM351" s="79" t="s">
        <v>1275</v>
      </c>
      <c r="BN351" s="79" t="s">
        <v>56</v>
      </c>
      <c r="BO351" s="79">
        <v>1</v>
      </c>
      <c r="BQ351" s="79">
        <v>2</v>
      </c>
      <c r="BR351" s="79">
        <v>0</v>
      </c>
      <c r="BS351" s="79" t="s">
        <v>464</v>
      </c>
      <c r="BT351" s="79" t="s">
        <v>464</v>
      </c>
      <c r="BU351" s="79" t="s">
        <v>1266</v>
      </c>
      <c r="BV351" s="79">
        <v>450</v>
      </c>
      <c r="BW351" s="79">
        <v>200</v>
      </c>
      <c r="BX351" s="79" t="s">
        <v>1287</v>
      </c>
      <c r="BZ351" s="81">
        <v>99</v>
      </c>
      <c r="CA351">
        <f t="shared" si="51"/>
        <v>4.5951198501345898</v>
      </c>
    </row>
    <row r="352" spans="1:79" x14ac:dyDescent="0.3">
      <c r="A352" s="2" t="s">
        <v>195</v>
      </c>
      <c r="B352" s="13" t="s">
        <v>801</v>
      </c>
      <c r="C352" s="13"/>
      <c r="D352" s="2">
        <v>2.99</v>
      </c>
      <c r="E352" s="2" t="s">
        <v>197</v>
      </c>
      <c r="F352" s="9" t="s">
        <v>583</v>
      </c>
      <c r="G352">
        <v>-1</v>
      </c>
      <c r="I352" s="2">
        <v>4</v>
      </c>
      <c r="J352" s="25">
        <v>4</v>
      </c>
      <c r="K352">
        <v>0</v>
      </c>
      <c r="L352">
        <v>0</v>
      </c>
      <c r="M352" s="2">
        <v>12.996</v>
      </c>
      <c r="N352" s="2">
        <v>5.4850000000000003</v>
      </c>
      <c r="O352" s="2">
        <v>7.7039999999999997</v>
      </c>
      <c r="P352" s="2" t="s">
        <v>1095</v>
      </c>
      <c r="Q352" s="2"/>
      <c r="R352" s="25">
        <v>5.5191434299999997</v>
      </c>
      <c r="S352" s="25">
        <v>7.7203982699999987</v>
      </c>
      <c r="T352" s="25">
        <v>13.117043880000001</v>
      </c>
      <c r="U352">
        <v>0</v>
      </c>
      <c r="X352">
        <v>0</v>
      </c>
      <c r="AA352" s="2"/>
      <c r="AB352">
        <v>14</v>
      </c>
      <c r="AC352" s="55">
        <f t="shared" si="55"/>
        <v>549.16469424000002</v>
      </c>
      <c r="AD352" s="57">
        <v>552.74712386171507</v>
      </c>
      <c r="AE352" s="55">
        <v>0</v>
      </c>
      <c r="AF352" s="55">
        <v>0</v>
      </c>
      <c r="AG352" s="52">
        <f t="shared" si="56"/>
        <v>0.1019730521414883</v>
      </c>
      <c r="AH352" s="51">
        <v>0.1013121508598025</v>
      </c>
      <c r="AI352" s="52"/>
      <c r="AJ352" s="52"/>
      <c r="AK352" s="28">
        <v>2</v>
      </c>
      <c r="AL352" s="28">
        <v>2.545454545454545</v>
      </c>
      <c r="AM352" s="28">
        <v>0.36363636363636359</v>
      </c>
      <c r="AN352" s="28">
        <v>0.54545454545454541</v>
      </c>
      <c r="AO352" s="28">
        <v>0.3666666666666667</v>
      </c>
      <c r="AP352" s="28">
        <v>0.46666666666666667</v>
      </c>
      <c r="AQ352" s="28">
        <v>6.666666666666668E-2</v>
      </c>
      <c r="AR352" s="28">
        <v>0.1</v>
      </c>
      <c r="AS352" s="25">
        <v>1.1299999999999999</v>
      </c>
      <c r="AT352" s="25">
        <v>3.44</v>
      </c>
      <c r="AU352" s="25">
        <v>2.31</v>
      </c>
      <c r="AV352" s="25">
        <v>2.6745454545454539</v>
      </c>
      <c r="AW352">
        <v>2.6745454545454548</v>
      </c>
      <c r="AX352">
        <v>5.9327418772727274</v>
      </c>
      <c r="AY352" s="75">
        <v>0.53699890088551772</v>
      </c>
      <c r="AZ352" s="75"/>
      <c r="BA352" s="75"/>
      <c r="BB352">
        <v>5.0986526070744151E-2</v>
      </c>
      <c r="BC352">
        <v>5.0656075429901228E-2</v>
      </c>
      <c r="BF352">
        <v>0.1016426015006454</v>
      </c>
      <c r="BG352">
        <v>5.0821300750322693E-2</v>
      </c>
      <c r="BH352">
        <v>0.53699890088551772</v>
      </c>
      <c r="BI352" s="79" t="s">
        <v>1264</v>
      </c>
      <c r="BJ352" s="79">
        <v>1423</v>
      </c>
      <c r="BK352" s="79">
        <v>10</v>
      </c>
      <c r="BM352" s="79" t="s">
        <v>1275</v>
      </c>
      <c r="BN352" s="79" t="s">
        <v>56</v>
      </c>
      <c r="BO352" s="79">
        <v>1</v>
      </c>
      <c r="BQ352" s="79">
        <v>2</v>
      </c>
      <c r="BR352" s="79">
        <v>0</v>
      </c>
      <c r="BS352" s="79" t="s">
        <v>464</v>
      </c>
      <c r="BT352" s="79" t="s">
        <v>464</v>
      </c>
      <c r="BU352" s="79" t="s">
        <v>1266</v>
      </c>
      <c r="BV352" s="79">
        <v>450</v>
      </c>
      <c r="BW352" s="79">
        <v>200</v>
      </c>
      <c r="BX352" s="79" t="s">
        <v>1287</v>
      </c>
      <c r="BZ352" s="81">
        <v>150</v>
      </c>
      <c r="CA352">
        <f t="shared" si="51"/>
        <v>5.0106352940962555</v>
      </c>
    </row>
    <row r="353" spans="1:79" x14ac:dyDescent="0.3">
      <c r="A353" s="2" t="s">
        <v>196</v>
      </c>
      <c r="B353" s="13" t="s">
        <v>802</v>
      </c>
      <c r="C353" s="13"/>
      <c r="D353" s="2">
        <v>2.98</v>
      </c>
      <c r="E353" s="2" t="s">
        <v>197</v>
      </c>
      <c r="F353" s="32" t="s">
        <v>583</v>
      </c>
      <c r="G353">
        <v>-1</v>
      </c>
      <c r="I353" s="2">
        <v>4</v>
      </c>
      <c r="J353" s="25">
        <v>0</v>
      </c>
      <c r="K353">
        <v>0</v>
      </c>
      <c r="L353">
        <v>0</v>
      </c>
      <c r="M353" s="2">
        <v>13.003</v>
      </c>
      <c r="N353" s="2">
        <v>5.5149999999999997</v>
      </c>
      <c r="O353" s="2">
        <v>7.7569999999999997</v>
      </c>
      <c r="P353" s="2" t="s">
        <v>1095</v>
      </c>
      <c r="Q353" s="2"/>
      <c r="R353" s="25">
        <v>0</v>
      </c>
      <c r="S353" s="25"/>
      <c r="T353" s="25"/>
      <c r="U353">
        <v>0</v>
      </c>
      <c r="X353">
        <v>0</v>
      </c>
      <c r="AA353" s="2"/>
      <c r="AB353">
        <v>14</v>
      </c>
      <c r="AC353" s="55">
        <f t="shared" si="55"/>
        <v>556.266454565</v>
      </c>
      <c r="AD353" s="57">
        <v>0</v>
      </c>
      <c r="AE353" s="55">
        <v>0</v>
      </c>
      <c r="AF353" s="55">
        <v>0</v>
      </c>
      <c r="AG353" s="52">
        <f t="shared" si="56"/>
        <v>0.10067117932500884</v>
      </c>
      <c r="AH353" s="51"/>
      <c r="AI353" s="52"/>
      <c r="AJ353" s="52"/>
      <c r="AK353" s="28">
        <v>2</v>
      </c>
      <c r="AL353" s="28">
        <v>2.545454545454545</v>
      </c>
      <c r="AM353" s="28">
        <v>0.45454545454545447</v>
      </c>
      <c r="AN353" s="28">
        <v>0.27272727272727271</v>
      </c>
      <c r="AO353" s="28">
        <v>0.37931034482758619</v>
      </c>
      <c r="AP353" s="28">
        <v>0.48275862068965519</v>
      </c>
      <c r="AQ353" s="28">
        <v>8.6206896551724144E-2</v>
      </c>
      <c r="AR353" s="28">
        <v>5.1724137931034482E-2</v>
      </c>
      <c r="AS353" s="25">
        <v>1.1000000000000001</v>
      </c>
      <c r="AT353" s="25">
        <v>3.44</v>
      </c>
      <c r="AU353" s="25">
        <v>2.34</v>
      </c>
      <c r="AV353" s="25">
        <v>2.6718181818181819</v>
      </c>
      <c r="AW353">
        <v>2.6718181818181819</v>
      </c>
      <c r="AX353">
        <v>5.9579696772727271</v>
      </c>
      <c r="AY353" s="75"/>
      <c r="AZ353" s="75"/>
      <c r="BA353" s="75"/>
      <c r="BB353">
        <v>5.0335589662504419E-2</v>
      </c>
      <c r="BF353">
        <v>0.1006711793250088</v>
      </c>
      <c r="BG353">
        <v>5.0335589662504419E-2</v>
      </c>
      <c r="BH353">
        <v>0</v>
      </c>
      <c r="BI353" s="79" t="s">
        <v>1264</v>
      </c>
      <c r="BJ353" s="79">
        <v>1423</v>
      </c>
      <c r="BK353" s="79">
        <v>10</v>
      </c>
      <c r="BM353" s="79" t="s">
        <v>1275</v>
      </c>
      <c r="BN353" s="79" t="s">
        <v>56</v>
      </c>
      <c r="BO353" s="79">
        <v>1</v>
      </c>
      <c r="BQ353" s="79">
        <v>2</v>
      </c>
      <c r="BR353" s="79">
        <v>0</v>
      </c>
      <c r="BS353" s="79" t="s">
        <v>464</v>
      </c>
      <c r="BT353" s="79" t="s">
        <v>464</v>
      </c>
      <c r="BU353" s="79" t="s">
        <v>1266</v>
      </c>
      <c r="BV353" s="79">
        <v>450</v>
      </c>
      <c r="BW353" s="79">
        <v>200</v>
      </c>
      <c r="BX353" s="79" t="s">
        <v>1287</v>
      </c>
      <c r="BZ353" s="81">
        <v>220</v>
      </c>
      <c r="CA353">
        <f t="shared" si="51"/>
        <v>5.393627546352362</v>
      </c>
    </row>
    <row r="354" spans="1:79" x14ac:dyDescent="0.3">
      <c r="A354" s="2" t="s">
        <v>46</v>
      </c>
      <c r="B354" s="13" t="s">
        <v>722</v>
      </c>
      <c r="C354" s="13"/>
      <c r="D354" s="2">
        <v>3.82</v>
      </c>
      <c r="E354" s="2" t="s">
        <v>197</v>
      </c>
      <c r="F354" s="9" t="s">
        <v>551</v>
      </c>
      <c r="G354" t="s">
        <v>629</v>
      </c>
      <c r="I354" s="2">
        <v>4</v>
      </c>
      <c r="J354" s="25">
        <v>2</v>
      </c>
      <c r="K354">
        <v>4</v>
      </c>
      <c r="L354">
        <v>0</v>
      </c>
      <c r="M354" s="2">
        <v>13.01</v>
      </c>
      <c r="N354" s="2">
        <v>5.5439999999999996</v>
      </c>
      <c r="O354" s="2">
        <v>7.81</v>
      </c>
      <c r="P354" s="2" t="s">
        <v>1095</v>
      </c>
      <c r="Q354" s="2"/>
      <c r="R354" s="25">
        <v>7.41544296</v>
      </c>
      <c r="S354" s="25">
        <v>7.4154429599999991</v>
      </c>
      <c r="T354" s="25">
        <v>7.41544296</v>
      </c>
      <c r="U354">
        <v>7.8</v>
      </c>
      <c r="V354">
        <v>13.010999999999999</v>
      </c>
      <c r="W354">
        <v>5.5460000000000003</v>
      </c>
      <c r="X354">
        <v>0</v>
      </c>
      <c r="AA354" s="2"/>
      <c r="AB354">
        <v>14</v>
      </c>
      <c r="AC354" s="55">
        <f t="shared" si="55"/>
        <v>563.31530639999994</v>
      </c>
      <c r="AD354" s="57">
        <v>288.33429290182369</v>
      </c>
      <c r="AE354" s="55">
        <v>556.51188553357167</v>
      </c>
      <c r="AF354" s="55">
        <v>0</v>
      </c>
      <c r="AG354" s="52">
        <f t="shared" si="56"/>
        <v>9.9411465237614932E-2</v>
      </c>
      <c r="AH354" s="51">
        <v>9.7109503410799117E-2</v>
      </c>
      <c r="AI354" s="52">
        <v>0.10062678166578309</v>
      </c>
      <c r="AJ354" s="52"/>
      <c r="AK354" s="28">
        <v>2</v>
      </c>
      <c r="AL354" s="28">
        <v>2.545454545454545</v>
      </c>
      <c r="AM354" s="28">
        <v>0.54545454545454541</v>
      </c>
      <c r="AN354" s="28">
        <v>0</v>
      </c>
      <c r="AO354" s="28">
        <v>0.39285714285714279</v>
      </c>
      <c r="AP354" s="28">
        <v>0.5</v>
      </c>
      <c r="AQ354" s="28">
        <v>0.1071428571428571</v>
      </c>
      <c r="AR354" s="28">
        <v>0</v>
      </c>
      <c r="AS354" s="25">
        <v>1.1000000000000001</v>
      </c>
      <c r="AT354" s="25">
        <v>3.44</v>
      </c>
      <c r="AU354" s="25">
        <v>2.34</v>
      </c>
      <c r="AV354" s="25">
        <v>2.669090909090909</v>
      </c>
      <c r="AW354">
        <v>2.669090909090909</v>
      </c>
      <c r="AX354">
        <v>5.9831974772727277</v>
      </c>
      <c r="AY354" s="75">
        <v>0.52442413903612473</v>
      </c>
      <c r="AZ354" s="75">
        <v>0.54341863036636606</v>
      </c>
      <c r="BA354" s="75"/>
      <c r="BB354">
        <v>4.9705732618807473E-2</v>
      </c>
      <c r="BC354">
        <v>4.8554751705399558E-2</v>
      </c>
      <c r="BD354">
        <v>5.0313390832891547E-2</v>
      </c>
      <c r="BF354">
        <v>9.9049250104732381E-2</v>
      </c>
      <c r="BG354">
        <v>4.952462505236619E-2</v>
      </c>
      <c r="BH354">
        <v>0.53392138470124539</v>
      </c>
      <c r="BI354" s="79" t="s">
        <v>1264</v>
      </c>
      <c r="BJ354" s="79">
        <v>1423</v>
      </c>
      <c r="BK354" s="79">
        <v>10</v>
      </c>
      <c r="BM354" s="79" t="s">
        <v>464</v>
      </c>
      <c r="BN354" s="79" t="s">
        <v>464</v>
      </c>
      <c r="BO354" s="79">
        <v>0</v>
      </c>
      <c r="BQ354" s="79">
        <v>6.67</v>
      </c>
      <c r="BR354" s="79">
        <v>0</v>
      </c>
      <c r="BS354" s="79" t="s">
        <v>464</v>
      </c>
      <c r="BT354" s="79" t="s">
        <v>464</v>
      </c>
      <c r="BU354" s="79" t="s">
        <v>1266</v>
      </c>
      <c r="BV354" s="79">
        <v>500</v>
      </c>
      <c r="BW354" s="79">
        <v>360</v>
      </c>
      <c r="BX354" s="79" t="s">
        <v>1287</v>
      </c>
      <c r="BZ354" s="81">
        <v>0</v>
      </c>
      <c r="CA354" t="e">
        <f t="shared" si="51"/>
        <v>#NUM!</v>
      </c>
    </row>
    <row r="355" spans="1:79" x14ac:dyDescent="0.3">
      <c r="A355" s="2" t="s">
        <v>193</v>
      </c>
      <c r="B355" s="13" t="s">
        <v>799</v>
      </c>
      <c r="C355" s="13"/>
      <c r="D355" s="2">
        <v>3.68</v>
      </c>
      <c r="E355" s="2" t="s">
        <v>197</v>
      </c>
      <c r="F355" s="32" t="s">
        <v>551</v>
      </c>
      <c r="G355" s="1" t="s">
        <v>629</v>
      </c>
      <c r="I355" s="2">
        <v>4</v>
      </c>
      <c r="J355" s="25">
        <v>0</v>
      </c>
      <c r="K355">
        <v>0</v>
      </c>
      <c r="L355">
        <v>0</v>
      </c>
      <c r="M355" s="2">
        <v>13.02</v>
      </c>
      <c r="N355" s="2">
        <v>5.5119999999999996</v>
      </c>
      <c r="O355" s="2">
        <v>7.7450000000000001</v>
      </c>
      <c r="P355" s="2" t="s">
        <v>1095</v>
      </c>
      <c r="Q355" s="2"/>
      <c r="R355" s="25">
        <v>0</v>
      </c>
      <c r="S355" s="25"/>
      <c r="T355" s="25"/>
      <c r="U355">
        <v>0</v>
      </c>
      <c r="X355">
        <v>0</v>
      </c>
      <c r="AA355" s="2"/>
      <c r="AB355">
        <v>14</v>
      </c>
      <c r="AC355" s="55">
        <f t="shared" si="55"/>
        <v>555.82952879999993</v>
      </c>
      <c r="AD355" s="57">
        <v>0</v>
      </c>
      <c r="AE355" s="55">
        <v>0</v>
      </c>
      <c r="AF355" s="55">
        <v>0</v>
      </c>
      <c r="AG355" s="52">
        <f t="shared" si="56"/>
        <v>0.10075031479687735</v>
      </c>
      <c r="AH355" s="51"/>
      <c r="AI355" s="52"/>
      <c r="AJ355" s="52"/>
      <c r="AK355" s="28">
        <v>2</v>
      </c>
      <c r="AL355" s="28">
        <v>2.545454545454545</v>
      </c>
      <c r="AM355" s="28">
        <v>0.45454545454545447</v>
      </c>
      <c r="AN355" s="28">
        <v>0.36363636363636359</v>
      </c>
      <c r="AO355" s="28">
        <v>0.3728813559322034</v>
      </c>
      <c r="AP355" s="28">
        <v>0.47457627118644069</v>
      </c>
      <c r="AQ355" s="28">
        <v>8.4745762711864403E-2</v>
      </c>
      <c r="AR355" s="28">
        <v>6.7796610169491525E-2</v>
      </c>
      <c r="AS355" s="25">
        <v>1.1000000000000001</v>
      </c>
      <c r="AT355" s="25">
        <v>3.44</v>
      </c>
      <c r="AU355" s="25">
        <v>2.34</v>
      </c>
      <c r="AV355" s="25">
        <v>2.672727272727272</v>
      </c>
      <c r="AW355">
        <v>2.6727272727272728</v>
      </c>
      <c r="AX355">
        <v>5.9599268909090908</v>
      </c>
      <c r="AY355" s="75"/>
      <c r="AZ355" s="75"/>
      <c r="BA355" s="75"/>
      <c r="BB355">
        <v>5.0375157398438668E-2</v>
      </c>
      <c r="BF355">
        <v>0.10075031479687729</v>
      </c>
      <c r="BG355">
        <v>5.0375157398438668E-2</v>
      </c>
      <c r="BH355">
        <v>0</v>
      </c>
      <c r="BI355" s="79" t="s">
        <v>1264</v>
      </c>
      <c r="BJ355" s="79">
        <v>1423</v>
      </c>
      <c r="BK355" s="79">
        <v>10</v>
      </c>
      <c r="BM355" s="79" t="s">
        <v>464</v>
      </c>
      <c r="BN355" s="79" t="s">
        <v>464</v>
      </c>
      <c r="BO355" s="79">
        <v>0</v>
      </c>
      <c r="BQ355" s="79">
        <v>6.67</v>
      </c>
      <c r="BR355" s="79">
        <v>0</v>
      </c>
      <c r="BS355" s="79" t="s">
        <v>464</v>
      </c>
      <c r="BT355" s="79" t="s">
        <v>464</v>
      </c>
      <c r="BU355" s="79" t="s">
        <v>1266</v>
      </c>
      <c r="BV355" s="79">
        <v>500</v>
      </c>
      <c r="BW355" s="79">
        <v>360</v>
      </c>
      <c r="BX355" s="79" t="s">
        <v>1287</v>
      </c>
      <c r="BZ355" s="81">
        <v>0</v>
      </c>
      <c r="CA355" t="e">
        <f t="shared" si="51"/>
        <v>#NUM!</v>
      </c>
    </row>
    <row r="356" spans="1:79" x14ac:dyDescent="0.3">
      <c r="A356" s="2" t="s">
        <v>194</v>
      </c>
      <c r="B356" s="13" t="s">
        <v>800</v>
      </c>
      <c r="C356" s="13"/>
      <c r="D356" s="2">
        <v>3.65</v>
      </c>
      <c r="E356" s="2" t="s">
        <v>197</v>
      </c>
      <c r="F356" s="9" t="s">
        <v>582</v>
      </c>
      <c r="G356" t="s">
        <v>657</v>
      </c>
      <c r="I356" s="2">
        <v>4</v>
      </c>
      <c r="J356" s="25">
        <v>2</v>
      </c>
      <c r="K356">
        <v>8</v>
      </c>
      <c r="L356">
        <v>0</v>
      </c>
      <c r="M356" s="2">
        <v>13.02</v>
      </c>
      <c r="N356" s="2">
        <v>5.48</v>
      </c>
      <c r="O356" s="2">
        <v>7.68</v>
      </c>
      <c r="P356" s="2" t="s">
        <v>1095</v>
      </c>
      <c r="Q356" s="2"/>
      <c r="R356" s="25">
        <v>7.2854997800000012</v>
      </c>
      <c r="S356" s="25">
        <v>7.2855000099999998</v>
      </c>
      <c r="T356" s="25">
        <v>7.28550129</v>
      </c>
      <c r="U356">
        <v>7.6769999999999996</v>
      </c>
      <c r="V356">
        <v>5.4560000000000004</v>
      </c>
      <c r="W356">
        <v>26.012989999999999</v>
      </c>
      <c r="X356">
        <v>0</v>
      </c>
      <c r="AA356" s="2"/>
      <c r="AB356">
        <v>14</v>
      </c>
      <c r="AC356" s="55">
        <f t="shared" si="55"/>
        <v>547.9649280000001</v>
      </c>
      <c r="AD356" s="57">
        <v>273.44070809730869</v>
      </c>
      <c r="AE356" s="55">
        <v>1077.884035254056</v>
      </c>
      <c r="AF356" s="55">
        <v>0</v>
      </c>
      <c r="AG356" s="52">
        <f t="shared" si="56"/>
        <v>0.10219632158647933</v>
      </c>
      <c r="AH356" s="51">
        <v>0.1023987986091511</v>
      </c>
      <c r="AI356" s="52">
        <v>0.1039072816155049</v>
      </c>
      <c r="AJ356" s="52"/>
      <c r="AK356" s="28">
        <v>2</v>
      </c>
      <c r="AL356" s="28">
        <v>2.545454545454545</v>
      </c>
      <c r="AM356" s="28">
        <v>0.36363636363636359</v>
      </c>
      <c r="AN356" s="28">
        <v>0.72727272727272729</v>
      </c>
      <c r="AO356" s="28">
        <v>0.35483870967741932</v>
      </c>
      <c r="AP356" s="28">
        <v>0.45161290322580638</v>
      </c>
      <c r="AQ356" s="28">
        <v>6.4516129032258063E-2</v>
      </c>
      <c r="AR356" s="28">
        <v>0.1290322580645161</v>
      </c>
      <c r="AS356" s="25">
        <v>1.1399999999999999</v>
      </c>
      <c r="AT356" s="25">
        <v>3.44</v>
      </c>
      <c r="AU356" s="25">
        <v>2.2999999999999998</v>
      </c>
      <c r="AV356" s="25">
        <v>2.6763636363636358</v>
      </c>
      <c r="AW356">
        <v>2.6763636363636358</v>
      </c>
      <c r="AX356">
        <v>5.9366563045454548</v>
      </c>
      <c r="AY356" s="75">
        <v>0.5411256777060568</v>
      </c>
      <c r="AZ356" s="75">
        <v>0.54909724475770694</v>
      </c>
      <c r="BA356" s="75"/>
      <c r="BB356">
        <v>5.1098160793239672E-2</v>
      </c>
      <c r="BC356">
        <v>5.119939930457558E-2</v>
      </c>
      <c r="BD356">
        <v>5.1953640807752437E-2</v>
      </c>
      <c r="BF356">
        <v>0.1028341339370451</v>
      </c>
      <c r="BG356">
        <v>5.1417066968522558E-2</v>
      </c>
      <c r="BH356">
        <v>0.54511146123188192</v>
      </c>
      <c r="BI356" s="79" t="s">
        <v>1264</v>
      </c>
      <c r="BJ356" s="79">
        <v>1423</v>
      </c>
      <c r="BK356" s="79">
        <v>10</v>
      </c>
      <c r="BM356" s="79" t="s">
        <v>464</v>
      </c>
      <c r="BN356" s="79" t="s">
        <v>464</v>
      </c>
      <c r="BO356" s="79">
        <v>0</v>
      </c>
      <c r="BQ356" s="79">
        <v>6.67</v>
      </c>
      <c r="BR356" s="79">
        <v>0</v>
      </c>
      <c r="BS356" s="79" t="s">
        <v>464</v>
      </c>
      <c r="BT356" s="79" t="s">
        <v>464</v>
      </c>
      <c r="BU356" s="79" t="s">
        <v>1266</v>
      </c>
      <c r="BV356" s="79">
        <v>500</v>
      </c>
      <c r="BW356" s="79">
        <v>360</v>
      </c>
      <c r="BX356" s="79" t="s">
        <v>1287</v>
      </c>
      <c r="BZ356" s="81">
        <v>0</v>
      </c>
      <c r="CA356" t="e">
        <f t="shared" si="51"/>
        <v>#NUM!</v>
      </c>
    </row>
    <row r="357" spans="1:79" x14ac:dyDescent="0.3">
      <c r="A357" s="2" t="s">
        <v>195</v>
      </c>
      <c r="B357" s="13" t="s">
        <v>801</v>
      </c>
      <c r="C357" s="13"/>
      <c r="D357" s="2">
        <v>2.99</v>
      </c>
      <c r="E357" s="2" t="s">
        <v>197</v>
      </c>
      <c r="F357" s="9" t="s">
        <v>583</v>
      </c>
      <c r="G357">
        <v>-1</v>
      </c>
      <c r="I357" s="2">
        <v>4</v>
      </c>
      <c r="J357" s="25">
        <v>4</v>
      </c>
      <c r="K357">
        <v>0</v>
      </c>
      <c r="L357">
        <v>0</v>
      </c>
      <c r="M357" s="2">
        <v>12.996</v>
      </c>
      <c r="N357" s="2">
        <v>5.4850000000000003</v>
      </c>
      <c r="O357" s="2">
        <v>7.7039999999999997</v>
      </c>
      <c r="P357" s="2" t="s">
        <v>1095</v>
      </c>
      <c r="Q357" s="2"/>
      <c r="R357" s="25">
        <v>5.5191434299999997</v>
      </c>
      <c r="S357" s="25">
        <v>7.7203982699999987</v>
      </c>
      <c r="T357" s="25">
        <v>13.117043880000001</v>
      </c>
      <c r="U357">
        <v>0</v>
      </c>
      <c r="X357">
        <v>0</v>
      </c>
      <c r="AA357" s="2"/>
      <c r="AB357">
        <v>14</v>
      </c>
      <c r="AC357" s="55">
        <f t="shared" si="55"/>
        <v>549.16469424000002</v>
      </c>
      <c r="AD357" s="57">
        <v>552.74712386171507</v>
      </c>
      <c r="AE357" s="55">
        <v>0</v>
      </c>
      <c r="AF357" s="55">
        <v>0</v>
      </c>
      <c r="AG357" s="52">
        <f t="shared" si="56"/>
        <v>0.1019730521414883</v>
      </c>
      <c r="AH357" s="51">
        <v>0.1013121508598025</v>
      </c>
      <c r="AI357" s="52"/>
      <c r="AJ357" s="52"/>
      <c r="AK357" s="28">
        <v>2</v>
      </c>
      <c r="AL357" s="28">
        <v>2.545454545454545</v>
      </c>
      <c r="AM357" s="28">
        <v>0.36363636363636359</v>
      </c>
      <c r="AN357" s="28">
        <v>0.54545454545454541</v>
      </c>
      <c r="AO357" s="28">
        <v>0.3666666666666667</v>
      </c>
      <c r="AP357" s="28">
        <v>0.46666666666666667</v>
      </c>
      <c r="AQ357" s="28">
        <v>6.666666666666668E-2</v>
      </c>
      <c r="AR357" s="28">
        <v>0.1</v>
      </c>
      <c r="AS357" s="25">
        <v>1.1299999999999999</v>
      </c>
      <c r="AT357" s="25">
        <v>3.44</v>
      </c>
      <c r="AU357" s="25">
        <v>2.31</v>
      </c>
      <c r="AV357" s="25">
        <v>2.6745454545454539</v>
      </c>
      <c r="AW357">
        <v>2.6745454545454548</v>
      </c>
      <c r="AX357">
        <v>5.9327418772727274</v>
      </c>
      <c r="AY357" s="75">
        <v>0.53699890088551772</v>
      </c>
      <c r="AZ357" s="75"/>
      <c r="BA357" s="75"/>
      <c r="BB357">
        <v>5.0986526070744151E-2</v>
      </c>
      <c r="BC357">
        <v>5.0656075429901228E-2</v>
      </c>
      <c r="BF357">
        <v>0.1016426015006454</v>
      </c>
      <c r="BG357">
        <v>5.0821300750322693E-2</v>
      </c>
      <c r="BH357">
        <v>0.53699890088551772</v>
      </c>
      <c r="BI357" s="79" t="s">
        <v>1264</v>
      </c>
      <c r="BJ357" s="79">
        <v>1423</v>
      </c>
      <c r="BK357" s="79">
        <v>10</v>
      </c>
      <c r="BM357" s="79" t="s">
        <v>464</v>
      </c>
      <c r="BN357" s="79" t="s">
        <v>464</v>
      </c>
      <c r="BO357" s="79">
        <v>0</v>
      </c>
      <c r="BQ357" s="79">
        <v>6.67</v>
      </c>
      <c r="BR357" s="79">
        <v>0</v>
      </c>
      <c r="BS357" s="79" t="s">
        <v>464</v>
      </c>
      <c r="BT357" s="79" t="s">
        <v>464</v>
      </c>
      <c r="BU357" s="79" t="s">
        <v>1266</v>
      </c>
      <c r="BV357" s="79">
        <v>500</v>
      </c>
      <c r="BW357" s="79">
        <v>360</v>
      </c>
      <c r="BX357" s="79" t="s">
        <v>1287</v>
      </c>
      <c r="BZ357" s="81">
        <v>0</v>
      </c>
      <c r="CA357" t="e">
        <f t="shared" si="51"/>
        <v>#NUM!</v>
      </c>
    </row>
    <row r="358" spans="1:79" x14ac:dyDescent="0.3">
      <c r="A358" s="2" t="s">
        <v>196</v>
      </c>
      <c r="B358" s="13" t="s">
        <v>802</v>
      </c>
      <c r="C358" s="13"/>
      <c r="D358" s="2">
        <v>2.98</v>
      </c>
      <c r="E358" s="2" t="s">
        <v>197</v>
      </c>
      <c r="F358" s="32" t="s">
        <v>583</v>
      </c>
      <c r="G358">
        <v>-1</v>
      </c>
      <c r="I358" s="2">
        <v>4</v>
      </c>
      <c r="J358" s="25">
        <v>0</v>
      </c>
      <c r="K358">
        <v>0</v>
      </c>
      <c r="L358">
        <v>0</v>
      </c>
      <c r="M358" s="2">
        <v>13.003</v>
      </c>
      <c r="N358" s="2">
        <v>5.5149999999999997</v>
      </c>
      <c r="O358" s="2">
        <v>7.7569999999999997</v>
      </c>
      <c r="P358" s="2" t="s">
        <v>1095</v>
      </c>
      <c r="Q358" s="2"/>
      <c r="R358" s="25">
        <v>0</v>
      </c>
      <c r="S358" s="25"/>
      <c r="T358" s="25"/>
      <c r="U358">
        <v>0</v>
      </c>
      <c r="X358">
        <v>0</v>
      </c>
      <c r="AA358" s="2"/>
      <c r="AB358">
        <v>14</v>
      </c>
      <c r="AC358" s="55">
        <f t="shared" si="55"/>
        <v>556.266454565</v>
      </c>
      <c r="AD358" s="57">
        <v>0</v>
      </c>
      <c r="AE358" s="55">
        <v>0</v>
      </c>
      <c r="AF358" s="55">
        <v>0</v>
      </c>
      <c r="AG358" s="52">
        <f t="shared" si="56"/>
        <v>0.10067117932500884</v>
      </c>
      <c r="AH358" s="51"/>
      <c r="AI358" s="52"/>
      <c r="AJ358" s="52"/>
      <c r="AK358" s="28">
        <v>2</v>
      </c>
      <c r="AL358" s="28">
        <v>2.545454545454545</v>
      </c>
      <c r="AM358" s="28">
        <v>0.45454545454545447</v>
      </c>
      <c r="AN358" s="28">
        <v>0.27272727272727271</v>
      </c>
      <c r="AO358" s="28">
        <v>0.37931034482758619</v>
      </c>
      <c r="AP358" s="28">
        <v>0.48275862068965519</v>
      </c>
      <c r="AQ358" s="28">
        <v>8.6206896551724144E-2</v>
      </c>
      <c r="AR358" s="28">
        <v>5.1724137931034482E-2</v>
      </c>
      <c r="AS358" s="25">
        <v>1.1000000000000001</v>
      </c>
      <c r="AT358" s="25">
        <v>3.44</v>
      </c>
      <c r="AU358" s="25">
        <v>2.34</v>
      </c>
      <c r="AV358" s="25">
        <v>2.6718181818181819</v>
      </c>
      <c r="AW358">
        <v>2.6718181818181819</v>
      </c>
      <c r="AX358">
        <v>5.9579696772727271</v>
      </c>
      <c r="AY358" s="75"/>
      <c r="AZ358" s="75"/>
      <c r="BA358" s="75"/>
      <c r="BB358">
        <v>5.0335589662504419E-2</v>
      </c>
      <c r="BF358">
        <v>0.1006711793250088</v>
      </c>
      <c r="BG358">
        <v>5.0335589662504419E-2</v>
      </c>
      <c r="BH358">
        <v>0</v>
      </c>
      <c r="BI358" s="79" t="s">
        <v>1264</v>
      </c>
      <c r="BJ358" s="79">
        <v>1423</v>
      </c>
      <c r="BK358" s="79">
        <v>10</v>
      </c>
      <c r="BM358" s="79" t="s">
        <v>464</v>
      </c>
      <c r="BN358" s="79" t="s">
        <v>464</v>
      </c>
      <c r="BO358" s="79">
        <v>0</v>
      </c>
      <c r="BQ358" s="79">
        <v>6.67</v>
      </c>
      <c r="BR358" s="79">
        <v>0</v>
      </c>
      <c r="BS358" s="79" t="s">
        <v>464</v>
      </c>
      <c r="BT358" s="79" t="s">
        <v>464</v>
      </c>
      <c r="BU358" s="79" t="s">
        <v>1266</v>
      </c>
      <c r="BV358" s="79">
        <v>500</v>
      </c>
      <c r="BW358" s="79">
        <v>360</v>
      </c>
      <c r="BX358" s="79" t="s">
        <v>1287</v>
      </c>
      <c r="BZ358" s="81">
        <v>0</v>
      </c>
      <c r="CA358" t="e">
        <f t="shared" si="51"/>
        <v>#NUM!</v>
      </c>
    </row>
    <row r="359" spans="1:79" x14ac:dyDescent="0.3">
      <c r="A359" s="2" t="s">
        <v>46</v>
      </c>
      <c r="B359" s="13" t="s">
        <v>722</v>
      </c>
      <c r="C359" s="13"/>
      <c r="D359" s="2">
        <v>3.82</v>
      </c>
      <c r="E359" s="2" t="s">
        <v>197</v>
      </c>
      <c r="F359" s="9" t="s">
        <v>551</v>
      </c>
      <c r="G359" t="s">
        <v>629</v>
      </c>
      <c r="I359" s="2">
        <v>4</v>
      </c>
      <c r="J359" s="25">
        <v>2</v>
      </c>
      <c r="K359">
        <v>4</v>
      </c>
      <c r="L359">
        <v>0</v>
      </c>
      <c r="M359" s="2">
        <v>13.01</v>
      </c>
      <c r="N359" s="2">
        <v>5.5439999999999996</v>
      </c>
      <c r="O359" s="2">
        <v>7.81</v>
      </c>
      <c r="P359" s="2" t="s">
        <v>1095</v>
      </c>
      <c r="Q359" s="2"/>
      <c r="R359" s="25">
        <v>7.41544296</v>
      </c>
      <c r="S359" s="25">
        <v>7.4154429599999991</v>
      </c>
      <c r="T359" s="25">
        <v>7.41544296</v>
      </c>
      <c r="U359">
        <v>7.8</v>
      </c>
      <c r="V359">
        <v>13.010999999999999</v>
      </c>
      <c r="W359">
        <v>5.5460000000000003</v>
      </c>
      <c r="X359">
        <v>0</v>
      </c>
      <c r="AA359" s="2"/>
      <c r="AB359">
        <v>14</v>
      </c>
      <c r="AC359" s="55">
        <f t="shared" ref="AC359:AC368" si="57">M359*N359*O359</f>
        <v>563.31530639999994</v>
      </c>
      <c r="AD359" s="57">
        <v>288.33429290182369</v>
      </c>
      <c r="AE359" s="55">
        <v>556.51188553357167</v>
      </c>
      <c r="AF359" s="55">
        <v>0</v>
      </c>
      <c r="AG359" s="52">
        <f t="shared" ref="AG359:AG368" si="58">I359*AB359/AC359</f>
        <v>9.9411465237614932E-2</v>
      </c>
      <c r="AH359" s="51">
        <v>9.7109503410799117E-2</v>
      </c>
      <c r="AI359" s="52">
        <v>0.10062678166578309</v>
      </c>
      <c r="AJ359" s="52"/>
      <c r="AK359" s="28">
        <v>2</v>
      </c>
      <c r="AL359" s="28">
        <v>2.545454545454545</v>
      </c>
      <c r="AM359" s="28">
        <v>0.54545454545454541</v>
      </c>
      <c r="AN359" s="28">
        <v>0</v>
      </c>
      <c r="AO359" s="28">
        <v>0.39285714285714279</v>
      </c>
      <c r="AP359" s="28">
        <v>0.5</v>
      </c>
      <c r="AQ359" s="28">
        <v>0.1071428571428571</v>
      </c>
      <c r="AR359" s="28">
        <v>0</v>
      </c>
      <c r="AS359" s="25">
        <v>1.1000000000000001</v>
      </c>
      <c r="AT359" s="25">
        <v>3.44</v>
      </c>
      <c r="AU359" s="25">
        <v>2.34</v>
      </c>
      <c r="AV359" s="25">
        <v>2.669090909090909</v>
      </c>
      <c r="AW359">
        <v>2.669090909090909</v>
      </c>
      <c r="AX359">
        <v>5.9831974772727277</v>
      </c>
      <c r="AY359" s="75">
        <v>0.52442413903612473</v>
      </c>
      <c r="AZ359" s="75">
        <v>0.54341863036636606</v>
      </c>
      <c r="BA359" s="75"/>
      <c r="BB359">
        <v>4.9705732618807473E-2</v>
      </c>
      <c r="BC359">
        <v>4.8554751705399558E-2</v>
      </c>
      <c r="BD359">
        <v>5.0313390832891547E-2</v>
      </c>
      <c r="BF359">
        <v>9.9049250104732381E-2</v>
      </c>
      <c r="BG359">
        <v>4.952462505236619E-2</v>
      </c>
      <c r="BH359">
        <v>0.53392138470124539</v>
      </c>
      <c r="BI359" s="79" t="s">
        <v>1264</v>
      </c>
      <c r="BJ359" s="79">
        <v>1423</v>
      </c>
      <c r="BK359" s="79">
        <v>10</v>
      </c>
      <c r="BM359" s="79" t="s">
        <v>1275</v>
      </c>
      <c r="BN359" s="79" t="s">
        <v>56</v>
      </c>
      <c r="BO359" s="79">
        <v>1</v>
      </c>
      <c r="BQ359" s="79">
        <v>6.67</v>
      </c>
      <c r="BR359" s="79">
        <v>0</v>
      </c>
      <c r="BS359" s="79" t="s">
        <v>464</v>
      </c>
      <c r="BT359" s="79" t="s">
        <v>464</v>
      </c>
      <c r="BU359" s="79" t="s">
        <v>1266</v>
      </c>
      <c r="BV359" s="79">
        <v>500</v>
      </c>
      <c r="BW359" s="79">
        <v>360</v>
      </c>
      <c r="BX359" s="79" t="s">
        <v>1287</v>
      </c>
      <c r="BZ359" s="81">
        <v>0</v>
      </c>
      <c r="CA359" t="e">
        <f t="shared" si="51"/>
        <v>#NUM!</v>
      </c>
    </row>
    <row r="360" spans="1:79" x14ac:dyDescent="0.3">
      <c r="A360" s="2" t="s">
        <v>193</v>
      </c>
      <c r="B360" s="13" t="s">
        <v>799</v>
      </c>
      <c r="C360" s="13"/>
      <c r="D360" s="2">
        <v>3.68</v>
      </c>
      <c r="E360" s="2" t="s">
        <v>197</v>
      </c>
      <c r="F360" s="32" t="s">
        <v>551</v>
      </c>
      <c r="G360" s="1" t="s">
        <v>629</v>
      </c>
      <c r="I360" s="2">
        <v>4</v>
      </c>
      <c r="J360" s="25">
        <v>0</v>
      </c>
      <c r="K360">
        <v>0</v>
      </c>
      <c r="L360">
        <v>0</v>
      </c>
      <c r="M360" s="2">
        <v>13.02</v>
      </c>
      <c r="N360" s="2">
        <v>5.5119999999999996</v>
      </c>
      <c r="O360" s="2">
        <v>7.7450000000000001</v>
      </c>
      <c r="P360" s="2" t="s">
        <v>1095</v>
      </c>
      <c r="Q360" s="2"/>
      <c r="R360" s="25">
        <v>0</v>
      </c>
      <c r="S360" s="25"/>
      <c r="T360" s="25"/>
      <c r="U360">
        <v>0</v>
      </c>
      <c r="X360">
        <v>0</v>
      </c>
      <c r="AA360" s="2"/>
      <c r="AB360">
        <v>14</v>
      </c>
      <c r="AC360" s="55">
        <f t="shared" si="57"/>
        <v>555.82952879999993</v>
      </c>
      <c r="AD360" s="57">
        <v>0</v>
      </c>
      <c r="AE360" s="55">
        <v>0</v>
      </c>
      <c r="AF360" s="55">
        <v>0</v>
      </c>
      <c r="AG360" s="52">
        <f t="shared" si="58"/>
        <v>0.10075031479687735</v>
      </c>
      <c r="AH360" s="51"/>
      <c r="AI360" s="52"/>
      <c r="AJ360" s="52"/>
      <c r="AK360" s="28">
        <v>2</v>
      </c>
      <c r="AL360" s="28">
        <v>2.545454545454545</v>
      </c>
      <c r="AM360" s="28">
        <v>0.45454545454545447</v>
      </c>
      <c r="AN360" s="28">
        <v>0.36363636363636359</v>
      </c>
      <c r="AO360" s="28">
        <v>0.3728813559322034</v>
      </c>
      <c r="AP360" s="28">
        <v>0.47457627118644069</v>
      </c>
      <c r="AQ360" s="28">
        <v>8.4745762711864403E-2</v>
      </c>
      <c r="AR360" s="28">
        <v>6.7796610169491525E-2</v>
      </c>
      <c r="AS360" s="25">
        <v>1.1000000000000001</v>
      </c>
      <c r="AT360" s="25">
        <v>3.44</v>
      </c>
      <c r="AU360" s="25">
        <v>2.34</v>
      </c>
      <c r="AV360" s="25">
        <v>2.672727272727272</v>
      </c>
      <c r="AW360">
        <v>2.6727272727272728</v>
      </c>
      <c r="AX360">
        <v>5.9599268909090908</v>
      </c>
      <c r="AY360" s="75"/>
      <c r="AZ360" s="75"/>
      <c r="BA360" s="75"/>
      <c r="BB360">
        <v>5.0375157398438668E-2</v>
      </c>
      <c r="BF360">
        <v>0.10075031479687729</v>
      </c>
      <c r="BG360">
        <v>5.0375157398438668E-2</v>
      </c>
      <c r="BH360">
        <v>0</v>
      </c>
      <c r="BI360" s="79" t="s">
        <v>1264</v>
      </c>
      <c r="BJ360" s="79">
        <v>1423</v>
      </c>
      <c r="BK360" s="79">
        <v>10</v>
      </c>
      <c r="BM360" s="79" t="s">
        <v>1275</v>
      </c>
      <c r="BN360" s="79" t="s">
        <v>56</v>
      </c>
      <c r="BO360" s="79">
        <v>1</v>
      </c>
      <c r="BQ360" s="79">
        <v>6.67</v>
      </c>
      <c r="BR360" s="79">
        <v>0</v>
      </c>
      <c r="BS360" s="79" t="s">
        <v>464</v>
      </c>
      <c r="BT360" s="79" t="s">
        <v>464</v>
      </c>
      <c r="BU360" s="79" t="s">
        <v>1266</v>
      </c>
      <c r="BV360" s="79">
        <v>500</v>
      </c>
      <c r="BW360" s="79">
        <v>360</v>
      </c>
      <c r="BX360" s="79" t="s">
        <v>1287</v>
      </c>
      <c r="BZ360" s="81">
        <v>0</v>
      </c>
      <c r="CA360" t="e">
        <f t="shared" si="51"/>
        <v>#NUM!</v>
      </c>
    </row>
    <row r="361" spans="1:79" x14ac:dyDescent="0.3">
      <c r="A361" s="2" t="s">
        <v>194</v>
      </c>
      <c r="B361" s="13" t="s">
        <v>800</v>
      </c>
      <c r="C361" s="13"/>
      <c r="D361" s="2">
        <v>3.65</v>
      </c>
      <c r="E361" s="2" t="s">
        <v>197</v>
      </c>
      <c r="F361" s="9" t="s">
        <v>582</v>
      </c>
      <c r="G361" t="s">
        <v>657</v>
      </c>
      <c r="I361" s="2">
        <v>4</v>
      </c>
      <c r="J361" s="25">
        <v>2</v>
      </c>
      <c r="K361">
        <v>8</v>
      </c>
      <c r="L361">
        <v>0</v>
      </c>
      <c r="M361" s="2">
        <v>13.02</v>
      </c>
      <c r="N361" s="2">
        <v>5.48</v>
      </c>
      <c r="O361" s="2">
        <v>7.68</v>
      </c>
      <c r="P361" s="2" t="s">
        <v>1095</v>
      </c>
      <c r="Q361" s="2"/>
      <c r="R361" s="25">
        <v>7.2854997800000012</v>
      </c>
      <c r="S361" s="25">
        <v>7.2855000099999998</v>
      </c>
      <c r="T361" s="25">
        <v>7.28550129</v>
      </c>
      <c r="U361">
        <v>7.6769999999999996</v>
      </c>
      <c r="V361">
        <v>5.4560000000000004</v>
      </c>
      <c r="W361">
        <v>26.012989999999999</v>
      </c>
      <c r="X361">
        <v>0</v>
      </c>
      <c r="AA361" s="2"/>
      <c r="AB361">
        <v>14</v>
      </c>
      <c r="AC361" s="55">
        <f t="shared" si="57"/>
        <v>547.9649280000001</v>
      </c>
      <c r="AD361" s="57">
        <v>273.44070809730869</v>
      </c>
      <c r="AE361" s="55">
        <v>1077.884035254056</v>
      </c>
      <c r="AF361" s="55">
        <v>0</v>
      </c>
      <c r="AG361" s="52">
        <f t="shared" si="58"/>
        <v>0.10219632158647933</v>
      </c>
      <c r="AH361" s="51">
        <v>0.1023987986091511</v>
      </c>
      <c r="AI361" s="52">
        <v>0.1039072816155049</v>
      </c>
      <c r="AJ361" s="52"/>
      <c r="AK361" s="28">
        <v>2</v>
      </c>
      <c r="AL361" s="28">
        <v>2.545454545454545</v>
      </c>
      <c r="AM361" s="28">
        <v>0.36363636363636359</v>
      </c>
      <c r="AN361" s="28">
        <v>0.72727272727272729</v>
      </c>
      <c r="AO361" s="28">
        <v>0.35483870967741932</v>
      </c>
      <c r="AP361" s="28">
        <v>0.45161290322580638</v>
      </c>
      <c r="AQ361" s="28">
        <v>6.4516129032258063E-2</v>
      </c>
      <c r="AR361" s="28">
        <v>0.1290322580645161</v>
      </c>
      <c r="AS361" s="25">
        <v>1.1399999999999999</v>
      </c>
      <c r="AT361" s="25">
        <v>3.44</v>
      </c>
      <c r="AU361" s="25">
        <v>2.2999999999999998</v>
      </c>
      <c r="AV361" s="25">
        <v>2.6763636363636358</v>
      </c>
      <c r="AW361">
        <v>2.6763636363636358</v>
      </c>
      <c r="AX361">
        <v>5.9366563045454548</v>
      </c>
      <c r="AY361" s="75">
        <v>0.5411256777060568</v>
      </c>
      <c r="AZ361" s="75">
        <v>0.54909724475770694</v>
      </c>
      <c r="BA361" s="75"/>
      <c r="BB361">
        <v>5.1098160793239672E-2</v>
      </c>
      <c r="BC361">
        <v>5.119939930457558E-2</v>
      </c>
      <c r="BD361">
        <v>5.1953640807752437E-2</v>
      </c>
      <c r="BF361">
        <v>0.1028341339370451</v>
      </c>
      <c r="BG361">
        <v>5.1417066968522558E-2</v>
      </c>
      <c r="BH361">
        <v>0.54511146123188192</v>
      </c>
      <c r="BI361" s="79" t="s">
        <v>1264</v>
      </c>
      <c r="BJ361" s="79">
        <v>1423</v>
      </c>
      <c r="BK361" s="79">
        <v>10</v>
      </c>
      <c r="BM361" s="79" t="s">
        <v>1275</v>
      </c>
      <c r="BN361" s="79" t="s">
        <v>56</v>
      </c>
      <c r="BO361" s="79">
        <v>1</v>
      </c>
      <c r="BQ361" s="79">
        <v>6.67</v>
      </c>
      <c r="BR361" s="79">
        <v>0</v>
      </c>
      <c r="BS361" s="79" t="s">
        <v>464</v>
      </c>
      <c r="BT361" s="79" t="s">
        <v>464</v>
      </c>
      <c r="BU361" s="79" t="s">
        <v>1266</v>
      </c>
      <c r="BV361" s="79">
        <v>500</v>
      </c>
      <c r="BW361" s="79">
        <v>360</v>
      </c>
      <c r="BX361" s="79" t="s">
        <v>1287</v>
      </c>
      <c r="BZ361" s="81">
        <v>0</v>
      </c>
      <c r="CA361" t="e">
        <f t="shared" si="51"/>
        <v>#NUM!</v>
      </c>
    </row>
    <row r="362" spans="1:79" x14ac:dyDescent="0.3">
      <c r="A362" s="2" t="s">
        <v>195</v>
      </c>
      <c r="B362" s="13" t="s">
        <v>801</v>
      </c>
      <c r="C362" s="13"/>
      <c r="D362" s="2">
        <v>2.99</v>
      </c>
      <c r="E362" s="2" t="s">
        <v>197</v>
      </c>
      <c r="F362" s="9" t="s">
        <v>583</v>
      </c>
      <c r="G362">
        <v>-1</v>
      </c>
      <c r="I362" s="2">
        <v>4</v>
      </c>
      <c r="J362" s="25">
        <v>4</v>
      </c>
      <c r="K362">
        <v>0</v>
      </c>
      <c r="L362">
        <v>0</v>
      </c>
      <c r="M362" s="2">
        <v>12.996</v>
      </c>
      <c r="N362" s="2">
        <v>5.4850000000000003</v>
      </c>
      <c r="O362" s="2">
        <v>7.7039999999999997</v>
      </c>
      <c r="P362" s="2" t="s">
        <v>1095</v>
      </c>
      <c r="Q362" s="2"/>
      <c r="R362" s="25">
        <v>5.5191434299999997</v>
      </c>
      <c r="S362" s="25">
        <v>7.7203982699999987</v>
      </c>
      <c r="T362" s="25">
        <v>13.117043880000001</v>
      </c>
      <c r="U362">
        <v>0</v>
      </c>
      <c r="X362">
        <v>0</v>
      </c>
      <c r="AA362" s="2"/>
      <c r="AB362">
        <v>14</v>
      </c>
      <c r="AC362" s="55">
        <f t="shared" si="57"/>
        <v>549.16469424000002</v>
      </c>
      <c r="AD362" s="57">
        <v>552.74712386171507</v>
      </c>
      <c r="AE362" s="55">
        <v>0</v>
      </c>
      <c r="AF362" s="55">
        <v>0</v>
      </c>
      <c r="AG362" s="52">
        <f t="shared" si="58"/>
        <v>0.1019730521414883</v>
      </c>
      <c r="AH362" s="51">
        <v>0.1013121508598025</v>
      </c>
      <c r="AI362" s="52"/>
      <c r="AJ362" s="52"/>
      <c r="AK362" s="28">
        <v>2</v>
      </c>
      <c r="AL362" s="28">
        <v>2.545454545454545</v>
      </c>
      <c r="AM362" s="28">
        <v>0.36363636363636359</v>
      </c>
      <c r="AN362" s="28">
        <v>0.54545454545454541</v>
      </c>
      <c r="AO362" s="28">
        <v>0.3666666666666667</v>
      </c>
      <c r="AP362" s="28">
        <v>0.46666666666666667</v>
      </c>
      <c r="AQ362" s="28">
        <v>6.666666666666668E-2</v>
      </c>
      <c r="AR362" s="28">
        <v>0.1</v>
      </c>
      <c r="AS362" s="25">
        <v>1.1299999999999999</v>
      </c>
      <c r="AT362" s="25">
        <v>3.44</v>
      </c>
      <c r="AU362" s="25">
        <v>2.31</v>
      </c>
      <c r="AV362" s="25">
        <v>2.6745454545454539</v>
      </c>
      <c r="AW362">
        <v>2.6745454545454548</v>
      </c>
      <c r="AX362">
        <v>5.9327418772727274</v>
      </c>
      <c r="AY362" s="75">
        <v>0.53699890088551772</v>
      </c>
      <c r="AZ362" s="75"/>
      <c r="BA362" s="75"/>
      <c r="BB362">
        <v>5.0986526070744151E-2</v>
      </c>
      <c r="BC362">
        <v>5.0656075429901228E-2</v>
      </c>
      <c r="BF362">
        <v>0.1016426015006454</v>
      </c>
      <c r="BG362">
        <v>5.0821300750322693E-2</v>
      </c>
      <c r="BH362">
        <v>0.53699890088551772</v>
      </c>
      <c r="BI362" s="79" t="s">
        <v>1264</v>
      </c>
      <c r="BJ362" s="79">
        <v>1423</v>
      </c>
      <c r="BK362" s="79">
        <v>10</v>
      </c>
      <c r="BM362" s="79" t="s">
        <v>1275</v>
      </c>
      <c r="BN362" s="79" t="s">
        <v>56</v>
      </c>
      <c r="BO362" s="79">
        <v>1</v>
      </c>
      <c r="BQ362" s="79">
        <v>6.67</v>
      </c>
      <c r="BR362" s="79">
        <v>0</v>
      </c>
      <c r="BS362" s="79" t="s">
        <v>464</v>
      </c>
      <c r="BT362" s="79" t="s">
        <v>464</v>
      </c>
      <c r="BU362" s="79" t="s">
        <v>1266</v>
      </c>
      <c r="BV362" s="79">
        <v>500</v>
      </c>
      <c r="BW362" s="79">
        <v>360</v>
      </c>
      <c r="BX362" s="79" t="s">
        <v>1287</v>
      </c>
      <c r="BZ362" s="81">
        <v>30</v>
      </c>
      <c r="CA362">
        <f t="shared" si="51"/>
        <v>3.4011973816621555</v>
      </c>
    </row>
    <row r="363" spans="1:79" x14ac:dyDescent="0.3">
      <c r="A363" s="2" t="s">
        <v>196</v>
      </c>
      <c r="B363" s="13" t="s">
        <v>802</v>
      </c>
      <c r="C363" s="13"/>
      <c r="D363" s="2">
        <v>2.98</v>
      </c>
      <c r="E363" s="2" t="s">
        <v>197</v>
      </c>
      <c r="F363" s="32" t="s">
        <v>583</v>
      </c>
      <c r="G363">
        <v>-1</v>
      </c>
      <c r="I363" s="2">
        <v>4</v>
      </c>
      <c r="J363" s="25">
        <v>0</v>
      </c>
      <c r="K363">
        <v>0</v>
      </c>
      <c r="L363">
        <v>0</v>
      </c>
      <c r="M363" s="2">
        <v>13.003</v>
      </c>
      <c r="N363" s="2">
        <v>5.5149999999999997</v>
      </c>
      <c r="O363" s="2">
        <v>7.7569999999999997</v>
      </c>
      <c r="P363" s="2" t="s">
        <v>1095</v>
      </c>
      <c r="Q363" s="2"/>
      <c r="R363" s="25">
        <v>0</v>
      </c>
      <c r="S363" s="25"/>
      <c r="T363" s="25"/>
      <c r="U363">
        <v>0</v>
      </c>
      <c r="X363">
        <v>0</v>
      </c>
      <c r="AA363" s="2"/>
      <c r="AB363">
        <v>14</v>
      </c>
      <c r="AC363" s="55">
        <f t="shared" si="57"/>
        <v>556.266454565</v>
      </c>
      <c r="AD363" s="57">
        <v>0</v>
      </c>
      <c r="AE363" s="55">
        <v>0</v>
      </c>
      <c r="AF363" s="55">
        <v>0</v>
      </c>
      <c r="AG363" s="52">
        <f t="shared" si="58"/>
        <v>0.10067117932500884</v>
      </c>
      <c r="AH363" s="51"/>
      <c r="AI363" s="52"/>
      <c r="AJ363" s="52"/>
      <c r="AK363" s="28">
        <v>2</v>
      </c>
      <c r="AL363" s="28">
        <v>2.545454545454545</v>
      </c>
      <c r="AM363" s="28">
        <v>0.45454545454545447</v>
      </c>
      <c r="AN363" s="28">
        <v>0.27272727272727271</v>
      </c>
      <c r="AO363" s="28">
        <v>0.37931034482758619</v>
      </c>
      <c r="AP363" s="28">
        <v>0.48275862068965519</v>
      </c>
      <c r="AQ363" s="28">
        <v>8.6206896551724144E-2</v>
      </c>
      <c r="AR363" s="28">
        <v>5.1724137931034482E-2</v>
      </c>
      <c r="AS363" s="25">
        <v>1.1000000000000001</v>
      </c>
      <c r="AT363" s="25">
        <v>3.44</v>
      </c>
      <c r="AU363" s="25">
        <v>2.34</v>
      </c>
      <c r="AV363" s="25">
        <v>2.6718181818181819</v>
      </c>
      <c r="AW363">
        <v>2.6718181818181819</v>
      </c>
      <c r="AX363">
        <v>5.9579696772727271</v>
      </c>
      <c r="AY363" s="75"/>
      <c r="AZ363" s="75"/>
      <c r="BA363" s="75"/>
      <c r="BB363">
        <v>5.0335589662504419E-2</v>
      </c>
      <c r="BF363">
        <v>0.1006711793250088</v>
      </c>
      <c r="BG363">
        <v>5.0335589662504419E-2</v>
      </c>
      <c r="BH363">
        <v>0</v>
      </c>
      <c r="BI363" s="79" t="s">
        <v>1264</v>
      </c>
      <c r="BJ363" s="79">
        <v>1423</v>
      </c>
      <c r="BK363" s="79">
        <v>10</v>
      </c>
      <c r="BM363" s="79" t="s">
        <v>1275</v>
      </c>
      <c r="BN363" s="79" t="s">
        <v>56</v>
      </c>
      <c r="BO363" s="79">
        <v>1</v>
      </c>
      <c r="BQ363" s="79">
        <v>6.67</v>
      </c>
      <c r="BR363" s="79">
        <v>0</v>
      </c>
      <c r="BS363" s="79" t="s">
        <v>464</v>
      </c>
      <c r="BT363" s="79" t="s">
        <v>464</v>
      </c>
      <c r="BU363" s="79" t="s">
        <v>1266</v>
      </c>
      <c r="BV363" s="79">
        <v>500</v>
      </c>
      <c r="BW363" s="79">
        <v>360</v>
      </c>
      <c r="BX363" s="79" t="s">
        <v>1287</v>
      </c>
      <c r="BZ363" s="81">
        <v>20</v>
      </c>
      <c r="CA363">
        <f t="shared" si="51"/>
        <v>2.9957322735539909</v>
      </c>
    </row>
    <row r="364" spans="1:79" x14ac:dyDescent="0.3">
      <c r="A364" s="2" t="s">
        <v>46</v>
      </c>
      <c r="B364" s="13" t="s">
        <v>722</v>
      </c>
      <c r="C364" s="13"/>
      <c r="D364" s="2">
        <v>3.82</v>
      </c>
      <c r="E364" s="2" t="s">
        <v>197</v>
      </c>
      <c r="F364" s="9" t="s">
        <v>551</v>
      </c>
      <c r="G364" t="s">
        <v>629</v>
      </c>
      <c r="I364" s="2">
        <v>4</v>
      </c>
      <c r="J364" s="25">
        <v>2</v>
      </c>
      <c r="K364">
        <v>4</v>
      </c>
      <c r="L364">
        <v>0</v>
      </c>
      <c r="M364" s="2">
        <v>13.01</v>
      </c>
      <c r="N364" s="2">
        <v>5.5439999999999996</v>
      </c>
      <c r="O364" s="2">
        <v>7.81</v>
      </c>
      <c r="P364" s="2" t="s">
        <v>1095</v>
      </c>
      <c r="Q364" s="2"/>
      <c r="R364" s="25">
        <v>7.41544296</v>
      </c>
      <c r="S364" s="25">
        <v>7.4154429599999991</v>
      </c>
      <c r="T364" s="25">
        <v>7.41544296</v>
      </c>
      <c r="U364">
        <v>7.8</v>
      </c>
      <c r="V364">
        <v>13.010999999999999</v>
      </c>
      <c r="W364">
        <v>5.5460000000000003</v>
      </c>
      <c r="X364">
        <v>0</v>
      </c>
      <c r="AA364" s="2"/>
      <c r="AB364">
        <v>14</v>
      </c>
      <c r="AC364" s="55">
        <f t="shared" si="57"/>
        <v>563.31530639999994</v>
      </c>
      <c r="AD364" s="57">
        <v>288.33429290182369</v>
      </c>
      <c r="AE364" s="55">
        <v>556.51188553357167</v>
      </c>
      <c r="AF364" s="55">
        <v>0</v>
      </c>
      <c r="AG364" s="52">
        <f t="shared" si="58"/>
        <v>9.9411465237614932E-2</v>
      </c>
      <c r="AH364" s="51">
        <v>9.7109503410799117E-2</v>
      </c>
      <c r="AI364" s="52">
        <v>0.10062678166578309</v>
      </c>
      <c r="AJ364" s="52"/>
      <c r="AK364" s="28">
        <v>2</v>
      </c>
      <c r="AL364" s="28">
        <v>2.545454545454545</v>
      </c>
      <c r="AM364" s="28">
        <v>0.54545454545454541</v>
      </c>
      <c r="AN364" s="28">
        <v>0</v>
      </c>
      <c r="AO364" s="28">
        <v>0.39285714285714279</v>
      </c>
      <c r="AP364" s="28">
        <v>0.5</v>
      </c>
      <c r="AQ364" s="28">
        <v>0.1071428571428571</v>
      </c>
      <c r="AR364" s="28">
        <v>0</v>
      </c>
      <c r="AS364" s="25">
        <v>1.1000000000000001</v>
      </c>
      <c r="AT364" s="25">
        <v>3.44</v>
      </c>
      <c r="AU364" s="25">
        <v>2.34</v>
      </c>
      <c r="AV364" s="25">
        <v>2.669090909090909</v>
      </c>
      <c r="AW364">
        <v>2.669090909090909</v>
      </c>
      <c r="AX364">
        <v>5.9831974772727277</v>
      </c>
      <c r="AY364" s="75">
        <v>0.52442413903612473</v>
      </c>
      <c r="AZ364" s="75">
        <v>0.54341863036636606</v>
      </c>
      <c r="BA364" s="75"/>
      <c r="BB364">
        <v>4.9705732618807473E-2</v>
      </c>
      <c r="BC364">
        <v>4.8554751705399558E-2</v>
      </c>
      <c r="BD364">
        <v>5.0313390832891547E-2</v>
      </c>
      <c r="BF364">
        <v>9.9049250104732381E-2</v>
      </c>
      <c r="BG364">
        <v>4.952462505236619E-2</v>
      </c>
      <c r="BH364">
        <v>0.53392138470124539</v>
      </c>
      <c r="BI364" s="79" t="s">
        <v>1264</v>
      </c>
      <c r="BJ364" s="79">
        <v>1423</v>
      </c>
      <c r="BK364" s="79">
        <v>10</v>
      </c>
      <c r="BM364" s="79" t="s">
        <v>464</v>
      </c>
      <c r="BN364" s="79" t="s">
        <v>464</v>
      </c>
      <c r="BO364" s="79">
        <v>0</v>
      </c>
      <c r="BQ364" s="79">
        <v>6.67</v>
      </c>
      <c r="BR364" s="79">
        <v>0</v>
      </c>
      <c r="BS364" s="79" t="s">
        <v>464</v>
      </c>
      <c r="BT364" s="79" t="s">
        <v>464</v>
      </c>
      <c r="BU364" s="79" t="s">
        <v>1266</v>
      </c>
      <c r="BV364" s="79">
        <v>500</v>
      </c>
      <c r="BW364" s="79">
        <v>420</v>
      </c>
      <c r="BX364" s="79" t="s">
        <v>1287</v>
      </c>
      <c r="BZ364" s="81">
        <v>0</v>
      </c>
      <c r="CA364" t="e">
        <f t="shared" si="51"/>
        <v>#NUM!</v>
      </c>
    </row>
    <row r="365" spans="1:79" x14ac:dyDescent="0.3">
      <c r="A365" s="2" t="s">
        <v>193</v>
      </c>
      <c r="B365" s="13" t="s">
        <v>799</v>
      </c>
      <c r="C365" s="13"/>
      <c r="D365" s="2">
        <v>3.68</v>
      </c>
      <c r="E365" s="2" t="s">
        <v>197</v>
      </c>
      <c r="F365" s="32" t="s">
        <v>551</v>
      </c>
      <c r="G365" s="1" t="s">
        <v>629</v>
      </c>
      <c r="I365" s="2">
        <v>4</v>
      </c>
      <c r="J365" s="25">
        <v>0</v>
      </c>
      <c r="K365">
        <v>0</v>
      </c>
      <c r="L365">
        <v>0</v>
      </c>
      <c r="M365" s="2">
        <v>13.02</v>
      </c>
      <c r="N365" s="2">
        <v>5.5119999999999996</v>
      </c>
      <c r="O365" s="2">
        <v>7.7450000000000001</v>
      </c>
      <c r="P365" s="2" t="s">
        <v>1095</v>
      </c>
      <c r="Q365" s="2"/>
      <c r="R365" s="25">
        <v>0</v>
      </c>
      <c r="S365" s="25"/>
      <c r="T365" s="25"/>
      <c r="U365">
        <v>0</v>
      </c>
      <c r="X365">
        <v>0</v>
      </c>
      <c r="AA365" s="2"/>
      <c r="AB365">
        <v>14</v>
      </c>
      <c r="AC365" s="55">
        <f t="shared" si="57"/>
        <v>555.82952879999993</v>
      </c>
      <c r="AD365" s="57">
        <v>0</v>
      </c>
      <c r="AE365" s="55">
        <v>0</v>
      </c>
      <c r="AF365" s="55">
        <v>0</v>
      </c>
      <c r="AG365" s="52">
        <f t="shared" si="58"/>
        <v>0.10075031479687735</v>
      </c>
      <c r="AH365" s="51"/>
      <c r="AI365" s="52"/>
      <c r="AJ365" s="52"/>
      <c r="AK365" s="28">
        <v>2</v>
      </c>
      <c r="AL365" s="28">
        <v>2.545454545454545</v>
      </c>
      <c r="AM365" s="28">
        <v>0.45454545454545447</v>
      </c>
      <c r="AN365" s="28">
        <v>0.36363636363636359</v>
      </c>
      <c r="AO365" s="28">
        <v>0.3728813559322034</v>
      </c>
      <c r="AP365" s="28">
        <v>0.47457627118644069</v>
      </c>
      <c r="AQ365" s="28">
        <v>8.4745762711864403E-2</v>
      </c>
      <c r="AR365" s="28">
        <v>6.7796610169491525E-2</v>
      </c>
      <c r="AS365" s="25">
        <v>1.1000000000000001</v>
      </c>
      <c r="AT365" s="25">
        <v>3.44</v>
      </c>
      <c r="AU365" s="25">
        <v>2.34</v>
      </c>
      <c r="AV365" s="25">
        <v>2.672727272727272</v>
      </c>
      <c r="AW365">
        <v>2.6727272727272728</v>
      </c>
      <c r="AX365">
        <v>5.9599268909090908</v>
      </c>
      <c r="AY365" s="75"/>
      <c r="AZ365" s="75"/>
      <c r="BA365" s="75"/>
      <c r="BB365">
        <v>5.0375157398438668E-2</v>
      </c>
      <c r="BF365">
        <v>0.10075031479687729</v>
      </c>
      <c r="BG365">
        <v>5.0375157398438668E-2</v>
      </c>
      <c r="BH365">
        <v>0</v>
      </c>
      <c r="BI365" s="79" t="s">
        <v>1264</v>
      </c>
      <c r="BJ365" s="79">
        <v>1423</v>
      </c>
      <c r="BK365" s="79">
        <v>10</v>
      </c>
      <c r="BM365" s="79" t="s">
        <v>464</v>
      </c>
      <c r="BN365" s="79" t="s">
        <v>464</v>
      </c>
      <c r="BO365" s="79">
        <v>0</v>
      </c>
      <c r="BQ365" s="79">
        <v>6.67</v>
      </c>
      <c r="BR365" s="79">
        <v>0</v>
      </c>
      <c r="BS365" s="79" t="s">
        <v>464</v>
      </c>
      <c r="BT365" s="79" t="s">
        <v>464</v>
      </c>
      <c r="BU365" s="79" t="s">
        <v>1266</v>
      </c>
      <c r="BV365" s="79">
        <v>500</v>
      </c>
      <c r="BW365" s="79">
        <v>420</v>
      </c>
      <c r="BX365" s="79" t="s">
        <v>1287</v>
      </c>
      <c r="BZ365" s="81">
        <v>0</v>
      </c>
      <c r="CA365" t="e">
        <f t="shared" si="51"/>
        <v>#NUM!</v>
      </c>
    </row>
    <row r="366" spans="1:79" x14ac:dyDescent="0.3">
      <c r="A366" s="2" t="s">
        <v>194</v>
      </c>
      <c r="B366" s="13" t="s">
        <v>800</v>
      </c>
      <c r="C366" s="13"/>
      <c r="D366" s="2">
        <v>3.65</v>
      </c>
      <c r="E366" s="2" t="s">
        <v>197</v>
      </c>
      <c r="F366" s="9" t="s">
        <v>582</v>
      </c>
      <c r="G366" t="s">
        <v>657</v>
      </c>
      <c r="I366" s="2">
        <v>4</v>
      </c>
      <c r="J366" s="25">
        <v>2</v>
      </c>
      <c r="K366">
        <v>8</v>
      </c>
      <c r="L366">
        <v>0</v>
      </c>
      <c r="M366" s="2">
        <v>13.02</v>
      </c>
      <c r="N366" s="2">
        <v>5.48</v>
      </c>
      <c r="O366" s="2">
        <v>7.68</v>
      </c>
      <c r="P366" s="2" t="s">
        <v>1095</v>
      </c>
      <c r="Q366" s="2"/>
      <c r="R366" s="25">
        <v>7.2854997800000012</v>
      </c>
      <c r="S366" s="25">
        <v>7.2855000099999998</v>
      </c>
      <c r="T366" s="25">
        <v>7.28550129</v>
      </c>
      <c r="U366">
        <v>7.6769999999999996</v>
      </c>
      <c r="V366">
        <v>5.4560000000000004</v>
      </c>
      <c r="W366">
        <v>26.012989999999999</v>
      </c>
      <c r="X366">
        <v>0</v>
      </c>
      <c r="AA366" s="2"/>
      <c r="AB366">
        <v>14</v>
      </c>
      <c r="AC366" s="55">
        <f t="shared" si="57"/>
        <v>547.9649280000001</v>
      </c>
      <c r="AD366" s="57">
        <v>273.44070809730869</v>
      </c>
      <c r="AE366" s="55">
        <v>1077.884035254056</v>
      </c>
      <c r="AF366" s="55">
        <v>0</v>
      </c>
      <c r="AG366" s="52">
        <f t="shared" si="58"/>
        <v>0.10219632158647933</v>
      </c>
      <c r="AH366" s="51">
        <v>0.1023987986091511</v>
      </c>
      <c r="AI366" s="52">
        <v>0.1039072816155049</v>
      </c>
      <c r="AJ366" s="52"/>
      <c r="AK366" s="28">
        <v>2</v>
      </c>
      <c r="AL366" s="28">
        <v>2.545454545454545</v>
      </c>
      <c r="AM366" s="28">
        <v>0.36363636363636359</v>
      </c>
      <c r="AN366" s="28">
        <v>0.72727272727272729</v>
      </c>
      <c r="AO366" s="28">
        <v>0.35483870967741932</v>
      </c>
      <c r="AP366" s="28">
        <v>0.45161290322580638</v>
      </c>
      <c r="AQ366" s="28">
        <v>6.4516129032258063E-2</v>
      </c>
      <c r="AR366" s="28">
        <v>0.1290322580645161</v>
      </c>
      <c r="AS366" s="25">
        <v>1.1399999999999999</v>
      </c>
      <c r="AT366" s="25">
        <v>3.44</v>
      </c>
      <c r="AU366" s="25">
        <v>2.2999999999999998</v>
      </c>
      <c r="AV366" s="25">
        <v>2.6763636363636358</v>
      </c>
      <c r="AW366">
        <v>2.6763636363636358</v>
      </c>
      <c r="AX366">
        <v>5.9366563045454548</v>
      </c>
      <c r="AY366" s="75">
        <v>0.5411256777060568</v>
      </c>
      <c r="AZ366" s="75">
        <v>0.54909724475770694</v>
      </c>
      <c r="BA366" s="75"/>
      <c r="BB366">
        <v>5.1098160793239672E-2</v>
      </c>
      <c r="BC366">
        <v>5.119939930457558E-2</v>
      </c>
      <c r="BD366">
        <v>5.1953640807752437E-2</v>
      </c>
      <c r="BF366">
        <v>0.1028341339370451</v>
      </c>
      <c r="BG366">
        <v>5.1417066968522558E-2</v>
      </c>
      <c r="BH366">
        <v>0.54511146123188192</v>
      </c>
      <c r="BI366" s="79" t="s">
        <v>1264</v>
      </c>
      <c r="BJ366" s="79">
        <v>1423</v>
      </c>
      <c r="BK366" s="79">
        <v>10</v>
      </c>
      <c r="BM366" s="79" t="s">
        <v>464</v>
      </c>
      <c r="BN366" s="79" t="s">
        <v>464</v>
      </c>
      <c r="BO366" s="79">
        <v>0</v>
      </c>
      <c r="BQ366" s="79">
        <v>6.67</v>
      </c>
      <c r="BR366" s="79">
        <v>0</v>
      </c>
      <c r="BS366" s="79" t="s">
        <v>464</v>
      </c>
      <c r="BT366" s="79" t="s">
        <v>464</v>
      </c>
      <c r="BU366" s="79" t="s">
        <v>1266</v>
      </c>
      <c r="BV366" s="79">
        <v>500</v>
      </c>
      <c r="BW366" s="79">
        <v>420</v>
      </c>
      <c r="BX366" s="79" t="s">
        <v>1287</v>
      </c>
      <c r="BZ366" s="81">
        <v>0</v>
      </c>
      <c r="CA366" t="e">
        <f t="shared" si="51"/>
        <v>#NUM!</v>
      </c>
    </row>
    <row r="367" spans="1:79" x14ac:dyDescent="0.3">
      <c r="A367" s="2" t="s">
        <v>195</v>
      </c>
      <c r="B367" s="13" t="s">
        <v>801</v>
      </c>
      <c r="C367" s="13"/>
      <c r="D367" s="2">
        <v>2.99</v>
      </c>
      <c r="E367" s="2" t="s">
        <v>197</v>
      </c>
      <c r="F367" s="9" t="s">
        <v>583</v>
      </c>
      <c r="G367">
        <v>-1</v>
      </c>
      <c r="I367" s="2">
        <v>4</v>
      </c>
      <c r="J367" s="25">
        <v>4</v>
      </c>
      <c r="K367">
        <v>0</v>
      </c>
      <c r="L367">
        <v>0</v>
      </c>
      <c r="M367" s="2">
        <v>12.996</v>
      </c>
      <c r="N367" s="2">
        <v>5.4850000000000003</v>
      </c>
      <c r="O367" s="2">
        <v>7.7039999999999997</v>
      </c>
      <c r="P367" s="2" t="s">
        <v>1095</v>
      </c>
      <c r="Q367" s="2"/>
      <c r="R367" s="25">
        <v>5.5191434299999997</v>
      </c>
      <c r="S367" s="25">
        <v>7.7203982699999987</v>
      </c>
      <c r="T367" s="25">
        <v>13.117043880000001</v>
      </c>
      <c r="U367">
        <v>0</v>
      </c>
      <c r="X367">
        <v>0</v>
      </c>
      <c r="AA367" s="2"/>
      <c r="AB367">
        <v>14</v>
      </c>
      <c r="AC367" s="55">
        <f t="shared" si="57"/>
        <v>549.16469424000002</v>
      </c>
      <c r="AD367" s="57">
        <v>552.74712386171507</v>
      </c>
      <c r="AE367" s="55">
        <v>0</v>
      </c>
      <c r="AF367" s="55">
        <v>0</v>
      </c>
      <c r="AG367" s="52">
        <f t="shared" si="58"/>
        <v>0.1019730521414883</v>
      </c>
      <c r="AH367" s="51">
        <v>0.1013121508598025</v>
      </c>
      <c r="AI367" s="52"/>
      <c r="AJ367" s="52"/>
      <c r="AK367" s="28">
        <v>2</v>
      </c>
      <c r="AL367" s="28">
        <v>2.545454545454545</v>
      </c>
      <c r="AM367" s="28">
        <v>0.36363636363636359</v>
      </c>
      <c r="AN367" s="28">
        <v>0.54545454545454541</v>
      </c>
      <c r="AO367" s="28">
        <v>0.3666666666666667</v>
      </c>
      <c r="AP367" s="28">
        <v>0.46666666666666667</v>
      </c>
      <c r="AQ367" s="28">
        <v>6.666666666666668E-2</v>
      </c>
      <c r="AR367" s="28">
        <v>0.1</v>
      </c>
      <c r="AS367" s="25">
        <v>1.1299999999999999</v>
      </c>
      <c r="AT367" s="25">
        <v>3.44</v>
      </c>
      <c r="AU367" s="25">
        <v>2.31</v>
      </c>
      <c r="AV367" s="25">
        <v>2.6745454545454539</v>
      </c>
      <c r="AW367">
        <v>2.6745454545454548</v>
      </c>
      <c r="AX367">
        <v>5.9327418772727274</v>
      </c>
      <c r="AY367" s="75">
        <v>0.53699890088551772</v>
      </c>
      <c r="AZ367" s="75"/>
      <c r="BA367" s="75"/>
      <c r="BB367">
        <v>5.0986526070744151E-2</v>
      </c>
      <c r="BC367">
        <v>5.0656075429901228E-2</v>
      </c>
      <c r="BF367">
        <v>0.1016426015006454</v>
      </c>
      <c r="BG367">
        <v>5.0821300750322693E-2</v>
      </c>
      <c r="BH367">
        <v>0.53699890088551772</v>
      </c>
      <c r="BI367" s="79" t="s">
        <v>1264</v>
      </c>
      <c r="BJ367" s="79">
        <v>1423</v>
      </c>
      <c r="BK367" s="79">
        <v>10</v>
      </c>
      <c r="BM367" s="79" t="s">
        <v>464</v>
      </c>
      <c r="BN367" s="79" t="s">
        <v>464</v>
      </c>
      <c r="BO367" s="79">
        <v>0</v>
      </c>
      <c r="BQ367" s="79">
        <v>6.67</v>
      </c>
      <c r="BR367" s="79">
        <v>0</v>
      </c>
      <c r="BS367" s="79" t="s">
        <v>464</v>
      </c>
      <c r="BT367" s="79" t="s">
        <v>464</v>
      </c>
      <c r="BU367" s="79" t="s">
        <v>1266</v>
      </c>
      <c r="BV367" s="79">
        <v>500</v>
      </c>
      <c r="BW367" s="79">
        <v>420</v>
      </c>
      <c r="BX367" s="79" t="s">
        <v>1287</v>
      </c>
      <c r="BZ367" s="81">
        <v>0</v>
      </c>
      <c r="CA367" t="e">
        <f t="shared" si="51"/>
        <v>#NUM!</v>
      </c>
    </row>
    <row r="368" spans="1:79" x14ac:dyDescent="0.3">
      <c r="A368" s="2" t="s">
        <v>196</v>
      </c>
      <c r="B368" s="13" t="s">
        <v>802</v>
      </c>
      <c r="C368" s="13"/>
      <c r="D368" s="2">
        <v>2.98</v>
      </c>
      <c r="E368" s="2" t="s">
        <v>197</v>
      </c>
      <c r="F368" s="32" t="s">
        <v>583</v>
      </c>
      <c r="G368">
        <v>-1</v>
      </c>
      <c r="I368" s="2">
        <v>4</v>
      </c>
      <c r="J368" s="25">
        <v>0</v>
      </c>
      <c r="K368">
        <v>0</v>
      </c>
      <c r="L368">
        <v>0</v>
      </c>
      <c r="M368" s="2">
        <v>13.003</v>
      </c>
      <c r="N368" s="2">
        <v>5.5149999999999997</v>
      </c>
      <c r="O368" s="2">
        <v>7.7569999999999997</v>
      </c>
      <c r="P368" s="2" t="s">
        <v>1095</v>
      </c>
      <c r="Q368" s="2"/>
      <c r="R368" s="25">
        <v>0</v>
      </c>
      <c r="S368" s="25"/>
      <c r="T368" s="25"/>
      <c r="U368">
        <v>0</v>
      </c>
      <c r="X368">
        <v>0</v>
      </c>
      <c r="AA368" s="2"/>
      <c r="AB368">
        <v>14</v>
      </c>
      <c r="AC368" s="55">
        <f t="shared" si="57"/>
        <v>556.266454565</v>
      </c>
      <c r="AD368" s="57">
        <v>0</v>
      </c>
      <c r="AE368" s="55">
        <v>0</v>
      </c>
      <c r="AF368" s="55">
        <v>0</v>
      </c>
      <c r="AG368" s="52">
        <f t="shared" si="58"/>
        <v>0.10067117932500884</v>
      </c>
      <c r="AH368" s="51"/>
      <c r="AI368" s="52"/>
      <c r="AJ368" s="52"/>
      <c r="AK368" s="28">
        <v>2</v>
      </c>
      <c r="AL368" s="28">
        <v>2.545454545454545</v>
      </c>
      <c r="AM368" s="28">
        <v>0.45454545454545447</v>
      </c>
      <c r="AN368" s="28">
        <v>0.27272727272727271</v>
      </c>
      <c r="AO368" s="28">
        <v>0.37931034482758619</v>
      </c>
      <c r="AP368" s="28">
        <v>0.48275862068965519</v>
      </c>
      <c r="AQ368" s="28">
        <v>8.6206896551724144E-2</v>
      </c>
      <c r="AR368" s="28">
        <v>5.1724137931034482E-2</v>
      </c>
      <c r="AS368" s="25">
        <v>1.1000000000000001</v>
      </c>
      <c r="AT368" s="25">
        <v>3.44</v>
      </c>
      <c r="AU368" s="25">
        <v>2.34</v>
      </c>
      <c r="AV368" s="25">
        <v>2.6718181818181819</v>
      </c>
      <c r="AW368">
        <v>2.6718181818181819</v>
      </c>
      <c r="AX368">
        <v>5.9579696772727271</v>
      </c>
      <c r="AY368" s="75"/>
      <c r="AZ368" s="75"/>
      <c r="BA368" s="75"/>
      <c r="BB368">
        <v>5.0335589662504419E-2</v>
      </c>
      <c r="BF368">
        <v>0.1006711793250088</v>
      </c>
      <c r="BG368">
        <v>5.0335589662504419E-2</v>
      </c>
      <c r="BH368">
        <v>0</v>
      </c>
      <c r="BI368" s="79" t="s">
        <v>1264</v>
      </c>
      <c r="BJ368" s="79">
        <v>1423</v>
      </c>
      <c r="BK368" s="79">
        <v>10</v>
      </c>
      <c r="BM368" s="79" t="s">
        <v>464</v>
      </c>
      <c r="BN368" s="79" t="s">
        <v>464</v>
      </c>
      <c r="BO368" s="79">
        <v>0</v>
      </c>
      <c r="BQ368" s="79">
        <v>6.67</v>
      </c>
      <c r="BR368" s="79">
        <v>0</v>
      </c>
      <c r="BS368" s="79" t="s">
        <v>464</v>
      </c>
      <c r="BT368" s="79" t="s">
        <v>464</v>
      </c>
      <c r="BU368" s="79" t="s">
        <v>1266</v>
      </c>
      <c r="BV368" s="79">
        <v>500</v>
      </c>
      <c r="BW368" s="79">
        <v>420</v>
      </c>
      <c r="BX368" s="79" t="s">
        <v>1287</v>
      </c>
      <c r="BZ368" s="81">
        <v>0</v>
      </c>
      <c r="CA368" t="e">
        <f t="shared" si="51"/>
        <v>#NUM!</v>
      </c>
    </row>
    <row r="369" spans="1:79" x14ac:dyDescent="0.3">
      <c r="A369" s="2" t="s">
        <v>46</v>
      </c>
      <c r="B369" s="13" t="s">
        <v>722</v>
      </c>
      <c r="C369" s="13"/>
      <c r="D369" s="2">
        <v>3.82</v>
      </c>
      <c r="E369" s="2" t="s">
        <v>197</v>
      </c>
      <c r="F369" s="9" t="s">
        <v>551</v>
      </c>
      <c r="G369" t="s">
        <v>629</v>
      </c>
      <c r="I369" s="2">
        <v>4</v>
      </c>
      <c r="J369" s="25">
        <v>2</v>
      </c>
      <c r="K369">
        <v>4</v>
      </c>
      <c r="L369">
        <v>0</v>
      </c>
      <c r="M369" s="2">
        <v>13.01</v>
      </c>
      <c r="N369" s="2">
        <v>5.5439999999999996</v>
      </c>
      <c r="O369" s="2">
        <v>7.81</v>
      </c>
      <c r="P369" s="2" t="s">
        <v>1095</v>
      </c>
      <c r="Q369" s="2"/>
      <c r="R369" s="25">
        <v>7.41544296</v>
      </c>
      <c r="S369" s="25">
        <v>7.4154429599999991</v>
      </c>
      <c r="T369" s="25">
        <v>7.41544296</v>
      </c>
      <c r="U369">
        <v>7.8</v>
      </c>
      <c r="V369">
        <v>13.010999999999999</v>
      </c>
      <c r="W369">
        <v>5.5460000000000003</v>
      </c>
      <c r="X369">
        <v>0</v>
      </c>
      <c r="AA369" s="2"/>
      <c r="AB369">
        <v>14</v>
      </c>
      <c r="AC369" s="55">
        <f t="shared" ref="AC369:AC373" si="59">M369*N369*O369</f>
        <v>563.31530639999994</v>
      </c>
      <c r="AD369" s="57">
        <v>288.33429290182369</v>
      </c>
      <c r="AE369" s="55">
        <v>556.51188553357167</v>
      </c>
      <c r="AF369" s="55">
        <v>0</v>
      </c>
      <c r="AG369" s="52">
        <f t="shared" ref="AG369:AG373" si="60">I369*AB369/AC369</f>
        <v>9.9411465237614932E-2</v>
      </c>
      <c r="AH369" s="51">
        <v>9.7109503410799117E-2</v>
      </c>
      <c r="AI369" s="52">
        <v>0.10062678166578309</v>
      </c>
      <c r="AJ369" s="52"/>
      <c r="AK369" s="28">
        <v>2</v>
      </c>
      <c r="AL369" s="28">
        <v>2.545454545454545</v>
      </c>
      <c r="AM369" s="28">
        <v>0.54545454545454541</v>
      </c>
      <c r="AN369" s="28">
        <v>0</v>
      </c>
      <c r="AO369" s="28">
        <v>0.39285714285714279</v>
      </c>
      <c r="AP369" s="28">
        <v>0.5</v>
      </c>
      <c r="AQ369" s="28">
        <v>0.1071428571428571</v>
      </c>
      <c r="AR369" s="28">
        <v>0</v>
      </c>
      <c r="AS369" s="25">
        <v>1.1000000000000001</v>
      </c>
      <c r="AT369" s="25">
        <v>3.44</v>
      </c>
      <c r="AU369" s="25">
        <v>2.34</v>
      </c>
      <c r="AV369" s="25">
        <v>2.669090909090909</v>
      </c>
      <c r="AW369">
        <v>2.669090909090909</v>
      </c>
      <c r="AX369">
        <v>5.9831974772727277</v>
      </c>
      <c r="AY369" s="75">
        <v>0.52442413903612473</v>
      </c>
      <c r="AZ369" s="75">
        <v>0.54341863036636606</v>
      </c>
      <c r="BA369" s="75"/>
      <c r="BB369">
        <v>4.9705732618807473E-2</v>
      </c>
      <c r="BC369">
        <v>4.8554751705399558E-2</v>
      </c>
      <c r="BD369">
        <v>5.0313390832891547E-2</v>
      </c>
      <c r="BF369">
        <v>9.9049250104732381E-2</v>
      </c>
      <c r="BG369">
        <v>4.952462505236619E-2</v>
      </c>
      <c r="BH369">
        <v>0.53392138470124539</v>
      </c>
      <c r="BI369" s="79" t="s">
        <v>1264</v>
      </c>
      <c r="BJ369" s="79">
        <v>1423</v>
      </c>
      <c r="BK369" s="79">
        <v>10</v>
      </c>
      <c r="BM369" s="79" t="s">
        <v>1275</v>
      </c>
      <c r="BN369" s="79" t="s">
        <v>56</v>
      </c>
      <c r="BO369" s="79">
        <v>1</v>
      </c>
      <c r="BQ369" s="79">
        <v>6.67</v>
      </c>
      <c r="BR369" s="79">
        <v>0</v>
      </c>
      <c r="BS369" s="79" t="s">
        <v>464</v>
      </c>
      <c r="BT369" s="79" t="s">
        <v>464</v>
      </c>
      <c r="BU369" s="79" t="s">
        <v>1266</v>
      </c>
      <c r="BV369" s="79">
        <v>500</v>
      </c>
      <c r="BW369" s="79">
        <v>420</v>
      </c>
      <c r="BX369" s="79" t="s">
        <v>1287</v>
      </c>
      <c r="BZ369" s="81">
        <v>0</v>
      </c>
      <c r="CA369" t="e">
        <f t="shared" si="51"/>
        <v>#NUM!</v>
      </c>
    </row>
    <row r="370" spans="1:79" x14ac:dyDescent="0.3">
      <c r="A370" s="2" t="s">
        <v>193</v>
      </c>
      <c r="B370" s="13" t="s">
        <v>799</v>
      </c>
      <c r="C370" s="13"/>
      <c r="D370" s="2">
        <v>3.68</v>
      </c>
      <c r="E370" s="2" t="s">
        <v>197</v>
      </c>
      <c r="F370" s="32" t="s">
        <v>551</v>
      </c>
      <c r="G370" s="1" t="s">
        <v>629</v>
      </c>
      <c r="I370" s="2">
        <v>4</v>
      </c>
      <c r="J370" s="25">
        <v>0</v>
      </c>
      <c r="K370">
        <v>0</v>
      </c>
      <c r="L370">
        <v>0</v>
      </c>
      <c r="M370" s="2">
        <v>13.02</v>
      </c>
      <c r="N370" s="2">
        <v>5.5119999999999996</v>
      </c>
      <c r="O370" s="2">
        <v>7.7450000000000001</v>
      </c>
      <c r="P370" s="2" t="s">
        <v>1095</v>
      </c>
      <c r="Q370" s="2"/>
      <c r="R370" s="25">
        <v>0</v>
      </c>
      <c r="S370" s="25"/>
      <c r="T370" s="25"/>
      <c r="U370">
        <v>0</v>
      </c>
      <c r="X370">
        <v>0</v>
      </c>
      <c r="AA370" s="2"/>
      <c r="AB370">
        <v>14</v>
      </c>
      <c r="AC370" s="55">
        <f t="shared" si="59"/>
        <v>555.82952879999993</v>
      </c>
      <c r="AD370" s="57">
        <v>0</v>
      </c>
      <c r="AE370" s="55">
        <v>0</v>
      </c>
      <c r="AF370" s="55">
        <v>0</v>
      </c>
      <c r="AG370" s="52">
        <f t="shared" si="60"/>
        <v>0.10075031479687735</v>
      </c>
      <c r="AH370" s="51"/>
      <c r="AI370" s="52"/>
      <c r="AJ370" s="52"/>
      <c r="AK370" s="28">
        <v>2</v>
      </c>
      <c r="AL370" s="28">
        <v>2.545454545454545</v>
      </c>
      <c r="AM370" s="28">
        <v>0.45454545454545447</v>
      </c>
      <c r="AN370" s="28">
        <v>0.36363636363636359</v>
      </c>
      <c r="AO370" s="28">
        <v>0.3728813559322034</v>
      </c>
      <c r="AP370" s="28">
        <v>0.47457627118644069</v>
      </c>
      <c r="AQ370" s="28">
        <v>8.4745762711864403E-2</v>
      </c>
      <c r="AR370" s="28">
        <v>6.7796610169491525E-2</v>
      </c>
      <c r="AS370" s="25">
        <v>1.1000000000000001</v>
      </c>
      <c r="AT370" s="25">
        <v>3.44</v>
      </c>
      <c r="AU370" s="25">
        <v>2.34</v>
      </c>
      <c r="AV370" s="25">
        <v>2.672727272727272</v>
      </c>
      <c r="AW370">
        <v>2.6727272727272728</v>
      </c>
      <c r="AX370">
        <v>5.9599268909090908</v>
      </c>
      <c r="AY370" s="75"/>
      <c r="AZ370" s="75"/>
      <c r="BA370" s="75"/>
      <c r="BB370">
        <v>5.0375157398438668E-2</v>
      </c>
      <c r="BF370">
        <v>0.10075031479687729</v>
      </c>
      <c r="BG370">
        <v>5.0375157398438668E-2</v>
      </c>
      <c r="BH370">
        <v>0</v>
      </c>
      <c r="BI370" s="79" t="s">
        <v>1264</v>
      </c>
      <c r="BJ370" s="79">
        <v>1423</v>
      </c>
      <c r="BK370" s="79">
        <v>10</v>
      </c>
      <c r="BM370" s="79" t="s">
        <v>1275</v>
      </c>
      <c r="BN370" s="79" t="s">
        <v>56</v>
      </c>
      <c r="BO370" s="79">
        <v>1</v>
      </c>
      <c r="BQ370" s="79">
        <v>6.67</v>
      </c>
      <c r="BR370" s="79">
        <v>0</v>
      </c>
      <c r="BS370" s="79" t="s">
        <v>464</v>
      </c>
      <c r="BT370" s="79" t="s">
        <v>464</v>
      </c>
      <c r="BU370" s="79" t="s">
        <v>1266</v>
      </c>
      <c r="BV370" s="79">
        <v>500</v>
      </c>
      <c r="BW370" s="79">
        <v>420</v>
      </c>
      <c r="BX370" s="79" t="s">
        <v>1287</v>
      </c>
      <c r="BZ370" s="81">
        <v>0</v>
      </c>
      <c r="CA370" t="e">
        <f t="shared" si="51"/>
        <v>#NUM!</v>
      </c>
    </row>
    <row r="371" spans="1:79" x14ac:dyDescent="0.3">
      <c r="A371" s="2" t="s">
        <v>194</v>
      </c>
      <c r="B371" s="13" t="s">
        <v>800</v>
      </c>
      <c r="C371" s="13"/>
      <c r="D371" s="2">
        <v>3.65</v>
      </c>
      <c r="E371" s="2" t="s">
        <v>197</v>
      </c>
      <c r="F371" s="9" t="s">
        <v>582</v>
      </c>
      <c r="G371" t="s">
        <v>657</v>
      </c>
      <c r="I371" s="2">
        <v>4</v>
      </c>
      <c r="J371" s="25">
        <v>2</v>
      </c>
      <c r="K371">
        <v>8</v>
      </c>
      <c r="L371">
        <v>0</v>
      </c>
      <c r="M371" s="2">
        <v>13.02</v>
      </c>
      <c r="N371" s="2">
        <v>5.48</v>
      </c>
      <c r="O371" s="2">
        <v>7.68</v>
      </c>
      <c r="P371" s="2" t="s">
        <v>1095</v>
      </c>
      <c r="Q371" s="2"/>
      <c r="R371" s="25">
        <v>7.2854997800000012</v>
      </c>
      <c r="S371" s="25">
        <v>7.2855000099999998</v>
      </c>
      <c r="T371" s="25">
        <v>7.28550129</v>
      </c>
      <c r="U371">
        <v>7.6769999999999996</v>
      </c>
      <c r="V371">
        <v>5.4560000000000004</v>
      </c>
      <c r="W371">
        <v>26.012989999999999</v>
      </c>
      <c r="X371">
        <v>0</v>
      </c>
      <c r="AA371" s="2"/>
      <c r="AB371">
        <v>14</v>
      </c>
      <c r="AC371" s="55">
        <f t="shared" si="59"/>
        <v>547.9649280000001</v>
      </c>
      <c r="AD371" s="57">
        <v>273.44070809730869</v>
      </c>
      <c r="AE371" s="55">
        <v>1077.884035254056</v>
      </c>
      <c r="AF371" s="55">
        <v>0</v>
      </c>
      <c r="AG371" s="52">
        <f t="shared" si="60"/>
        <v>0.10219632158647933</v>
      </c>
      <c r="AH371" s="51">
        <v>0.1023987986091511</v>
      </c>
      <c r="AI371" s="52">
        <v>0.1039072816155049</v>
      </c>
      <c r="AJ371" s="52"/>
      <c r="AK371" s="28">
        <v>2</v>
      </c>
      <c r="AL371" s="28">
        <v>2.545454545454545</v>
      </c>
      <c r="AM371" s="28">
        <v>0.36363636363636359</v>
      </c>
      <c r="AN371" s="28">
        <v>0.72727272727272729</v>
      </c>
      <c r="AO371" s="28">
        <v>0.35483870967741932</v>
      </c>
      <c r="AP371" s="28">
        <v>0.45161290322580638</v>
      </c>
      <c r="AQ371" s="28">
        <v>6.4516129032258063E-2</v>
      </c>
      <c r="AR371" s="28">
        <v>0.1290322580645161</v>
      </c>
      <c r="AS371" s="25">
        <v>1.1399999999999999</v>
      </c>
      <c r="AT371" s="25">
        <v>3.44</v>
      </c>
      <c r="AU371" s="25">
        <v>2.2999999999999998</v>
      </c>
      <c r="AV371" s="25">
        <v>2.6763636363636358</v>
      </c>
      <c r="AW371">
        <v>2.6763636363636358</v>
      </c>
      <c r="AX371">
        <v>5.9366563045454548</v>
      </c>
      <c r="AY371" s="75">
        <v>0.5411256777060568</v>
      </c>
      <c r="AZ371" s="75">
        <v>0.54909724475770694</v>
      </c>
      <c r="BA371" s="75"/>
      <c r="BB371">
        <v>5.1098160793239672E-2</v>
      </c>
      <c r="BC371">
        <v>5.119939930457558E-2</v>
      </c>
      <c r="BD371">
        <v>5.1953640807752437E-2</v>
      </c>
      <c r="BF371">
        <v>0.1028341339370451</v>
      </c>
      <c r="BG371">
        <v>5.1417066968522558E-2</v>
      </c>
      <c r="BH371">
        <v>0.54511146123188192</v>
      </c>
      <c r="BI371" s="79" t="s">
        <v>1264</v>
      </c>
      <c r="BJ371" s="79">
        <v>1423</v>
      </c>
      <c r="BK371" s="79">
        <v>10</v>
      </c>
      <c r="BM371" s="79" t="s">
        <v>1275</v>
      </c>
      <c r="BN371" s="79" t="s">
        <v>56</v>
      </c>
      <c r="BO371" s="79">
        <v>1</v>
      </c>
      <c r="BQ371" s="79">
        <v>6.67</v>
      </c>
      <c r="BR371" s="79">
        <v>0</v>
      </c>
      <c r="BS371" s="79" t="s">
        <v>464</v>
      </c>
      <c r="BT371" s="79" t="s">
        <v>464</v>
      </c>
      <c r="BU371" s="79" t="s">
        <v>1266</v>
      </c>
      <c r="BV371" s="79">
        <v>500</v>
      </c>
      <c r="BW371" s="79">
        <v>420</v>
      </c>
      <c r="BX371" s="79" t="s">
        <v>1287</v>
      </c>
      <c r="BZ371" s="81">
        <v>0</v>
      </c>
      <c r="CA371" t="e">
        <f t="shared" si="51"/>
        <v>#NUM!</v>
      </c>
    </row>
    <row r="372" spans="1:79" x14ac:dyDescent="0.3">
      <c r="A372" s="2" t="s">
        <v>195</v>
      </c>
      <c r="B372" s="13" t="s">
        <v>801</v>
      </c>
      <c r="C372" s="13"/>
      <c r="D372" s="2">
        <v>2.99</v>
      </c>
      <c r="E372" s="2" t="s">
        <v>197</v>
      </c>
      <c r="F372" s="9" t="s">
        <v>583</v>
      </c>
      <c r="G372">
        <v>-1</v>
      </c>
      <c r="I372" s="2">
        <v>4</v>
      </c>
      <c r="J372" s="25">
        <v>4</v>
      </c>
      <c r="K372">
        <v>0</v>
      </c>
      <c r="L372">
        <v>0</v>
      </c>
      <c r="M372" s="2">
        <v>12.996</v>
      </c>
      <c r="N372" s="2">
        <v>5.4850000000000003</v>
      </c>
      <c r="O372" s="2">
        <v>7.7039999999999997</v>
      </c>
      <c r="P372" s="2" t="s">
        <v>1095</v>
      </c>
      <c r="Q372" s="2"/>
      <c r="R372" s="25">
        <v>5.5191434299999997</v>
      </c>
      <c r="S372" s="25">
        <v>7.7203982699999987</v>
      </c>
      <c r="T372" s="25">
        <v>13.117043880000001</v>
      </c>
      <c r="U372">
        <v>0</v>
      </c>
      <c r="X372">
        <v>0</v>
      </c>
      <c r="AA372" s="2"/>
      <c r="AB372">
        <v>14</v>
      </c>
      <c r="AC372" s="55">
        <f t="shared" si="59"/>
        <v>549.16469424000002</v>
      </c>
      <c r="AD372" s="57">
        <v>552.74712386171507</v>
      </c>
      <c r="AE372" s="55">
        <v>0</v>
      </c>
      <c r="AF372" s="55">
        <v>0</v>
      </c>
      <c r="AG372" s="52">
        <f t="shared" si="60"/>
        <v>0.1019730521414883</v>
      </c>
      <c r="AH372" s="51">
        <v>0.1013121508598025</v>
      </c>
      <c r="AI372" s="52"/>
      <c r="AJ372" s="52"/>
      <c r="AK372" s="28">
        <v>2</v>
      </c>
      <c r="AL372" s="28">
        <v>2.545454545454545</v>
      </c>
      <c r="AM372" s="28">
        <v>0.36363636363636359</v>
      </c>
      <c r="AN372" s="28">
        <v>0.54545454545454541</v>
      </c>
      <c r="AO372" s="28">
        <v>0.3666666666666667</v>
      </c>
      <c r="AP372" s="28">
        <v>0.46666666666666667</v>
      </c>
      <c r="AQ372" s="28">
        <v>6.666666666666668E-2</v>
      </c>
      <c r="AR372" s="28">
        <v>0.1</v>
      </c>
      <c r="AS372" s="25">
        <v>1.1299999999999999</v>
      </c>
      <c r="AT372" s="25">
        <v>3.44</v>
      </c>
      <c r="AU372" s="25">
        <v>2.31</v>
      </c>
      <c r="AV372" s="25">
        <v>2.6745454545454539</v>
      </c>
      <c r="AW372">
        <v>2.6745454545454548</v>
      </c>
      <c r="AX372">
        <v>5.9327418772727274</v>
      </c>
      <c r="AY372" s="75">
        <v>0.53699890088551772</v>
      </c>
      <c r="AZ372" s="75"/>
      <c r="BA372" s="75"/>
      <c r="BB372">
        <v>5.0986526070744151E-2</v>
      </c>
      <c r="BC372">
        <v>5.0656075429901228E-2</v>
      </c>
      <c r="BF372">
        <v>0.1016426015006454</v>
      </c>
      <c r="BG372">
        <v>5.0821300750322693E-2</v>
      </c>
      <c r="BH372">
        <v>0.53699890088551772</v>
      </c>
      <c r="BI372" s="79" t="s">
        <v>1264</v>
      </c>
      <c r="BJ372" s="79">
        <v>1423</v>
      </c>
      <c r="BK372" s="79">
        <v>10</v>
      </c>
      <c r="BM372" s="79" t="s">
        <v>1275</v>
      </c>
      <c r="BN372" s="79" t="s">
        <v>56</v>
      </c>
      <c r="BO372" s="79">
        <v>1</v>
      </c>
      <c r="BQ372" s="79">
        <v>6.67</v>
      </c>
      <c r="BR372" s="79">
        <v>0</v>
      </c>
      <c r="BS372" s="79" t="s">
        <v>464</v>
      </c>
      <c r="BT372" s="79" t="s">
        <v>464</v>
      </c>
      <c r="BU372" s="79" t="s">
        <v>1266</v>
      </c>
      <c r="BV372" s="79">
        <v>500</v>
      </c>
      <c r="BW372" s="79">
        <v>420</v>
      </c>
      <c r="BX372" s="79" t="s">
        <v>1287</v>
      </c>
      <c r="BZ372" s="81">
        <v>0</v>
      </c>
      <c r="CA372" t="e">
        <f t="shared" si="51"/>
        <v>#NUM!</v>
      </c>
    </row>
    <row r="373" spans="1:79" x14ac:dyDescent="0.3">
      <c r="A373" s="2" t="s">
        <v>196</v>
      </c>
      <c r="B373" s="13" t="s">
        <v>802</v>
      </c>
      <c r="C373" s="13"/>
      <c r="D373" s="2">
        <v>2.98</v>
      </c>
      <c r="E373" s="2" t="s">
        <v>197</v>
      </c>
      <c r="F373" s="32" t="s">
        <v>583</v>
      </c>
      <c r="G373">
        <v>-1</v>
      </c>
      <c r="I373" s="2">
        <v>4</v>
      </c>
      <c r="J373" s="25">
        <v>0</v>
      </c>
      <c r="K373">
        <v>0</v>
      </c>
      <c r="L373">
        <v>0</v>
      </c>
      <c r="M373" s="2">
        <v>13.003</v>
      </c>
      <c r="N373" s="2">
        <v>5.5149999999999997</v>
      </c>
      <c r="O373" s="2">
        <v>7.7569999999999997</v>
      </c>
      <c r="P373" s="2" t="s">
        <v>1095</v>
      </c>
      <c r="Q373" s="2"/>
      <c r="R373" s="25">
        <v>0</v>
      </c>
      <c r="S373" s="25"/>
      <c r="T373" s="25"/>
      <c r="U373">
        <v>0</v>
      </c>
      <c r="X373">
        <v>0</v>
      </c>
      <c r="AA373" s="2"/>
      <c r="AB373">
        <v>14</v>
      </c>
      <c r="AC373" s="55">
        <f t="shared" si="59"/>
        <v>556.266454565</v>
      </c>
      <c r="AD373" s="57">
        <v>0</v>
      </c>
      <c r="AE373" s="55">
        <v>0</v>
      </c>
      <c r="AF373" s="55">
        <v>0</v>
      </c>
      <c r="AG373" s="52">
        <f t="shared" si="60"/>
        <v>0.10067117932500884</v>
      </c>
      <c r="AH373" s="51"/>
      <c r="AI373" s="52"/>
      <c r="AJ373" s="52"/>
      <c r="AK373" s="28">
        <v>2</v>
      </c>
      <c r="AL373" s="28">
        <v>2.545454545454545</v>
      </c>
      <c r="AM373" s="28">
        <v>0.45454545454545447</v>
      </c>
      <c r="AN373" s="28">
        <v>0.27272727272727271</v>
      </c>
      <c r="AO373" s="28">
        <v>0.37931034482758619</v>
      </c>
      <c r="AP373" s="28">
        <v>0.48275862068965519</v>
      </c>
      <c r="AQ373" s="28">
        <v>8.6206896551724144E-2</v>
      </c>
      <c r="AR373" s="28">
        <v>5.1724137931034482E-2</v>
      </c>
      <c r="AS373" s="25">
        <v>1.1000000000000001</v>
      </c>
      <c r="AT373" s="25">
        <v>3.44</v>
      </c>
      <c r="AU373" s="25">
        <v>2.34</v>
      </c>
      <c r="AV373" s="25">
        <v>2.6718181818181819</v>
      </c>
      <c r="AW373">
        <v>2.6718181818181819</v>
      </c>
      <c r="AX373">
        <v>5.9579696772727271</v>
      </c>
      <c r="AY373" s="75"/>
      <c r="AZ373" s="75"/>
      <c r="BA373" s="75"/>
      <c r="BB373">
        <v>5.0335589662504419E-2</v>
      </c>
      <c r="BF373">
        <v>0.1006711793250088</v>
      </c>
      <c r="BG373">
        <v>5.0335589662504419E-2</v>
      </c>
      <c r="BH373">
        <v>0</v>
      </c>
      <c r="BI373" s="79" t="s">
        <v>1264</v>
      </c>
      <c r="BJ373" s="79">
        <v>1423</v>
      </c>
      <c r="BK373" s="79">
        <v>10</v>
      </c>
      <c r="BM373" s="79" t="s">
        <v>1275</v>
      </c>
      <c r="BN373" s="79" t="s">
        <v>56</v>
      </c>
      <c r="BO373" s="79">
        <v>1</v>
      </c>
      <c r="BQ373" s="79">
        <v>6.67</v>
      </c>
      <c r="BR373" s="79">
        <v>0</v>
      </c>
      <c r="BS373" s="79" t="s">
        <v>464</v>
      </c>
      <c r="BT373" s="79" t="s">
        <v>464</v>
      </c>
      <c r="BU373" s="79" t="s">
        <v>1266</v>
      </c>
      <c r="BV373" s="79">
        <v>500</v>
      </c>
      <c r="BW373" s="79">
        <v>420</v>
      </c>
      <c r="BX373" s="79" t="s">
        <v>1287</v>
      </c>
      <c r="BZ373" s="81">
        <v>0</v>
      </c>
      <c r="CA373" t="e">
        <f t="shared" si="51"/>
        <v>#NUM!</v>
      </c>
    </row>
    <row r="374" spans="1:79" x14ac:dyDescent="0.3">
      <c r="A374" s="2" t="s">
        <v>44</v>
      </c>
      <c r="B374" s="13" t="s">
        <v>720</v>
      </c>
      <c r="C374" s="13"/>
      <c r="D374" s="5">
        <v>2.1</v>
      </c>
      <c r="E374" s="2" t="s">
        <v>198</v>
      </c>
      <c r="F374" s="9" t="s">
        <v>549</v>
      </c>
      <c r="G374">
        <v>-1</v>
      </c>
      <c r="I374" s="2"/>
      <c r="J374" s="25">
        <v>1</v>
      </c>
      <c r="K374">
        <v>0</v>
      </c>
      <c r="L374">
        <v>0</v>
      </c>
      <c r="M374" s="2">
        <v>3.871</v>
      </c>
      <c r="N374" s="2">
        <v>3.871</v>
      </c>
      <c r="O374" s="2">
        <v>29.783999999999999</v>
      </c>
      <c r="P374" s="2" t="s">
        <v>440</v>
      </c>
      <c r="Q374" s="2"/>
      <c r="R374" s="25">
        <v>15.28115725</v>
      </c>
      <c r="S374" s="25">
        <v>15.28115725</v>
      </c>
      <c r="T374" s="25">
        <v>15.28115725</v>
      </c>
      <c r="U374">
        <v>0</v>
      </c>
      <c r="X374">
        <v>0</v>
      </c>
      <c r="AA374" s="2"/>
      <c r="AB374">
        <v>20</v>
      </c>
      <c r="AC374" s="55">
        <f t="shared" si="44"/>
        <v>446.30254754399999</v>
      </c>
      <c r="AD374" s="57">
        <v>229.90248606119221</v>
      </c>
      <c r="AE374" s="55">
        <v>0</v>
      </c>
      <c r="AF374" s="55">
        <v>0</v>
      </c>
      <c r="AG374" s="52"/>
      <c r="AH374" s="51">
        <v>8.6993404650164072E-2</v>
      </c>
      <c r="AI374" s="52"/>
      <c r="AJ374" s="52"/>
      <c r="AK374" s="28">
        <v>1.882352941176471</v>
      </c>
      <c r="AL374" s="28">
        <v>2.3529411764705879</v>
      </c>
      <c r="AM374" s="28">
        <v>0.47058823529411759</v>
      </c>
      <c r="AN374" s="28">
        <v>0</v>
      </c>
      <c r="AO374" s="28">
        <v>0.4</v>
      </c>
      <c r="AP374" s="28">
        <v>0.5</v>
      </c>
      <c r="AQ374" s="28">
        <v>9.9999999999999992E-2</v>
      </c>
      <c r="AR374" s="28">
        <v>0</v>
      </c>
      <c r="AS374" s="25">
        <v>0.82</v>
      </c>
      <c r="AT374" s="25">
        <v>3.44</v>
      </c>
      <c r="AU374" s="25">
        <v>2.62</v>
      </c>
      <c r="AV374" s="25">
        <v>2.5211764705882351</v>
      </c>
      <c r="AW374">
        <v>2.521176470588236</v>
      </c>
      <c r="AX374">
        <v>5.6898745917647062</v>
      </c>
      <c r="AY374" s="75">
        <v>0.57369840599679445</v>
      </c>
      <c r="AZ374" s="75"/>
      <c r="BA374" s="75"/>
      <c r="BC374">
        <v>4.3496702325082043E-2</v>
      </c>
      <c r="BF374">
        <v>8.6993404650164072E-2</v>
      </c>
      <c r="BG374">
        <v>4.3496702325082043E-2</v>
      </c>
      <c r="BH374">
        <v>0.57369840599679445</v>
      </c>
      <c r="BI374" s="79" t="s">
        <v>1337</v>
      </c>
      <c r="BJ374" s="79">
        <f t="shared" ref="BJ374:BJ385" si="61">950+273</f>
        <v>1223</v>
      </c>
      <c r="BK374" s="79">
        <v>4</v>
      </c>
      <c r="BM374" s="79" t="s">
        <v>1275</v>
      </c>
      <c r="BN374" s="79" t="s">
        <v>1314</v>
      </c>
      <c r="BO374" s="79">
        <v>0.2</v>
      </c>
      <c r="BQ374" s="79">
        <v>1.67</v>
      </c>
      <c r="BR374" s="79">
        <v>0</v>
      </c>
      <c r="BS374" s="79" t="s">
        <v>464</v>
      </c>
      <c r="BT374" s="79" t="s">
        <v>464</v>
      </c>
      <c r="BU374" s="79" t="s">
        <v>1266</v>
      </c>
      <c r="BV374" s="79">
        <v>250</v>
      </c>
      <c r="BX374" s="79" t="s">
        <v>1287</v>
      </c>
      <c r="BY374" s="79">
        <f t="shared" ref="BY374:BY385" si="62">273+25</f>
        <v>298</v>
      </c>
      <c r="BZ374" s="81">
        <v>54.8</v>
      </c>
      <c r="CA374">
        <f t="shared" si="51"/>
        <v>4.00369019395397</v>
      </c>
    </row>
    <row r="375" spans="1:79" x14ac:dyDescent="0.3">
      <c r="A375" s="2" t="s">
        <v>1338</v>
      </c>
      <c r="B375" s="13"/>
      <c r="C375" s="13"/>
      <c r="D375" s="2"/>
      <c r="E375" s="2" t="s">
        <v>198</v>
      </c>
      <c r="F375" s="32" t="s">
        <v>549</v>
      </c>
      <c r="I375" s="2">
        <v>2</v>
      </c>
      <c r="J375" s="25"/>
      <c r="M375" s="2">
        <v>3.8641200000000002</v>
      </c>
      <c r="N375" s="2">
        <v>3.8641200000000002</v>
      </c>
      <c r="O375" s="2">
        <v>29.80125</v>
      </c>
      <c r="P375" s="2"/>
      <c r="Q375" s="2"/>
      <c r="R375" s="25"/>
      <c r="S375" s="25"/>
      <c r="T375" s="25"/>
      <c r="AA375" s="2"/>
      <c r="AC375" s="55">
        <f t="shared" si="44"/>
        <v>444.97508083633801</v>
      </c>
      <c r="AD375" s="57"/>
      <c r="AE375" s="55"/>
      <c r="AF375" s="55"/>
      <c r="AG375" s="52"/>
      <c r="AH375" s="51"/>
      <c r="AI375" s="52"/>
      <c r="AJ375" s="52"/>
      <c r="AK375" s="28"/>
      <c r="AL375" s="28"/>
      <c r="AM375" s="28"/>
      <c r="AN375" s="28"/>
      <c r="AO375" s="28"/>
      <c r="AP375" s="28"/>
      <c r="AQ375" s="28"/>
      <c r="AR375" s="28"/>
      <c r="AS375" s="25"/>
      <c r="AT375" s="25"/>
      <c r="AU375" s="25"/>
      <c r="AV375" s="25"/>
      <c r="AY375" s="75"/>
      <c r="AZ375" s="75"/>
      <c r="BA375" s="75"/>
      <c r="BI375" s="79" t="s">
        <v>1337</v>
      </c>
      <c r="BJ375" s="79">
        <f t="shared" si="61"/>
        <v>1223</v>
      </c>
      <c r="BK375" s="79">
        <v>4</v>
      </c>
      <c r="BM375" s="79" t="s">
        <v>1275</v>
      </c>
      <c r="BN375" s="79" t="s">
        <v>1314</v>
      </c>
      <c r="BO375" s="79">
        <v>0.2</v>
      </c>
      <c r="BQ375" s="79">
        <v>1.67</v>
      </c>
      <c r="BR375" s="79">
        <v>0</v>
      </c>
      <c r="BS375" s="79" t="s">
        <v>464</v>
      </c>
      <c r="BT375" s="79" t="s">
        <v>464</v>
      </c>
      <c r="BU375" s="79" t="s">
        <v>1266</v>
      </c>
      <c r="BV375" s="79">
        <v>250</v>
      </c>
      <c r="BX375" s="79" t="s">
        <v>1287</v>
      </c>
      <c r="BY375" s="79">
        <f t="shared" si="62"/>
        <v>298</v>
      </c>
      <c r="BZ375" s="81">
        <v>99.2</v>
      </c>
      <c r="CA375">
        <f t="shared" si="51"/>
        <v>4.5971380142908274</v>
      </c>
    </row>
    <row r="376" spans="1:79" x14ac:dyDescent="0.3">
      <c r="A376" s="2" t="s">
        <v>1339</v>
      </c>
      <c r="B376" s="13"/>
      <c r="C376" s="13"/>
      <c r="D376" s="2"/>
      <c r="E376" s="2" t="s">
        <v>198</v>
      </c>
      <c r="F376" s="32" t="s">
        <v>549</v>
      </c>
      <c r="I376" s="2">
        <v>2</v>
      </c>
      <c r="J376" s="25"/>
      <c r="M376" s="2">
        <v>3.8643800000000001</v>
      </c>
      <c r="N376" s="2">
        <v>3.8643800000000001</v>
      </c>
      <c r="O376" s="2">
        <v>29.813459999999999</v>
      </c>
      <c r="P376" s="2"/>
      <c r="Q376" s="2"/>
      <c r="R376" s="25"/>
      <c r="S376" s="25"/>
      <c r="T376" s="25"/>
      <c r="AA376" s="2"/>
      <c r="AC376" s="55">
        <f t="shared" si="44"/>
        <v>445.21730098039802</v>
      </c>
      <c r="AD376" s="57"/>
      <c r="AE376" s="55"/>
      <c r="AF376" s="55"/>
      <c r="AG376" s="52"/>
      <c r="AH376" s="51"/>
      <c r="AI376" s="52"/>
      <c r="AJ376" s="52"/>
      <c r="AK376" s="28"/>
      <c r="AL376" s="28"/>
      <c r="AM376" s="28"/>
      <c r="AN376" s="28"/>
      <c r="AO376" s="28"/>
      <c r="AP376" s="28"/>
      <c r="AQ376" s="28"/>
      <c r="AR376" s="28"/>
      <c r="AS376" s="25"/>
      <c r="AT376" s="25"/>
      <c r="AU376" s="25"/>
      <c r="AV376" s="25"/>
      <c r="AY376" s="75"/>
      <c r="AZ376" s="75"/>
      <c r="BA376" s="75"/>
      <c r="BI376" s="79" t="s">
        <v>1337</v>
      </c>
      <c r="BJ376" s="79">
        <f t="shared" si="61"/>
        <v>1223</v>
      </c>
      <c r="BK376" s="79">
        <v>4</v>
      </c>
      <c r="BM376" s="79" t="s">
        <v>1275</v>
      </c>
      <c r="BN376" s="79" t="s">
        <v>1314</v>
      </c>
      <c r="BO376" s="79">
        <v>0.2</v>
      </c>
      <c r="BQ376" s="79">
        <v>1.67</v>
      </c>
      <c r="BR376" s="79">
        <v>0</v>
      </c>
      <c r="BS376" s="79" t="s">
        <v>464</v>
      </c>
      <c r="BT376" s="79" t="s">
        <v>464</v>
      </c>
      <c r="BU376" s="79" t="s">
        <v>1266</v>
      </c>
      <c r="BV376" s="79">
        <v>250</v>
      </c>
      <c r="BX376" s="79" t="s">
        <v>1287</v>
      </c>
      <c r="BY376" s="79">
        <f t="shared" si="62"/>
        <v>298</v>
      </c>
      <c r="BZ376" s="81">
        <v>104</v>
      </c>
      <c r="CA376">
        <f t="shared" si="51"/>
        <v>4.6443908991413725</v>
      </c>
    </row>
    <row r="377" spans="1:79" x14ac:dyDescent="0.3">
      <c r="A377" s="2" t="s">
        <v>1340</v>
      </c>
      <c r="B377" s="13"/>
      <c r="C377" s="13"/>
      <c r="D377" s="2"/>
      <c r="E377" s="2" t="s">
        <v>198</v>
      </c>
      <c r="F377" s="32" t="s">
        <v>549</v>
      </c>
      <c r="I377" s="2">
        <v>2</v>
      </c>
      <c r="J377" s="25"/>
      <c r="M377" s="2">
        <v>3.8655200000000001</v>
      </c>
      <c r="N377" s="2">
        <v>3.8655200000000001</v>
      </c>
      <c r="O377" s="2">
        <v>29.82349</v>
      </c>
      <c r="P377" s="2"/>
      <c r="Q377" s="2"/>
      <c r="R377" s="25"/>
      <c r="S377" s="25"/>
      <c r="T377" s="25"/>
      <c r="AA377" s="2"/>
      <c r="AC377" s="55">
        <f t="shared" si="44"/>
        <v>445.62989046992567</v>
      </c>
      <c r="AD377" s="57"/>
      <c r="AE377" s="55"/>
      <c r="AF377" s="55"/>
      <c r="AG377" s="52"/>
      <c r="AH377" s="51"/>
      <c r="AI377" s="52"/>
      <c r="AJ377" s="52"/>
      <c r="AK377" s="28"/>
      <c r="AL377" s="28"/>
      <c r="AM377" s="28"/>
      <c r="AN377" s="28"/>
      <c r="AO377" s="28"/>
      <c r="AP377" s="28"/>
      <c r="AQ377" s="28"/>
      <c r="AR377" s="28"/>
      <c r="AS377" s="25"/>
      <c r="AT377" s="25"/>
      <c r="AU377" s="25"/>
      <c r="AV377" s="25"/>
      <c r="AY377" s="75"/>
      <c r="AZ377" s="75"/>
      <c r="BA377" s="75"/>
      <c r="BI377" s="79" t="s">
        <v>1337</v>
      </c>
      <c r="BJ377" s="79">
        <f t="shared" si="61"/>
        <v>1223</v>
      </c>
      <c r="BK377" s="79">
        <v>4</v>
      </c>
      <c r="BM377" s="79" t="s">
        <v>1275</v>
      </c>
      <c r="BN377" s="79" t="s">
        <v>1314</v>
      </c>
      <c r="BO377" s="79">
        <v>0.2</v>
      </c>
      <c r="BQ377" s="79">
        <v>1.67</v>
      </c>
      <c r="BR377" s="79">
        <v>0</v>
      </c>
      <c r="BS377" s="79" t="s">
        <v>464</v>
      </c>
      <c r="BT377" s="79" t="s">
        <v>464</v>
      </c>
      <c r="BU377" s="79" t="s">
        <v>1266</v>
      </c>
      <c r="BV377" s="79">
        <v>250</v>
      </c>
      <c r="BX377" s="79" t="s">
        <v>1287</v>
      </c>
      <c r="BY377" s="79">
        <f t="shared" si="62"/>
        <v>298</v>
      </c>
      <c r="BZ377" s="81">
        <v>126.6</v>
      </c>
      <c r="CA377">
        <f t="shared" si="51"/>
        <v>4.8410325097100761</v>
      </c>
    </row>
    <row r="378" spans="1:79" x14ac:dyDescent="0.3">
      <c r="A378" s="2" t="s">
        <v>1341</v>
      </c>
      <c r="B378" s="13"/>
      <c r="C378" s="13"/>
      <c r="D378" s="2"/>
      <c r="E378" s="2" t="s">
        <v>198</v>
      </c>
      <c r="F378" s="32" t="s">
        <v>549</v>
      </c>
      <c r="I378" s="2">
        <v>2</v>
      </c>
      <c r="J378" s="25"/>
      <c r="M378" s="2">
        <v>3.8651900000000001</v>
      </c>
      <c r="N378" s="2">
        <v>3.8651900000000001</v>
      </c>
      <c r="O378" s="2">
        <v>29.83013</v>
      </c>
      <c r="P378" s="2"/>
      <c r="Q378" s="2"/>
      <c r="R378" s="25"/>
      <c r="S378" s="25"/>
      <c r="T378" s="25"/>
      <c r="AA378" s="2"/>
      <c r="AC378" s="55">
        <f t="shared" si="44"/>
        <v>445.6530063080487</v>
      </c>
      <c r="AD378" s="57"/>
      <c r="AE378" s="55"/>
      <c r="AF378" s="55"/>
      <c r="AG378" s="52"/>
      <c r="AH378" s="51"/>
      <c r="AI378" s="52"/>
      <c r="AJ378" s="52"/>
      <c r="AK378" s="28"/>
      <c r="AL378" s="28"/>
      <c r="AM378" s="28"/>
      <c r="AN378" s="28"/>
      <c r="AO378" s="28"/>
      <c r="AP378" s="28"/>
      <c r="AQ378" s="28"/>
      <c r="AR378" s="28"/>
      <c r="AS378" s="25"/>
      <c r="AT378" s="25"/>
      <c r="AU378" s="25"/>
      <c r="AV378" s="25"/>
      <c r="AY378" s="75"/>
      <c r="AZ378" s="75"/>
      <c r="BA378" s="75"/>
      <c r="BI378" s="79" t="s">
        <v>1337</v>
      </c>
      <c r="BJ378" s="79">
        <f t="shared" si="61"/>
        <v>1223</v>
      </c>
      <c r="BK378" s="79">
        <v>4</v>
      </c>
      <c r="BM378" s="79" t="s">
        <v>1275</v>
      </c>
      <c r="BN378" s="79" t="s">
        <v>1314</v>
      </c>
      <c r="BO378" s="79">
        <v>0.2</v>
      </c>
      <c r="BQ378" s="79">
        <v>1.67</v>
      </c>
      <c r="BR378" s="79">
        <v>0</v>
      </c>
      <c r="BS378" s="79" t="s">
        <v>464</v>
      </c>
      <c r="BT378" s="79" t="s">
        <v>464</v>
      </c>
      <c r="BU378" s="79" t="s">
        <v>1266</v>
      </c>
      <c r="BV378" s="79">
        <v>250</v>
      </c>
      <c r="BX378" s="79" t="s">
        <v>1287</v>
      </c>
      <c r="BY378" s="79">
        <f t="shared" si="62"/>
        <v>298</v>
      </c>
      <c r="BZ378" s="81">
        <v>39.6</v>
      </c>
      <c r="CA378">
        <f t="shared" si="51"/>
        <v>3.6788291182604347</v>
      </c>
    </row>
    <row r="379" spans="1:79" x14ac:dyDescent="0.3">
      <c r="A379" s="2" t="s">
        <v>1342</v>
      </c>
      <c r="B379" s="13"/>
      <c r="C379" s="13"/>
      <c r="D379" s="2"/>
      <c r="E379" s="2" t="s">
        <v>198</v>
      </c>
      <c r="F379" s="32" t="s">
        <v>549</v>
      </c>
      <c r="I379" s="2">
        <v>2</v>
      </c>
      <c r="J379" s="25"/>
      <c r="M379" s="2">
        <v>3.8657400000000002</v>
      </c>
      <c r="N379" s="2">
        <v>3.8657400000000002</v>
      </c>
      <c r="O379" s="2">
        <v>29.839960000000001</v>
      </c>
      <c r="P379" s="2"/>
      <c r="Q379" s="2"/>
      <c r="R379" s="25"/>
      <c r="S379" s="25"/>
      <c r="T379" s="25"/>
      <c r="AA379" s="2"/>
      <c r="AC379" s="55">
        <f t="shared" si="44"/>
        <v>445.92674335055415</v>
      </c>
      <c r="AD379" s="57"/>
      <c r="AE379" s="55"/>
      <c r="AF379" s="55"/>
      <c r="AG379" s="52"/>
      <c r="AH379" s="51"/>
      <c r="AI379" s="52"/>
      <c r="AJ379" s="52"/>
      <c r="AK379" s="28"/>
      <c r="AL379" s="28"/>
      <c r="AM379" s="28"/>
      <c r="AN379" s="28"/>
      <c r="AO379" s="28"/>
      <c r="AP379" s="28"/>
      <c r="AQ379" s="28"/>
      <c r="AR379" s="28"/>
      <c r="AS379" s="25"/>
      <c r="AT379" s="25"/>
      <c r="AU379" s="25"/>
      <c r="AV379" s="25"/>
      <c r="AY379" s="75"/>
      <c r="AZ379" s="75"/>
      <c r="BA379" s="75"/>
      <c r="BI379" s="79" t="s">
        <v>1337</v>
      </c>
      <c r="BJ379" s="79">
        <f t="shared" si="61"/>
        <v>1223</v>
      </c>
      <c r="BK379" s="79">
        <v>4</v>
      </c>
      <c r="BM379" s="79" t="s">
        <v>1275</v>
      </c>
      <c r="BN379" s="79" t="s">
        <v>1314</v>
      </c>
      <c r="BO379" s="79">
        <v>0.2</v>
      </c>
      <c r="BQ379" s="79">
        <v>1.67</v>
      </c>
      <c r="BR379" s="79">
        <v>0</v>
      </c>
      <c r="BS379" s="79" t="s">
        <v>464</v>
      </c>
      <c r="BT379" s="79" t="s">
        <v>464</v>
      </c>
      <c r="BU379" s="79" t="s">
        <v>1266</v>
      </c>
      <c r="BV379" s="79">
        <v>250</v>
      </c>
      <c r="BX379" s="79" t="s">
        <v>1287</v>
      </c>
      <c r="BY379" s="79">
        <f t="shared" si="62"/>
        <v>298</v>
      </c>
      <c r="BZ379" s="81">
        <v>34.200000000000003</v>
      </c>
      <c r="CA379">
        <f t="shared" si="51"/>
        <v>3.5322256440685598</v>
      </c>
    </row>
    <row r="380" spans="1:79" x14ac:dyDescent="0.3">
      <c r="A380" s="2" t="s">
        <v>44</v>
      </c>
      <c r="B380" s="13" t="s">
        <v>720</v>
      </c>
      <c r="C380" s="13"/>
      <c r="D380" s="2">
        <v>2.1</v>
      </c>
      <c r="E380" s="2" t="s">
        <v>198</v>
      </c>
      <c r="F380" s="9" t="s">
        <v>549</v>
      </c>
      <c r="G380">
        <v>-1</v>
      </c>
      <c r="I380" s="2"/>
      <c r="J380" s="25">
        <v>1</v>
      </c>
      <c r="K380">
        <v>0</v>
      </c>
      <c r="L380">
        <v>0</v>
      </c>
      <c r="M380" s="2">
        <v>3.871</v>
      </c>
      <c r="N380" s="2">
        <v>3.871</v>
      </c>
      <c r="O380" s="2">
        <v>29.783999999999999</v>
      </c>
      <c r="P380" s="2" t="s">
        <v>440</v>
      </c>
      <c r="Q380" s="2"/>
      <c r="R380" s="25">
        <v>15.28115725</v>
      </c>
      <c r="S380" s="25">
        <v>15.28115725</v>
      </c>
      <c r="T380" s="25">
        <v>15.28115725</v>
      </c>
      <c r="U380">
        <v>0</v>
      </c>
      <c r="X380">
        <v>0</v>
      </c>
      <c r="AA380" s="2"/>
      <c r="AB380">
        <v>20</v>
      </c>
      <c r="AC380" s="55">
        <f t="shared" ref="AC380:AC385" si="63">M380*N380*O380</f>
        <v>446.30254754399999</v>
      </c>
      <c r="AD380" s="57">
        <v>229.90248606119221</v>
      </c>
      <c r="AE380" s="55">
        <v>0</v>
      </c>
      <c r="AF380" s="55">
        <v>0</v>
      </c>
      <c r="AG380" s="52"/>
      <c r="AH380" s="51">
        <v>8.6993404650164072E-2</v>
      </c>
      <c r="AI380" s="52"/>
      <c r="AJ380" s="52"/>
      <c r="AK380" s="28">
        <v>1.882352941176471</v>
      </c>
      <c r="AL380" s="28">
        <v>2.3529411764705879</v>
      </c>
      <c r="AM380" s="28">
        <v>0.47058823529411759</v>
      </c>
      <c r="AN380" s="28">
        <v>0</v>
      </c>
      <c r="AO380" s="28">
        <v>0.4</v>
      </c>
      <c r="AP380" s="28">
        <v>0.5</v>
      </c>
      <c r="AQ380" s="28">
        <v>9.9999999999999992E-2</v>
      </c>
      <c r="AR380" s="28">
        <v>0</v>
      </c>
      <c r="AS380" s="25">
        <v>0.82</v>
      </c>
      <c r="AT380" s="25">
        <v>3.44</v>
      </c>
      <c r="AU380" s="25">
        <v>2.62</v>
      </c>
      <c r="AV380" s="25">
        <v>2.5211764705882351</v>
      </c>
      <c r="AW380">
        <v>2.521176470588236</v>
      </c>
      <c r="AX380">
        <v>5.6898745917647062</v>
      </c>
      <c r="AY380" s="75">
        <v>0.57369840599679445</v>
      </c>
      <c r="AZ380" s="75"/>
      <c r="BA380" s="75"/>
      <c r="BC380">
        <v>4.3496702325082043E-2</v>
      </c>
      <c r="BF380">
        <v>8.6993404650164072E-2</v>
      </c>
      <c r="BG380">
        <v>4.3496702325082043E-2</v>
      </c>
      <c r="BH380">
        <v>0.57369840599679445</v>
      </c>
      <c r="BI380" s="79" t="s">
        <v>1337</v>
      </c>
      <c r="BJ380" s="79">
        <f t="shared" si="61"/>
        <v>1223</v>
      </c>
      <c r="BK380" s="79">
        <v>4</v>
      </c>
      <c r="BM380" s="79" t="s">
        <v>1275</v>
      </c>
      <c r="BN380" s="79" t="s">
        <v>1314</v>
      </c>
      <c r="BO380" s="79">
        <v>0.2</v>
      </c>
      <c r="BQ380" s="79">
        <v>1.67</v>
      </c>
      <c r="BR380" s="79">
        <v>0</v>
      </c>
      <c r="BS380" s="79" t="s">
        <v>464</v>
      </c>
      <c r="BT380" s="79" t="s">
        <v>464</v>
      </c>
      <c r="BU380" s="79" t="s">
        <v>1271</v>
      </c>
      <c r="BV380" s="79">
        <v>250</v>
      </c>
      <c r="BX380" s="79" t="s">
        <v>1287</v>
      </c>
      <c r="BY380" s="79">
        <f t="shared" si="62"/>
        <v>298</v>
      </c>
      <c r="BZ380" s="81">
        <f>15.8</f>
        <v>15.8</v>
      </c>
      <c r="CA380">
        <f t="shared" si="51"/>
        <v>2.760009940032921</v>
      </c>
    </row>
    <row r="381" spans="1:79" x14ac:dyDescent="0.3">
      <c r="A381" s="2" t="s">
        <v>1338</v>
      </c>
      <c r="B381" s="13"/>
      <c r="C381" s="13"/>
      <c r="D381" s="2"/>
      <c r="E381" s="2" t="s">
        <v>198</v>
      </c>
      <c r="F381" s="32" t="s">
        <v>549</v>
      </c>
      <c r="I381" s="2">
        <v>2</v>
      </c>
      <c r="J381" s="25"/>
      <c r="M381" s="2">
        <v>3.8641200000000002</v>
      </c>
      <c r="N381" s="2">
        <v>3.8641200000000002</v>
      </c>
      <c r="O381" s="2">
        <v>29.80125</v>
      </c>
      <c r="P381" s="2"/>
      <c r="Q381" s="2"/>
      <c r="R381" s="25"/>
      <c r="S381" s="25"/>
      <c r="T381" s="25"/>
      <c r="AA381" s="2"/>
      <c r="AC381" s="55">
        <f t="shared" si="63"/>
        <v>444.97508083633801</v>
      </c>
      <c r="AD381" s="57"/>
      <c r="AE381" s="55"/>
      <c r="AF381" s="55"/>
      <c r="AG381" s="52"/>
      <c r="AH381" s="51"/>
      <c r="AI381" s="52"/>
      <c r="AJ381" s="52"/>
      <c r="AK381" s="28"/>
      <c r="AL381" s="28"/>
      <c r="AM381" s="28"/>
      <c r="AN381" s="28"/>
      <c r="AO381" s="28"/>
      <c r="AP381" s="28"/>
      <c r="AQ381" s="28"/>
      <c r="AR381" s="28"/>
      <c r="AS381" s="25"/>
      <c r="AT381" s="25"/>
      <c r="AU381" s="25"/>
      <c r="AV381" s="25"/>
      <c r="AY381" s="75"/>
      <c r="AZ381" s="75"/>
      <c r="BA381" s="75"/>
      <c r="BI381" s="79" t="s">
        <v>1337</v>
      </c>
      <c r="BJ381" s="79">
        <f t="shared" si="61"/>
        <v>1223</v>
      </c>
      <c r="BK381" s="79">
        <v>4</v>
      </c>
      <c r="BM381" s="79" t="s">
        <v>1275</v>
      </c>
      <c r="BN381" s="79" t="s">
        <v>1314</v>
      </c>
      <c r="BO381" s="79">
        <v>0.2</v>
      </c>
      <c r="BQ381" s="79">
        <v>1.67</v>
      </c>
      <c r="BR381" s="79">
        <v>0</v>
      </c>
      <c r="BS381" s="79" t="s">
        <v>464</v>
      </c>
      <c r="BT381" s="79" t="s">
        <v>464</v>
      </c>
      <c r="BU381" s="79" t="s">
        <v>1271</v>
      </c>
      <c r="BV381" s="79">
        <v>250</v>
      </c>
      <c r="BX381" s="79" t="s">
        <v>1287</v>
      </c>
      <c r="BY381" s="79">
        <f t="shared" si="62"/>
        <v>298</v>
      </c>
      <c r="BZ381" s="81">
        <v>25.8</v>
      </c>
      <c r="CA381">
        <f t="shared" si="51"/>
        <v>3.2503744919275719</v>
      </c>
    </row>
    <row r="382" spans="1:79" x14ac:dyDescent="0.3">
      <c r="A382" s="2" t="s">
        <v>1339</v>
      </c>
      <c r="B382" s="13"/>
      <c r="C382" s="13"/>
      <c r="D382" s="2"/>
      <c r="E382" s="2" t="s">
        <v>198</v>
      </c>
      <c r="F382" s="32" t="s">
        <v>549</v>
      </c>
      <c r="I382" s="2">
        <v>2</v>
      </c>
      <c r="J382" s="25"/>
      <c r="M382" s="2">
        <v>3.8643800000000001</v>
      </c>
      <c r="N382" s="2">
        <v>3.8643800000000001</v>
      </c>
      <c r="O382" s="2">
        <v>29.813459999999999</v>
      </c>
      <c r="P382" s="2"/>
      <c r="Q382" s="2"/>
      <c r="R382" s="25"/>
      <c r="S382" s="25"/>
      <c r="T382" s="25"/>
      <c r="AA382" s="2"/>
      <c r="AC382" s="55">
        <f t="shared" si="63"/>
        <v>445.21730098039802</v>
      </c>
      <c r="AD382" s="57"/>
      <c r="AE382" s="55"/>
      <c r="AF382" s="55"/>
      <c r="AG382" s="52"/>
      <c r="AH382" s="51"/>
      <c r="AI382" s="52"/>
      <c r="AJ382" s="52"/>
      <c r="AK382" s="28"/>
      <c r="AL382" s="28"/>
      <c r="AM382" s="28"/>
      <c r="AN382" s="28"/>
      <c r="AO382" s="28"/>
      <c r="AP382" s="28"/>
      <c r="AQ382" s="28"/>
      <c r="AR382" s="28"/>
      <c r="AS382" s="25"/>
      <c r="AT382" s="25"/>
      <c r="AU382" s="25"/>
      <c r="AV382" s="25"/>
      <c r="AY382" s="75"/>
      <c r="AZ382" s="75"/>
      <c r="BA382" s="75"/>
      <c r="BI382" s="79" t="s">
        <v>1337</v>
      </c>
      <c r="BJ382" s="79">
        <f t="shared" si="61"/>
        <v>1223</v>
      </c>
      <c r="BK382" s="79">
        <v>4</v>
      </c>
      <c r="BM382" s="79" t="s">
        <v>1275</v>
      </c>
      <c r="BN382" s="79" t="s">
        <v>1314</v>
      </c>
      <c r="BO382" s="79">
        <v>0.2</v>
      </c>
      <c r="BQ382" s="79">
        <v>1.67</v>
      </c>
      <c r="BR382" s="79">
        <v>0</v>
      </c>
      <c r="BS382" s="79" t="s">
        <v>464</v>
      </c>
      <c r="BT382" s="79" t="s">
        <v>464</v>
      </c>
      <c r="BU382" s="79" t="s">
        <v>1271</v>
      </c>
      <c r="BV382" s="79">
        <v>250</v>
      </c>
      <c r="BX382" s="79" t="s">
        <v>1287</v>
      </c>
      <c r="BY382" s="79">
        <f t="shared" si="62"/>
        <v>298</v>
      </c>
      <c r="BZ382" s="81">
        <v>35.4</v>
      </c>
      <c r="CA382">
        <f t="shared" si="51"/>
        <v>3.5667118201397288</v>
      </c>
    </row>
    <row r="383" spans="1:79" x14ac:dyDescent="0.3">
      <c r="A383" s="2" t="s">
        <v>1340</v>
      </c>
      <c r="B383" s="13"/>
      <c r="C383" s="13"/>
      <c r="D383" s="2"/>
      <c r="E383" s="2" t="s">
        <v>198</v>
      </c>
      <c r="F383" s="32" t="s">
        <v>549</v>
      </c>
      <c r="I383" s="2">
        <v>2</v>
      </c>
      <c r="J383" s="25"/>
      <c r="M383" s="2">
        <v>3.8655200000000001</v>
      </c>
      <c r="N383" s="2">
        <v>3.8655200000000001</v>
      </c>
      <c r="O383" s="2">
        <v>29.82349</v>
      </c>
      <c r="P383" s="2"/>
      <c r="Q383" s="2"/>
      <c r="R383" s="25"/>
      <c r="S383" s="25"/>
      <c r="T383" s="25"/>
      <c r="AA383" s="2"/>
      <c r="AC383" s="55">
        <f t="shared" si="63"/>
        <v>445.62989046992567</v>
      </c>
      <c r="AD383" s="57"/>
      <c r="AE383" s="55"/>
      <c r="AF383" s="55"/>
      <c r="AG383" s="52"/>
      <c r="AH383" s="51"/>
      <c r="AI383" s="52"/>
      <c r="AJ383" s="52"/>
      <c r="AK383" s="28"/>
      <c r="AL383" s="28"/>
      <c r="AM383" s="28"/>
      <c r="AN383" s="28"/>
      <c r="AO383" s="28"/>
      <c r="AP383" s="28"/>
      <c r="AQ383" s="28"/>
      <c r="AR383" s="28"/>
      <c r="AS383" s="25"/>
      <c r="AT383" s="25"/>
      <c r="AU383" s="25"/>
      <c r="AV383" s="25"/>
      <c r="AY383" s="75"/>
      <c r="AZ383" s="75"/>
      <c r="BA383" s="75"/>
      <c r="BI383" s="79" t="s">
        <v>1337</v>
      </c>
      <c r="BJ383" s="79">
        <f t="shared" si="61"/>
        <v>1223</v>
      </c>
      <c r="BK383" s="79">
        <v>4</v>
      </c>
      <c r="BM383" s="79" t="s">
        <v>1275</v>
      </c>
      <c r="BN383" s="79" t="s">
        <v>1314</v>
      </c>
      <c r="BO383" s="79">
        <v>0.2</v>
      </c>
      <c r="BQ383" s="79">
        <v>1.67</v>
      </c>
      <c r="BR383" s="79">
        <v>0</v>
      </c>
      <c r="BS383" s="79" t="s">
        <v>464</v>
      </c>
      <c r="BT383" s="79" t="s">
        <v>464</v>
      </c>
      <c r="BU383" s="79" t="s">
        <v>1271</v>
      </c>
      <c r="BV383" s="79">
        <v>250</v>
      </c>
      <c r="BX383" s="79" t="s">
        <v>1287</v>
      </c>
      <c r="BY383" s="79">
        <f t="shared" si="62"/>
        <v>298</v>
      </c>
      <c r="BZ383" s="81">
        <v>55.5</v>
      </c>
      <c r="CA383">
        <f t="shared" si="51"/>
        <v>4.0163830207523885</v>
      </c>
    </row>
    <row r="384" spans="1:79" x14ac:dyDescent="0.3">
      <c r="A384" s="2" t="s">
        <v>1341</v>
      </c>
      <c r="B384" s="13"/>
      <c r="C384" s="13"/>
      <c r="D384" s="2"/>
      <c r="E384" s="2" t="s">
        <v>198</v>
      </c>
      <c r="F384" s="32" t="s">
        <v>549</v>
      </c>
      <c r="I384" s="2">
        <v>2</v>
      </c>
      <c r="J384" s="25"/>
      <c r="M384" s="2">
        <v>3.8651900000000001</v>
      </c>
      <c r="N384" s="2">
        <v>3.8651900000000001</v>
      </c>
      <c r="O384" s="2">
        <v>29.83013</v>
      </c>
      <c r="P384" s="2"/>
      <c r="Q384" s="2"/>
      <c r="R384" s="25"/>
      <c r="S384" s="25"/>
      <c r="T384" s="25"/>
      <c r="AA384" s="2"/>
      <c r="AC384" s="55">
        <f t="shared" si="63"/>
        <v>445.6530063080487</v>
      </c>
      <c r="AD384" s="57"/>
      <c r="AE384" s="55"/>
      <c r="AF384" s="55"/>
      <c r="AG384" s="52"/>
      <c r="AH384" s="51"/>
      <c r="AI384" s="52"/>
      <c r="AJ384" s="52"/>
      <c r="AK384" s="28"/>
      <c r="AL384" s="28"/>
      <c r="AM384" s="28"/>
      <c r="AN384" s="28"/>
      <c r="AO384" s="28"/>
      <c r="AP384" s="28"/>
      <c r="AQ384" s="28"/>
      <c r="AR384" s="28"/>
      <c r="AS384" s="25"/>
      <c r="AT384" s="25"/>
      <c r="AU384" s="25"/>
      <c r="AV384" s="25"/>
      <c r="AY384" s="75"/>
      <c r="AZ384" s="75"/>
      <c r="BA384" s="75"/>
      <c r="BI384" s="79" t="s">
        <v>1337</v>
      </c>
      <c r="BJ384" s="79">
        <f t="shared" si="61"/>
        <v>1223</v>
      </c>
      <c r="BK384" s="79">
        <v>4</v>
      </c>
      <c r="BM384" s="79" t="s">
        <v>1275</v>
      </c>
      <c r="BN384" s="79" t="s">
        <v>1314</v>
      </c>
      <c r="BO384" s="79">
        <v>0.2</v>
      </c>
      <c r="BQ384" s="79">
        <v>1.67</v>
      </c>
      <c r="BR384" s="79">
        <v>0</v>
      </c>
      <c r="BS384" s="79" t="s">
        <v>464</v>
      </c>
      <c r="BT384" s="79" t="s">
        <v>464</v>
      </c>
      <c r="BU384" s="79" t="s">
        <v>1271</v>
      </c>
      <c r="BV384" s="79">
        <v>250</v>
      </c>
      <c r="BX384" s="79" t="s">
        <v>1287</v>
      </c>
      <c r="BY384" s="79">
        <f t="shared" si="62"/>
        <v>298</v>
      </c>
      <c r="BZ384" s="81">
        <v>11</v>
      </c>
      <c r="CA384">
        <f t="shared" si="51"/>
        <v>2.3978952727983707</v>
      </c>
    </row>
    <row r="385" spans="1:79" x14ac:dyDescent="0.3">
      <c r="A385" s="2" t="s">
        <v>1342</v>
      </c>
      <c r="B385" s="13"/>
      <c r="C385" s="13"/>
      <c r="D385" s="2"/>
      <c r="E385" s="2" t="s">
        <v>198</v>
      </c>
      <c r="F385" s="32" t="s">
        <v>549</v>
      </c>
      <c r="I385" s="2">
        <v>2</v>
      </c>
      <c r="J385" s="25"/>
      <c r="M385" s="2">
        <v>3.8657400000000002</v>
      </c>
      <c r="N385" s="2">
        <v>3.8657400000000002</v>
      </c>
      <c r="O385" s="2">
        <v>29.839960000000001</v>
      </c>
      <c r="P385" s="2"/>
      <c r="Q385" s="2"/>
      <c r="R385" s="25"/>
      <c r="S385" s="25"/>
      <c r="T385" s="25"/>
      <c r="AA385" s="2"/>
      <c r="AC385" s="55">
        <f t="shared" si="63"/>
        <v>445.92674335055415</v>
      </c>
      <c r="AD385" s="57"/>
      <c r="AE385" s="55"/>
      <c r="AF385" s="55"/>
      <c r="AG385" s="52"/>
      <c r="AH385" s="51"/>
      <c r="AI385" s="52"/>
      <c r="AJ385" s="52"/>
      <c r="AK385" s="28"/>
      <c r="AL385" s="28"/>
      <c r="AM385" s="28"/>
      <c r="AN385" s="28"/>
      <c r="AO385" s="28"/>
      <c r="AP385" s="28"/>
      <c r="AQ385" s="28"/>
      <c r="AR385" s="28"/>
      <c r="AS385" s="25"/>
      <c r="AT385" s="25"/>
      <c r="AU385" s="25"/>
      <c r="AV385" s="25"/>
      <c r="AY385" s="75"/>
      <c r="AZ385" s="75"/>
      <c r="BA385" s="75"/>
      <c r="BI385" s="79" t="s">
        <v>1337</v>
      </c>
      <c r="BJ385" s="79">
        <f t="shared" si="61"/>
        <v>1223</v>
      </c>
      <c r="BK385" s="79">
        <v>4</v>
      </c>
      <c r="BM385" s="79" t="s">
        <v>1275</v>
      </c>
      <c r="BN385" s="79" t="s">
        <v>1314</v>
      </c>
      <c r="BO385" s="79">
        <v>0.2</v>
      </c>
      <c r="BQ385" s="79">
        <v>1.67</v>
      </c>
      <c r="BR385" s="79">
        <v>0</v>
      </c>
      <c r="BS385" s="79" t="s">
        <v>464</v>
      </c>
      <c r="BT385" s="79" t="s">
        <v>464</v>
      </c>
      <c r="BU385" s="79" t="s">
        <v>1271</v>
      </c>
      <c r="BV385" s="79">
        <v>250</v>
      </c>
      <c r="BX385" s="79" t="s">
        <v>1287</v>
      </c>
      <c r="BY385" s="79">
        <f t="shared" si="62"/>
        <v>298</v>
      </c>
      <c r="BZ385" s="81">
        <v>0</v>
      </c>
      <c r="CA385" t="e">
        <f t="shared" si="51"/>
        <v>#NUM!</v>
      </c>
    </row>
    <row r="386" spans="1:79" x14ac:dyDescent="0.3">
      <c r="A386" s="2" t="s">
        <v>1343</v>
      </c>
      <c r="B386" s="13" t="s">
        <v>867</v>
      </c>
      <c r="C386" s="13"/>
      <c r="D386" s="2">
        <v>2</v>
      </c>
      <c r="E386" s="2" t="s">
        <v>207</v>
      </c>
      <c r="F386" s="32" t="s">
        <v>549</v>
      </c>
      <c r="G386">
        <v>-1</v>
      </c>
      <c r="I386" s="2"/>
      <c r="J386" s="25">
        <v>0</v>
      </c>
      <c r="K386">
        <v>0</v>
      </c>
      <c r="L386">
        <v>0</v>
      </c>
      <c r="M386" s="1">
        <v>3.871</v>
      </c>
      <c r="N386" s="1">
        <v>3.871</v>
      </c>
      <c r="O386" s="2">
        <v>29.297000000000001</v>
      </c>
      <c r="P386" s="2"/>
      <c r="Q386" s="2"/>
      <c r="R386" s="25">
        <v>0</v>
      </c>
      <c r="S386" s="25"/>
      <c r="T386" s="25"/>
      <c r="U386">
        <v>0</v>
      </c>
      <c r="X386">
        <v>0</v>
      </c>
      <c r="AA386" s="2"/>
      <c r="AB386">
        <v>20</v>
      </c>
      <c r="AC386" s="55">
        <f t="shared" si="44"/>
        <v>439.00502737700003</v>
      </c>
      <c r="AD386" s="57">
        <v>0</v>
      </c>
      <c r="AE386" s="55">
        <v>0</v>
      </c>
      <c r="AF386" s="55">
        <v>0</v>
      </c>
      <c r="AG386" s="52"/>
      <c r="AH386" s="51"/>
      <c r="AI386" s="52"/>
      <c r="AJ386" s="52"/>
      <c r="AK386" s="28">
        <v>1.882352941176471</v>
      </c>
      <c r="AL386" s="28">
        <v>2.3529411764705879</v>
      </c>
      <c r="AM386" s="28">
        <v>1.6470588235294119</v>
      </c>
      <c r="AN386" s="28">
        <v>0</v>
      </c>
      <c r="AO386" s="28">
        <v>0.32</v>
      </c>
      <c r="AP386" s="28">
        <v>0.4</v>
      </c>
      <c r="AQ386" s="28">
        <v>0.28000000000000003</v>
      </c>
      <c r="AR386" s="28">
        <v>0</v>
      </c>
      <c r="AS386" s="25">
        <v>1.1000000000000001</v>
      </c>
      <c r="AT386" s="25">
        <v>3.44</v>
      </c>
      <c r="AU386" s="25">
        <v>2.34</v>
      </c>
      <c r="AV386" s="25">
        <v>2.6482352941176468</v>
      </c>
      <c r="AW386">
        <v>2.6482352941176468</v>
      </c>
      <c r="AX386">
        <v>5.9322299529411762</v>
      </c>
      <c r="AY386" s="75"/>
      <c r="AZ386" s="75"/>
      <c r="BA386" s="75"/>
      <c r="BF386">
        <v>0</v>
      </c>
      <c r="BG386">
        <v>0</v>
      </c>
      <c r="BH386">
        <v>0</v>
      </c>
      <c r="BI386" s="79" t="s">
        <v>1264</v>
      </c>
      <c r="BJ386" s="79">
        <v>1173</v>
      </c>
      <c r="BK386" s="79">
        <v>2</v>
      </c>
      <c r="BM386" s="79" t="s">
        <v>1268</v>
      </c>
      <c r="BN386" s="79" t="s">
        <v>1314</v>
      </c>
      <c r="BO386" s="79">
        <v>0.3</v>
      </c>
      <c r="BQ386" s="79">
        <v>1.25</v>
      </c>
      <c r="BR386" s="79">
        <v>0</v>
      </c>
      <c r="BS386" s="79" t="s">
        <v>1349</v>
      </c>
      <c r="BT386" s="79" t="s">
        <v>1350</v>
      </c>
      <c r="BU386" s="79" t="s">
        <v>1271</v>
      </c>
      <c r="BV386" s="79">
        <v>300</v>
      </c>
      <c r="BW386" s="79">
        <v>420</v>
      </c>
      <c r="BX386" s="79" t="s">
        <v>1311</v>
      </c>
      <c r="BZ386" s="81">
        <v>80</v>
      </c>
      <c r="CA386">
        <f t="shared" si="51"/>
        <v>4.3820266346738812</v>
      </c>
    </row>
    <row r="387" spans="1:79" x14ac:dyDescent="0.3">
      <c r="A387" s="2" t="s">
        <v>1343</v>
      </c>
      <c r="B387" s="13" t="s">
        <v>867</v>
      </c>
      <c r="C387" s="13"/>
      <c r="D387" s="2">
        <v>2</v>
      </c>
      <c r="E387" s="2" t="s">
        <v>207</v>
      </c>
      <c r="F387" s="32" t="s">
        <v>549</v>
      </c>
      <c r="G387">
        <v>-1</v>
      </c>
      <c r="I387" s="2"/>
      <c r="J387" s="25">
        <v>0</v>
      </c>
      <c r="K387">
        <v>0</v>
      </c>
      <c r="L387">
        <v>0</v>
      </c>
      <c r="M387" s="1">
        <v>3.871</v>
      </c>
      <c r="N387" s="1">
        <v>3.871</v>
      </c>
      <c r="O387" s="2">
        <v>29.297000000000001</v>
      </c>
      <c r="P387" s="2"/>
      <c r="Q387" s="2"/>
      <c r="R387" s="25">
        <v>0</v>
      </c>
      <c r="S387" s="25"/>
      <c r="T387" s="25"/>
      <c r="U387">
        <v>0</v>
      </c>
      <c r="X387">
        <v>0</v>
      </c>
      <c r="AA387" s="2"/>
      <c r="AB387">
        <v>20</v>
      </c>
      <c r="AC387" s="55">
        <f t="shared" ref="AC387" si="64">M387*N387*O387</f>
        <v>439.00502737700003</v>
      </c>
      <c r="AD387" s="57">
        <v>0</v>
      </c>
      <c r="AE387" s="55">
        <v>0</v>
      </c>
      <c r="AF387" s="55">
        <v>0</v>
      </c>
      <c r="AG387" s="52"/>
      <c r="AH387" s="51"/>
      <c r="AI387" s="52"/>
      <c r="AJ387" s="52"/>
      <c r="AK387" s="28">
        <v>1.882352941176471</v>
      </c>
      <c r="AL387" s="28">
        <v>2.3529411764705879</v>
      </c>
      <c r="AM387" s="28">
        <v>1.6470588235294119</v>
      </c>
      <c r="AN387" s="28">
        <v>0</v>
      </c>
      <c r="AO387" s="28">
        <v>0.32</v>
      </c>
      <c r="AP387" s="28">
        <v>0.4</v>
      </c>
      <c r="AQ387" s="28">
        <v>0.28000000000000003</v>
      </c>
      <c r="AR387" s="28">
        <v>0</v>
      </c>
      <c r="AS387" s="25">
        <v>1.1000000000000001</v>
      </c>
      <c r="AT387" s="25">
        <v>3.44</v>
      </c>
      <c r="AU387" s="25">
        <v>2.34</v>
      </c>
      <c r="AV387" s="25">
        <v>2.6482352941176468</v>
      </c>
      <c r="AW387">
        <v>2.6482352941176468</v>
      </c>
      <c r="AX387">
        <v>5.9322299529411762</v>
      </c>
      <c r="AY387" s="75"/>
      <c r="AZ387" s="75"/>
      <c r="BA387" s="75"/>
      <c r="BF387">
        <v>0</v>
      </c>
      <c r="BG387">
        <v>0</v>
      </c>
      <c r="BH387">
        <v>0</v>
      </c>
      <c r="BI387" s="79" t="s">
        <v>1264</v>
      </c>
      <c r="BJ387" s="79">
        <v>1173</v>
      </c>
      <c r="BK387" s="79">
        <v>2</v>
      </c>
      <c r="BM387" s="79" t="s">
        <v>1268</v>
      </c>
      <c r="BN387" s="79" t="s">
        <v>1314</v>
      </c>
      <c r="BO387" s="79">
        <v>0.3</v>
      </c>
      <c r="BQ387" s="79">
        <v>1.25</v>
      </c>
      <c r="BR387" s="79">
        <v>0</v>
      </c>
      <c r="BS387" s="79" t="s">
        <v>464</v>
      </c>
      <c r="BT387" s="79" t="s">
        <v>464</v>
      </c>
      <c r="BU387" s="79" t="s">
        <v>1271</v>
      </c>
      <c r="BV387" s="79">
        <v>300</v>
      </c>
      <c r="BW387" s="79">
        <v>420</v>
      </c>
      <c r="BX387" s="79" t="s">
        <v>1311</v>
      </c>
      <c r="BZ387" s="81">
        <v>0</v>
      </c>
      <c r="CA387" t="e">
        <f t="shared" ref="CA387:CA450" si="65">LN(BZ387)</f>
        <v>#NUM!</v>
      </c>
    </row>
    <row r="388" spans="1:79" x14ac:dyDescent="0.3">
      <c r="A388" s="2" t="s">
        <v>1344</v>
      </c>
      <c r="B388" s="13" t="s">
        <v>868</v>
      </c>
      <c r="C388" s="13"/>
      <c r="D388" s="2">
        <v>2.2000000000000002</v>
      </c>
      <c r="E388" s="2" t="s">
        <v>207</v>
      </c>
      <c r="F388" s="32" t="s">
        <v>523</v>
      </c>
      <c r="G388" s="1" t="s">
        <v>606</v>
      </c>
      <c r="H388" s="1"/>
      <c r="I388" s="2"/>
      <c r="J388" s="25">
        <v>0</v>
      </c>
      <c r="K388">
        <v>0</v>
      </c>
      <c r="L388">
        <v>0</v>
      </c>
      <c r="M388" s="1">
        <v>6.6040679999999998</v>
      </c>
      <c r="N388" s="1">
        <v>7.93</v>
      </c>
      <c r="O388" s="2">
        <v>31.28</v>
      </c>
      <c r="P388" s="2"/>
      <c r="Q388" s="2"/>
      <c r="R388" s="25">
        <v>0</v>
      </c>
      <c r="S388" s="25"/>
      <c r="T388" s="25"/>
      <c r="U388">
        <v>0</v>
      </c>
      <c r="X388">
        <v>0</v>
      </c>
      <c r="AA388" s="2"/>
      <c r="AB388">
        <v>34</v>
      </c>
      <c r="AC388" s="55">
        <f t="shared" si="44"/>
        <v>1638.1417090272</v>
      </c>
      <c r="AD388" s="57">
        <v>0</v>
      </c>
      <c r="AE388" s="55">
        <v>0</v>
      </c>
      <c r="AF388" s="55">
        <v>0</v>
      </c>
      <c r="AG388" s="52"/>
      <c r="AH388" s="51"/>
      <c r="AI388" s="52"/>
      <c r="AJ388" s="52"/>
      <c r="AK388" s="28">
        <v>1.62962962962963</v>
      </c>
      <c r="AL388" s="28">
        <v>2.518518518518519</v>
      </c>
      <c r="AM388" s="28">
        <v>1.911111111111111</v>
      </c>
      <c r="AN388" s="28">
        <v>0</v>
      </c>
      <c r="AO388" s="28">
        <v>0.26894865525672368</v>
      </c>
      <c r="AP388" s="28">
        <v>0.41564792176039123</v>
      </c>
      <c r="AQ388" s="28">
        <v>0.31540342298288498</v>
      </c>
      <c r="AR388" s="28">
        <v>0</v>
      </c>
      <c r="AS388" s="25">
        <v>0.82</v>
      </c>
      <c r="AT388" s="25">
        <v>3.44</v>
      </c>
      <c r="AU388" s="25">
        <v>2.62</v>
      </c>
      <c r="AV388" s="25">
        <v>2.7533629629629628</v>
      </c>
      <c r="AW388">
        <v>2.7533629629629628</v>
      </c>
      <c r="AX388">
        <v>6.1693161497481483</v>
      </c>
      <c r="AY388" s="75"/>
      <c r="AZ388" s="75"/>
      <c r="BA388" s="75"/>
      <c r="BF388">
        <v>0</v>
      </c>
      <c r="BG388">
        <v>0</v>
      </c>
      <c r="BH388">
        <v>0</v>
      </c>
      <c r="BI388" s="79" t="s">
        <v>1264</v>
      </c>
      <c r="BJ388" s="79">
        <v>1173</v>
      </c>
      <c r="BK388" s="79">
        <v>2</v>
      </c>
      <c r="BM388" s="79" t="s">
        <v>1268</v>
      </c>
      <c r="BN388" s="79" t="s">
        <v>1314</v>
      </c>
      <c r="BO388" s="79">
        <v>0.3</v>
      </c>
      <c r="BQ388" s="79">
        <v>1.25</v>
      </c>
      <c r="BR388" s="79">
        <v>0</v>
      </c>
      <c r="BS388" s="79" t="s">
        <v>1349</v>
      </c>
      <c r="BT388" s="79" t="s">
        <v>1350</v>
      </c>
      <c r="BU388" s="79" t="s">
        <v>1271</v>
      </c>
      <c r="BV388" s="79">
        <v>300</v>
      </c>
      <c r="BW388" s="79">
        <v>420</v>
      </c>
      <c r="BX388" s="79" t="s">
        <v>1311</v>
      </c>
      <c r="BZ388" s="81">
        <v>1.6666666666666667</v>
      </c>
      <c r="CA388">
        <f t="shared" si="65"/>
        <v>0.51082562376599072</v>
      </c>
    </row>
    <row r="389" spans="1:79" x14ac:dyDescent="0.3">
      <c r="A389" s="2" t="s">
        <v>44</v>
      </c>
      <c r="B389" s="13" t="s">
        <v>720</v>
      </c>
      <c r="C389" s="13"/>
      <c r="D389" s="2">
        <v>3.5</v>
      </c>
      <c r="E389" s="2" t="s">
        <v>207</v>
      </c>
      <c r="F389" s="9" t="s">
        <v>549</v>
      </c>
      <c r="G389" s="1"/>
      <c r="H389" s="1"/>
      <c r="I389" s="2"/>
      <c r="J389" s="25"/>
      <c r="M389" s="1"/>
      <c r="N389" s="1"/>
      <c r="O389" s="2"/>
      <c r="P389" s="2"/>
      <c r="Q389" s="2"/>
      <c r="R389" s="25"/>
      <c r="S389" s="25"/>
      <c r="T389" s="25"/>
      <c r="AA389" s="2"/>
      <c r="AC389" s="55"/>
      <c r="AD389" s="57"/>
      <c r="AE389" s="55"/>
      <c r="AF389" s="55"/>
      <c r="AG389" s="52"/>
      <c r="AH389" s="51"/>
      <c r="AI389" s="52"/>
      <c r="AJ389" s="52"/>
      <c r="AK389" s="28"/>
      <c r="AL389" s="28"/>
      <c r="AM389" s="28"/>
      <c r="AN389" s="28"/>
      <c r="AO389" s="28"/>
      <c r="AP389" s="28"/>
      <c r="AQ389" s="28"/>
      <c r="AR389" s="28"/>
      <c r="AS389" s="25"/>
      <c r="AT389" s="25"/>
      <c r="AU389" s="25"/>
      <c r="AV389" s="25"/>
      <c r="AY389" s="75"/>
      <c r="AZ389" s="75"/>
      <c r="BA389" s="75"/>
      <c r="BI389" s="79" t="s">
        <v>1264</v>
      </c>
      <c r="BJ389" s="79">
        <v>1173</v>
      </c>
      <c r="BK389" s="79">
        <v>2</v>
      </c>
      <c r="BM389" s="79" t="s">
        <v>1268</v>
      </c>
      <c r="BN389" s="79" t="s">
        <v>1314</v>
      </c>
      <c r="BO389" s="79">
        <v>0.3</v>
      </c>
      <c r="BQ389" s="79">
        <v>1.25</v>
      </c>
      <c r="BR389" s="79">
        <v>0</v>
      </c>
      <c r="BS389" s="79" t="s">
        <v>1349</v>
      </c>
      <c r="BT389" s="79" t="s">
        <v>1350</v>
      </c>
      <c r="BU389" s="79" t="s">
        <v>1271</v>
      </c>
      <c r="BV389" s="79">
        <v>300</v>
      </c>
      <c r="BW389" s="79">
        <v>420</v>
      </c>
      <c r="BX389" s="79" t="s">
        <v>1311</v>
      </c>
      <c r="BZ389" s="81">
        <v>4</v>
      </c>
      <c r="CA389">
        <f t="shared" si="65"/>
        <v>1.3862943611198906</v>
      </c>
    </row>
    <row r="390" spans="1:79" x14ac:dyDescent="0.3">
      <c r="A390" s="2" t="s">
        <v>1345</v>
      </c>
      <c r="B390" s="13" t="s">
        <v>869</v>
      </c>
      <c r="C390" s="13"/>
      <c r="D390" s="2">
        <v>2.2999999999999998</v>
      </c>
      <c r="E390" s="2" t="s">
        <v>207</v>
      </c>
      <c r="F390" s="32" t="s">
        <v>524</v>
      </c>
      <c r="G390" s="1" t="s">
        <v>607</v>
      </c>
      <c r="I390" s="2"/>
      <c r="J390" s="25">
        <v>0</v>
      </c>
      <c r="K390">
        <v>1</v>
      </c>
      <c r="L390">
        <v>0</v>
      </c>
      <c r="M390" s="2">
        <v>-1</v>
      </c>
      <c r="N390" s="2"/>
      <c r="O390" s="2"/>
      <c r="P390" s="2"/>
      <c r="Q390" s="2"/>
      <c r="R390" s="25">
        <v>0</v>
      </c>
      <c r="S390" s="25"/>
      <c r="T390" s="25"/>
      <c r="U390">
        <v>3.9060000000000001</v>
      </c>
      <c r="V390">
        <v>21.603000000000002</v>
      </c>
      <c r="W390">
        <v>3.8879000000000001</v>
      </c>
      <c r="X390">
        <v>0</v>
      </c>
      <c r="AA390" s="2"/>
      <c r="AB390">
        <v>14</v>
      </c>
      <c r="AC390" s="55">
        <f t="shared" si="44"/>
        <v>0</v>
      </c>
      <c r="AD390" s="57">
        <v>0</v>
      </c>
      <c r="AE390" s="55">
        <v>328.06612625219998</v>
      </c>
      <c r="AF390" s="55">
        <v>0</v>
      </c>
      <c r="AG390" s="52"/>
      <c r="AH390" s="51"/>
      <c r="AI390" s="52">
        <v>4.2674323496713393E-2</v>
      </c>
      <c r="AJ390" s="52"/>
      <c r="AK390" s="28">
        <v>1.7272727272727271</v>
      </c>
      <c r="AL390" s="28">
        <v>2.545454545454545</v>
      </c>
      <c r="AM390" s="28">
        <v>1.4090909090909089</v>
      </c>
      <c r="AN390" s="28">
        <v>0</v>
      </c>
      <c r="AO390" s="28">
        <v>0.30399999999999999</v>
      </c>
      <c r="AP390" s="28">
        <v>0.44800000000000001</v>
      </c>
      <c r="AQ390" s="28">
        <v>0.248</v>
      </c>
      <c r="AR390" s="28">
        <v>0</v>
      </c>
      <c r="AS390" s="25">
        <v>0.82</v>
      </c>
      <c r="AT390" s="25">
        <v>3.44</v>
      </c>
      <c r="AU390" s="25">
        <v>2.62</v>
      </c>
      <c r="AV390" s="25">
        <v>2.7183636363636361</v>
      </c>
      <c r="AW390">
        <v>2.718363636363637</v>
      </c>
      <c r="AX390">
        <v>6.1164196318636357</v>
      </c>
      <c r="AY390" s="75">
        <v>0.48450364842179561</v>
      </c>
      <c r="AZ390" s="75"/>
      <c r="BA390" s="75"/>
      <c r="BD390">
        <v>2.13371617483567E-2</v>
      </c>
      <c r="BF390">
        <v>4.2674323496713393E-2</v>
      </c>
      <c r="BG390">
        <v>2.13371617483567E-2</v>
      </c>
      <c r="BH390">
        <v>0.48450364842179561</v>
      </c>
      <c r="BI390" s="79" t="s">
        <v>1264</v>
      </c>
      <c r="BJ390" s="79">
        <v>1173</v>
      </c>
      <c r="BK390" s="79">
        <v>2</v>
      </c>
      <c r="BM390" s="79" t="s">
        <v>1268</v>
      </c>
      <c r="BN390" s="79" t="s">
        <v>1351</v>
      </c>
      <c r="BO390" s="79">
        <v>0.3</v>
      </c>
      <c r="BQ390" s="79">
        <v>1.25</v>
      </c>
      <c r="BR390" s="79">
        <v>0</v>
      </c>
      <c r="BS390" s="79" t="s">
        <v>1349</v>
      </c>
      <c r="BT390" s="79" t="s">
        <v>1350</v>
      </c>
      <c r="BU390" s="79" t="s">
        <v>1271</v>
      </c>
      <c r="BV390" s="79">
        <v>300</v>
      </c>
      <c r="BW390" s="79">
        <v>420</v>
      </c>
      <c r="BX390" s="79" t="s">
        <v>1311</v>
      </c>
      <c r="BZ390" s="81">
        <v>0.26666666666666666</v>
      </c>
      <c r="CA390">
        <f t="shared" si="65"/>
        <v>-1.3217558399823195</v>
      </c>
    </row>
    <row r="391" spans="1:79" x14ac:dyDescent="0.3">
      <c r="A391" s="2" t="s">
        <v>1346</v>
      </c>
      <c r="B391" s="13"/>
      <c r="C391" s="13"/>
      <c r="D391" s="2">
        <v>2.8</v>
      </c>
      <c r="E391" s="2" t="s">
        <v>207</v>
      </c>
      <c r="F391" s="32" t="s">
        <v>584</v>
      </c>
      <c r="G391" s="1" t="s">
        <v>658</v>
      </c>
      <c r="I391" s="2"/>
      <c r="J391" s="25">
        <v>0</v>
      </c>
      <c r="K391">
        <v>1</v>
      </c>
      <c r="L391">
        <v>0</v>
      </c>
      <c r="M391" s="2">
        <v>-1</v>
      </c>
      <c r="N391" s="2"/>
      <c r="O391" s="2"/>
      <c r="P391" s="2"/>
      <c r="Q391" s="2"/>
      <c r="R391" s="25">
        <v>0</v>
      </c>
      <c r="S391" s="25"/>
      <c r="T391" s="25"/>
      <c r="U391">
        <v>3.8573</v>
      </c>
      <c r="V391">
        <v>3.8573</v>
      </c>
      <c r="W391">
        <v>15.044</v>
      </c>
      <c r="X391">
        <v>0</v>
      </c>
      <c r="AA391" s="2"/>
      <c r="AB391">
        <v>20</v>
      </c>
      <c r="AC391" s="55">
        <f t="shared" si="44"/>
        <v>0</v>
      </c>
      <c r="AD391" s="57">
        <v>0</v>
      </c>
      <c r="AE391" s="55">
        <v>223.83611493475999</v>
      </c>
      <c r="AF391" s="55">
        <v>0</v>
      </c>
      <c r="AG391" s="52"/>
      <c r="AH391" s="51"/>
      <c r="AI391" s="52">
        <v>8.9351086199066954E-2</v>
      </c>
      <c r="AJ391" s="52"/>
      <c r="AK391" s="28">
        <v>1.9375</v>
      </c>
      <c r="AL391" s="28">
        <v>2.5</v>
      </c>
      <c r="AM391" s="28">
        <v>0.625</v>
      </c>
      <c r="AN391" s="28">
        <v>2.625</v>
      </c>
      <c r="AO391" s="28">
        <v>0.25203252032520318</v>
      </c>
      <c r="AP391" s="28">
        <v>0.32520325203252032</v>
      </c>
      <c r="AQ391" s="28">
        <v>8.1300813008130079E-2</v>
      </c>
      <c r="AR391" s="28">
        <v>0.34146341463414642</v>
      </c>
      <c r="AS391" s="25">
        <v>0.82</v>
      </c>
      <c r="AT391" s="25">
        <v>3.44</v>
      </c>
      <c r="AU391" s="25">
        <v>2.62</v>
      </c>
      <c r="AV391" s="25">
        <v>2.6142500000000002</v>
      </c>
      <c r="AW391">
        <v>2.6142500000000002</v>
      </c>
      <c r="AX391">
        <v>5.9930639130937511</v>
      </c>
      <c r="AY391" s="75">
        <v>0.5100369583648936</v>
      </c>
      <c r="AZ391" s="75">
        <v>0.54203706385343264</v>
      </c>
      <c r="BA391" s="75"/>
      <c r="BD391">
        <v>4.4675543099533477E-2</v>
      </c>
      <c r="BF391">
        <v>8.9351086199066954E-2</v>
      </c>
      <c r="BG391">
        <v>4.4675543099533477E-2</v>
      </c>
      <c r="BH391">
        <v>0.52603701110916312</v>
      </c>
      <c r="BI391" s="79" t="s">
        <v>1264</v>
      </c>
      <c r="BJ391" s="79">
        <v>1173</v>
      </c>
      <c r="BK391" s="79">
        <v>2</v>
      </c>
      <c r="BM391" s="79" t="s">
        <v>1268</v>
      </c>
      <c r="BN391" s="79" t="s">
        <v>1352</v>
      </c>
      <c r="BO391" s="79">
        <v>0.3</v>
      </c>
      <c r="BQ391" s="79">
        <v>1.25</v>
      </c>
      <c r="BR391" s="79">
        <v>0</v>
      </c>
      <c r="BS391" s="79" t="s">
        <v>1349</v>
      </c>
      <c r="BT391" s="79" t="s">
        <v>1350</v>
      </c>
      <c r="BU391" s="79" t="s">
        <v>1271</v>
      </c>
      <c r="BV391" s="79">
        <v>300</v>
      </c>
      <c r="BW391" s="79">
        <v>420</v>
      </c>
      <c r="BX391" s="79" t="s">
        <v>1311</v>
      </c>
      <c r="BZ391" s="81">
        <v>4.8</v>
      </c>
      <c r="CA391">
        <f t="shared" si="65"/>
        <v>1.5686159179138452</v>
      </c>
    </row>
    <row r="392" spans="1:79" x14ac:dyDescent="0.3">
      <c r="A392" s="2" t="s">
        <v>203</v>
      </c>
      <c r="B392" s="13" t="s">
        <v>803</v>
      </c>
      <c r="C392" s="13"/>
      <c r="D392" s="2">
        <v>4.5</v>
      </c>
      <c r="E392" s="2" t="s">
        <v>207</v>
      </c>
      <c r="F392" s="9" t="s">
        <v>584</v>
      </c>
      <c r="G392" t="s">
        <v>658</v>
      </c>
      <c r="I392" s="2"/>
      <c r="J392" s="25">
        <v>1</v>
      </c>
      <c r="K392">
        <v>1</v>
      </c>
      <c r="L392">
        <v>0</v>
      </c>
      <c r="M392" s="2">
        <v>-1</v>
      </c>
      <c r="N392" s="2"/>
      <c r="O392" s="2">
        <v>15.05</v>
      </c>
      <c r="P392" s="2"/>
      <c r="Q392" s="2"/>
      <c r="R392" s="25">
        <v>3.9414189999999998</v>
      </c>
      <c r="S392" s="25">
        <v>3.9414189999999998</v>
      </c>
      <c r="T392" s="25">
        <v>15.312718</v>
      </c>
      <c r="U392">
        <v>3.8573</v>
      </c>
      <c r="V392">
        <v>3.8573</v>
      </c>
      <c r="W392">
        <v>15.044</v>
      </c>
      <c r="X392">
        <v>0</v>
      </c>
      <c r="AA392" s="2"/>
      <c r="AB392">
        <v>20</v>
      </c>
      <c r="AC392" s="55">
        <f t="shared" si="44"/>
        <v>0</v>
      </c>
      <c r="AD392" s="57">
        <v>237.8797625030067</v>
      </c>
      <c r="AE392" s="55">
        <v>223.83611493475999</v>
      </c>
      <c r="AF392" s="55">
        <v>0</v>
      </c>
      <c r="AG392" s="52"/>
      <c r="AH392" s="51">
        <v>8.4076088648975381E-2</v>
      </c>
      <c r="AI392" s="52">
        <v>8.9351086199066954E-2</v>
      </c>
      <c r="AJ392" s="52"/>
      <c r="AK392" s="28">
        <v>1.9375</v>
      </c>
      <c r="AL392" s="28">
        <v>2.5</v>
      </c>
      <c r="AM392" s="28">
        <v>0.5625</v>
      </c>
      <c r="AN392" s="28">
        <v>2.625</v>
      </c>
      <c r="AO392" s="28">
        <v>0.25409836065573771</v>
      </c>
      <c r="AP392" s="28">
        <v>0.32786885245901642</v>
      </c>
      <c r="AQ392" s="28">
        <v>7.3770491803278687E-2</v>
      </c>
      <c r="AR392" s="28">
        <v>0.34426229508196721</v>
      </c>
      <c r="AS392" s="25">
        <v>0.82</v>
      </c>
      <c r="AT392" s="25">
        <v>3.44</v>
      </c>
      <c r="AU392" s="25">
        <v>2.62</v>
      </c>
      <c r="AV392" s="25">
        <v>2.6074999999999999</v>
      </c>
      <c r="AW392">
        <v>2.6074999999999999</v>
      </c>
      <c r="AX392">
        <v>5.9796291640625006</v>
      </c>
      <c r="AY392" s="75">
        <v>0.5100369583648936</v>
      </c>
      <c r="AZ392" s="75">
        <v>0.54203706385343264</v>
      </c>
      <c r="BA392" s="75"/>
      <c r="BC392">
        <v>4.203804432448769E-2</v>
      </c>
      <c r="BD392">
        <v>4.4675543099533477E-2</v>
      </c>
      <c r="BF392">
        <v>8.671358742402116E-2</v>
      </c>
      <c r="BG392">
        <v>4.335679371201058E-2</v>
      </c>
      <c r="BH392">
        <v>0.52603701110916312</v>
      </c>
      <c r="BI392" s="79" t="s">
        <v>1264</v>
      </c>
      <c r="BJ392" s="79">
        <v>1173</v>
      </c>
      <c r="BK392" s="79">
        <v>2</v>
      </c>
      <c r="BM392" s="79" t="s">
        <v>1268</v>
      </c>
      <c r="BN392" s="79" t="s">
        <v>1353</v>
      </c>
      <c r="BO392" s="79">
        <v>0.3</v>
      </c>
      <c r="BQ392" s="79">
        <v>1.25</v>
      </c>
      <c r="BR392" s="79">
        <v>0</v>
      </c>
      <c r="BS392" s="79" t="s">
        <v>1349</v>
      </c>
      <c r="BT392" s="79" t="s">
        <v>1350</v>
      </c>
      <c r="BU392" s="79" t="s">
        <v>1271</v>
      </c>
      <c r="BV392" s="79">
        <v>300</v>
      </c>
      <c r="BW392" s="79">
        <v>420</v>
      </c>
      <c r="BX392" s="79" t="s">
        <v>1311</v>
      </c>
      <c r="BZ392" s="81">
        <v>0</v>
      </c>
      <c r="CA392" t="e">
        <f t="shared" si="65"/>
        <v>#NUM!</v>
      </c>
    </row>
    <row r="393" spans="1:79" x14ac:dyDescent="0.3">
      <c r="A393" s="2" t="s">
        <v>28</v>
      </c>
      <c r="B393" s="13" t="s">
        <v>805</v>
      </c>
      <c r="C393" s="13"/>
      <c r="D393" s="2">
        <v>4</v>
      </c>
      <c r="E393" s="2" t="s">
        <v>207</v>
      </c>
      <c r="F393" s="9" t="s">
        <v>586</v>
      </c>
      <c r="G393" t="s">
        <v>660</v>
      </c>
      <c r="I393" s="2"/>
      <c r="J393" s="25">
        <v>8</v>
      </c>
      <c r="K393">
        <v>4</v>
      </c>
      <c r="L393">
        <v>0</v>
      </c>
      <c r="M393" s="2">
        <v>-1</v>
      </c>
      <c r="N393" s="2"/>
      <c r="O393" s="2"/>
      <c r="P393" s="2"/>
      <c r="Q393" s="2"/>
      <c r="R393" s="25">
        <v>7.5714817599999993</v>
      </c>
      <c r="S393" s="25">
        <v>7.4441355800000002</v>
      </c>
      <c r="T393" s="25">
        <v>14.785262019999999</v>
      </c>
      <c r="U393">
        <v>5.4767999999999999</v>
      </c>
      <c r="V393">
        <v>5.5212000000000003</v>
      </c>
      <c r="W393">
        <v>7.7889999999999997</v>
      </c>
      <c r="X393">
        <v>0</v>
      </c>
      <c r="AA393" s="2"/>
      <c r="AB393">
        <v>6</v>
      </c>
      <c r="AC393" s="55">
        <f t="shared" si="44"/>
        <v>0</v>
      </c>
      <c r="AD393" s="57">
        <v>583.54908217201648</v>
      </c>
      <c r="AE393" s="55">
        <v>235.52774005824</v>
      </c>
      <c r="AF393" s="55">
        <v>0</v>
      </c>
      <c r="AG393" s="52"/>
      <c r="AH393" s="51">
        <v>8.2255291742281814E-2</v>
      </c>
      <c r="AI393" s="52">
        <v>0.10189882514078979</v>
      </c>
      <c r="AJ393" s="52"/>
      <c r="AK393" s="28">
        <v>1.8</v>
      </c>
      <c r="AL393" s="28">
        <v>2.4</v>
      </c>
      <c r="AM393" s="28">
        <v>0.6</v>
      </c>
      <c r="AN393" s="28">
        <v>2.8</v>
      </c>
      <c r="AO393" s="28">
        <v>0.23684210526315791</v>
      </c>
      <c r="AP393" s="28">
        <v>0.31578947368421051</v>
      </c>
      <c r="AQ393" s="28">
        <v>7.8947368421052627E-2</v>
      </c>
      <c r="AR393" s="28">
        <v>0.36842105263157893</v>
      </c>
      <c r="AS393" s="25">
        <v>0.93</v>
      </c>
      <c r="AT393" s="25">
        <v>3.44</v>
      </c>
      <c r="AU393" s="25">
        <v>2.5099999999999998</v>
      </c>
      <c r="AV393" s="25">
        <v>2.5499999999999998</v>
      </c>
      <c r="AW393">
        <v>2.5499999999999998</v>
      </c>
      <c r="AX393">
        <v>5.8797175109999991</v>
      </c>
      <c r="AY393" s="75">
        <v>0.46150059156666667</v>
      </c>
      <c r="AZ393" s="75">
        <v>0.57171237359127625</v>
      </c>
      <c r="BA393" s="75"/>
      <c r="BC393">
        <v>4.1127645871140907E-2</v>
      </c>
      <c r="BD393">
        <v>5.0949412570394918E-2</v>
      </c>
      <c r="BF393">
        <v>9.2077058441535797E-2</v>
      </c>
      <c r="BG393">
        <v>4.6038529220767913E-2</v>
      </c>
      <c r="BH393">
        <v>0.51660648257897146</v>
      </c>
      <c r="BI393" s="79" t="s">
        <v>1264</v>
      </c>
      <c r="BJ393" s="79">
        <v>1173</v>
      </c>
      <c r="BK393" s="79">
        <v>2</v>
      </c>
      <c r="BM393" s="79" t="s">
        <v>1268</v>
      </c>
      <c r="BN393" s="79" t="s">
        <v>1354</v>
      </c>
      <c r="BO393" s="79">
        <v>0.3</v>
      </c>
      <c r="BQ393" s="79">
        <v>1.25</v>
      </c>
      <c r="BR393" s="79">
        <v>0</v>
      </c>
      <c r="BS393" s="79" t="s">
        <v>1349</v>
      </c>
      <c r="BT393" s="79" t="s">
        <v>1350</v>
      </c>
      <c r="BU393" s="79" t="s">
        <v>1271</v>
      </c>
      <c r="BV393" s="79">
        <v>300</v>
      </c>
      <c r="BW393" s="79">
        <v>420</v>
      </c>
      <c r="BX393" s="79" t="s">
        <v>1311</v>
      </c>
      <c r="BZ393" s="81">
        <f>0.03/0.15</f>
        <v>0.2</v>
      </c>
      <c r="CA393">
        <f t="shared" si="65"/>
        <v>-1.6094379124341003</v>
      </c>
    </row>
    <row r="394" spans="1:79" x14ac:dyDescent="0.3">
      <c r="A394" s="2" t="s">
        <v>1347</v>
      </c>
      <c r="B394" s="13" t="s">
        <v>871</v>
      </c>
      <c r="C394" s="13"/>
      <c r="D394" s="2">
        <v>2.8</v>
      </c>
      <c r="E394" s="2" t="s">
        <v>207</v>
      </c>
      <c r="F394" s="32" t="s">
        <v>585</v>
      </c>
      <c r="G394" s="1" t="s">
        <v>659</v>
      </c>
      <c r="I394" s="2"/>
      <c r="J394" s="25">
        <v>0</v>
      </c>
      <c r="K394">
        <v>6</v>
      </c>
      <c r="L394">
        <v>0</v>
      </c>
      <c r="M394" s="2">
        <v>-1</v>
      </c>
      <c r="N394" s="2"/>
      <c r="O394" s="2"/>
      <c r="P394" s="2"/>
      <c r="Q394" s="2"/>
      <c r="R394" s="25">
        <v>0</v>
      </c>
      <c r="S394" s="25"/>
      <c r="T394" s="25"/>
      <c r="U394">
        <v>5.15428</v>
      </c>
      <c r="V394">
        <v>5.1542800000000009</v>
      </c>
      <c r="W394">
        <v>13.7835</v>
      </c>
      <c r="X394">
        <v>0</v>
      </c>
      <c r="AA394" s="2"/>
      <c r="AB394">
        <v>6</v>
      </c>
      <c r="AC394" s="55">
        <f t="shared" si="44"/>
        <v>0</v>
      </c>
      <c r="AD394" s="57">
        <v>0</v>
      </c>
      <c r="AE394" s="55">
        <v>317.12184318337751</v>
      </c>
      <c r="AF394" s="55">
        <v>0</v>
      </c>
      <c r="AG394" s="52"/>
      <c r="AH394" s="51"/>
      <c r="AI394" s="52">
        <v>0.1135210354437263</v>
      </c>
      <c r="AJ394" s="52"/>
      <c r="AK394" s="28">
        <v>1.8</v>
      </c>
      <c r="AL394" s="28">
        <v>2.4</v>
      </c>
      <c r="AM394" s="28">
        <v>0.64</v>
      </c>
      <c r="AN394" s="28">
        <v>2.8</v>
      </c>
      <c r="AO394" s="28">
        <v>0.2356020942408377</v>
      </c>
      <c r="AP394" s="28">
        <v>0.3141361256544502</v>
      </c>
      <c r="AQ394" s="28">
        <v>8.3769633507853394E-2</v>
      </c>
      <c r="AR394" s="28">
        <v>0.36649214659685858</v>
      </c>
      <c r="AS394" s="25">
        <v>0.98</v>
      </c>
      <c r="AT394" s="25">
        <v>3.44</v>
      </c>
      <c r="AU394" s="25">
        <v>2.46</v>
      </c>
      <c r="AV394" s="25">
        <v>2.5636800000000002</v>
      </c>
      <c r="AW394">
        <v>2.5636800000000002</v>
      </c>
      <c r="AX394">
        <v>5.9178984111680002</v>
      </c>
      <c r="AY394" s="75">
        <v>0.51645314797839414</v>
      </c>
      <c r="AZ394" s="75">
        <v>0</v>
      </c>
      <c r="BA394" s="75"/>
      <c r="BD394">
        <v>5.6760517721863142E-2</v>
      </c>
      <c r="BF394">
        <v>0.1135210354437263</v>
      </c>
      <c r="BG394">
        <v>5.6760517721863142E-2</v>
      </c>
      <c r="BH394">
        <v>0.25822657398919707</v>
      </c>
      <c r="BI394" s="79" t="s">
        <v>1264</v>
      </c>
      <c r="BJ394" s="79">
        <v>1173</v>
      </c>
      <c r="BK394" s="79">
        <v>2</v>
      </c>
      <c r="BM394" s="79" t="s">
        <v>1268</v>
      </c>
      <c r="BN394" s="79" t="s">
        <v>1355</v>
      </c>
      <c r="BO394" s="79">
        <v>0.3</v>
      </c>
      <c r="BQ394" s="79">
        <v>1.25</v>
      </c>
      <c r="BR394" s="79">
        <v>0</v>
      </c>
      <c r="BS394" s="79" t="s">
        <v>1349</v>
      </c>
      <c r="BT394" s="79" t="s">
        <v>1350</v>
      </c>
      <c r="BU394" s="79" t="s">
        <v>1271</v>
      </c>
      <c r="BV394" s="79">
        <v>300</v>
      </c>
      <c r="BW394" s="79">
        <v>420</v>
      </c>
      <c r="BX394" s="79" t="s">
        <v>1311</v>
      </c>
      <c r="BZ394" s="81">
        <v>1.2</v>
      </c>
      <c r="CA394">
        <f t="shared" si="65"/>
        <v>0.18232155679395459</v>
      </c>
    </row>
    <row r="395" spans="1:79" x14ac:dyDescent="0.3">
      <c r="A395" s="2" t="s">
        <v>1348</v>
      </c>
      <c r="B395" s="13" t="s">
        <v>872</v>
      </c>
      <c r="C395" s="13"/>
      <c r="D395" s="2">
        <v>2</v>
      </c>
      <c r="E395" s="2" t="s">
        <v>207</v>
      </c>
      <c r="F395" s="32" t="s">
        <v>586</v>
      </c>
      <c r="G395" s="1" t="s">
        <v>660</v>
      </c>
      <c r="I395" s="2"/>
      <c r="J395" s="25">
        <v>0</v>
      </c>
      <c r="K395">
        <v>4</v>
      </c>
      <c r="L395">
        <v>0</v>
      </c>
      <c r="M395" s="2">
        <v>-1</v>
      </c>
      <c r="N395" s="2"/>
      <c r="O395" s="2"/>
      <c r="P395" s="2"/>
      <c r="Q395" s="2"/>
      <c r="R395" s="25">
        <v>0</v>
      </c>
      <c r="S395" s="25"/>
      <c r="T395" s="25"/>
      <c r="U395">
        <v>5.4767999999999999</v>
      </c>
      <c r="V395">
        <v>5.5212000000000003</v>
      </c>
      <c r="W395">
        <v>7.7889999999999997</v>
      </c>
      <c r="X395">
        <v>0</v>
      </c>
      <c r="AA395" s="2"/>
      <c r="AB395">
        <v>6</v>
      </c>
      <c r="AC395" s="55">
        <f t="shared" si="44"/>
        <v>0</v>
      </c>
      <c r="AD395" s="57">
        <v>0</v>
      </c>
      <c r="AE395" s="55">
        <v>235.52774005824</v>
      </c>
      <c r="AF395" s="55">
        <v>0</v>
      </c>
      <c r="AG395" s="52"/>
      <c r="AH395" s="51"/>
      <c r="AI395" s="52">
        <v>0.10189882514078979</v>
      </c>
      <c r="AJ395" s="52"/>
      <c r="AK395" s="28">
        <v>1.8</v>
      </c>
      <c r="AL395" s="28">
        <v>2.4</v>
      </c>
      <c r="AM395" s="28">
        <v>0.78</v>
      </c>
      <c r="AN395" s="28">
        <v>2.8</v>
      </c>
      <c r="AO395" s="28">
        <v>0.23136246786632389</v>
      </c>
      <c r="AP395" s="28">
        <v>0.30848329048843193</v>
      </c>
      <c r="AQ395" s="28">
        <v>0.10025706940874041</v>
      </c>
      <c r="AR395" s="28">
        <v>0.35989717223650391</v>
      </c>
      <c r="AS395" s="25">
        <v>0.93</v>
      </c>
      <c r="AT395" s="25">
        <v>3.44</v>
      </c>
      <c r="AU395" s="25">
        <v>2.5099999999999998</v>
      </c>
      <c r="AV395" s="25">
        <v>2.5674600000000001</v>
      </c>
      <c r="AW395">
        <v>2.5674600000000001</v>
      </c>
      <c r="AX395">
        <v>5.9091939581100004</v>
      </c>
      <c r="AY395" s="75">
        <v>0.46150059156666667</v>
      </c>
      <c r="AZ395" s="75">
        <v>0.57171237359127625</v>
      </c>
      <c r="BA395" s="75"/>
      <c r="BD395">
        <v>5.0949412570394918E-2</v>
      </c>
      <c r="BF395">
        <v>0.10189882514078979</v>
      </c>
      <c r="BG395">
        <v>5.0949412570394918E-2</v>
      </c>
      <c r="BH395">
        <v>0.51660648257897146</v>
      </c>
      <c r="BI395" s="79" t="s">
        <v>1264</v>
      </c>
      <c r="BJ395" s="79">
        <v>1173</v>
      </c>
      <c r="BK395" s="79">
        <v>2</v>
      </c>
      <c r="BM395" s="79" t="s">
        <v>1268</v>
      </c>
      <c r="BN395" s="79" t="s">
        <v>1356</v>
      </c>
      <c r="BO395" s="79">
        <v>0.3</v>
      </c>
      <c r="BQ395" s="79">
        <v>1.25</v>
      </c>
      <c r="BR395" s="79">
        <v>0</v>
      </c>
      <c r="BS395" s="79" t="s">
        <v>1349</v>
      </c>
      <c r="BT395" s="79" t="s">
        <v>1350</v>
      </c>
      <c r="BU395" s="79" t="s">
        <v>1271</v>
      </c>
      <c r="BV395" s="79">
        <v>300</v>
      </c>
      <c r="BW395" s="79">
        <v>420</v>
      </c>
      <c r="BX395" s="79" t="s">
        <v>1311</v>
      </c>
      <c r="BZ395" s="81">
        <v>120</v>
      </c>
      <c r="CA395">
        <f t="shared" si="65"/>
        <v>4.7874917427820458</v>
      </c>
    </row>
    <row r="396" spans="1:79" x14ac:dyDescent="0.3">
      <c r="A396" s="2" t="s">
        <v>1348</v>
      </c>
      <c r="B396" s="13" t="s">
        <v>872</v>
      </c>
      <c r="C396" s="13"/>
      <c r="D396" s="2">
        <v>2</v>
      </c>
      <c r="E396" s="2" t="s">
        <v>207</v>
      </c>
      <c r="F396" s="32" t="s">
        <v>586</v>
      </c>
      <c r="G396" s="1" t="s">
        <v>660</v>
      </c>
      <c r="I396" s="2"/>
      <c r="J396" s="25">
        <v>0</v>
      </c>
      <c r="K396">
        <v>4</v>
      </c>
      <c r="L396">
        <v>0</v>
      </c>
      <c r="M396" s="2">
        <v>-1</v>
      </c>
      <c r="N396" s="2"/>
      <c r="O396" s="2"/>
      <c r="P396" s="2"/>
      <c r="Q396" s="2"/>
      <c r="R396" s="25">
        <v>0</v>
      </c>
      <c r="S396" s="25"/>
      <c r="T396" s="25"/>
      <c r="U396">
        <v>5.4767999999999999</v>
      </c>
      <c r="V396">
        <v>5.5212000000000003</v>
      </c>
      <c r="W396">
        <v>7.7889999999999997</v>
      </c>
      <c r="X396">
        <v>0</v>
      </c>
      <c r="AA396" s="2"/>
      <c r="AB396">
        <v>6</v>
      </c>
      <c r="AC396" s="55">
        <f t="shared" ref="AC396" si="66">M396*N396*O396</f>
        <v>0</v>
      </c>
      <c r="AD396" s="57">
        <v>0</v>
      </c>
      <c r="AE396" s="55">
        <v>235.52774005824</v>
      </c>
      <c r="AF396" s="55">
        <v>0</v>
      </c>
      <c r="AG396" s="52"/>
      <c r="AH396" s="51"/>
      <c r="AI396" s="52">
        <v>0.10189882514078979</v>
      </c>
      <c r="AJ396" s="52"/>
      <c r="AK396" s="28">
        <v>1.8</v>
      </c>
      <c r="AL396" s="28">
        <v>2.4</v>
      </c>
      <c r="AM396" s="28">
        <v>0.78</v>
      </c>
      <c r="AN396" s="28">
        <v>2.8</v>
      </c>
      <c r="AO396" s="28">
        <v>0.23136246786632389</v>
      </c>
      <c r="AP396" s="28">
        <v>0.30848329048843193</v>
      </c>
      <c r="AQ396" s="28">
        <v>0.10025706940874041</v>
      </c>
      <c r="AR396" s="28">
        <v>0.35989717223650391</v>
      </c>
      <c r="AS396" s="25">
        <v>0.93</v>
      </c>
      <c r="AT396" s="25">
        <v>3.44</v>
      </c>
      <c r="AU396" s="25">
        <v>2.5099999999999998</v>
      </c>
      <c r="AV396" s="25">
        <v>2.5674600000000001</v>
      </c>
      <c r="AW396">
        <v>2.5674600000000001</v>
      </c>
      <c r="AX396">
        <v>5.9091939581100004</v>
      </c>
      <c r="AY396" s="75">
        <v>0.46150059156666667</v>
      </c>
      <c r="AZ396" s="75">
        <v>0.57171237359127625</v>
      </c>
      <c r="BA396" s="75"/>
      <c r="BD396">
        <v>5.0949412570394918E-2</v>
      </c>
      <c r="BF396">
        <v>0.10189882514078979</v>
      </c>
      <c r="BG396">
        <v>5.0949412570394918E-2</v>
      </c>
      <c r="BH396">
        <v>0.51660648257897146</v>
      </c>
      <c r="BI396" s="79" t="s">
        <v>1264</v>
      </c>
      <c r="BJ396" s="79">
        <v>1173</v>
      </c>
      <c r="BK396" s="79">
        <v>2</v>
      </c>
      <c r="BM396" s="79" t="s">
        <v>1268</v>
      </c>
      <c r="BN396" s="79" t="s">
        <v>1356</v>
      </c>
      <c r="BO396" s="79">
        <v>0.3</v>
      </c>
      <c r="BQ396" s="79">
        <v>1.25</v>
      </c>
      <c r="BR396" s="79">
        <v>0</v>
      </c>
      <c r="BS396" s="79" t="s">
        <v>464</v>
      </c>
      <c r="BT396" s="79" t="s">
        <v>464</v>
      </c>
      <c r="BU396" s="79" t="s">
        <v>1271</v>
      </c>
      <c r="BV396" s="79">
        <v>300</v>
      </c>
      <c r="BW396" s="79">
        <v>420</v>
      </c>
      <c r="BX396" s="79" t="s">
        <v>1311</v>
      </c>
      <c r="BZ396" s="81">
        <v>0</v>
      </c>
      <c r="CA396" t="e">
        <f t="shared" si="65"/>
        <v>#NUM!</v>
      </c>
    </row>
    <row r="397" spans="1:79" x14ac:dyDescent="0.3">
      <c r="A397" s="2" t="s">
        <v>153</v>
      </c>
      <c r="B397" s="13"/>
      <c r="C397" s="13"/>
      <c r="D397" s="2">
        <v>3.36</v>
      </c>
      <c r="E397" s="2" t="s">
        <v>208</v>
      </c>
      <c r="F397" s="9" t="s">
        <v>578</v>
      </c>
      <c r="G397">
        <v>-1</v>
      </c>
      <c r="I397" s="2">
        <v>1</v>
      </c>
      <c r="J397" s="25">
        <v>1</v>
      </c>
      <c r="K397">
        <v>0</v>
      </c>
      <c r="L397">
        <v>0</v>
      </c>
      <c r="M397" s="2">
        <v>3.8860000000000001</v>
      </c>
      <c r="N397" s="2">
        <v>3.8860000000000001</v>
      </c>
      <c r="O397" s="2">
        <v>10.548299999999999</v>
      </c>
      <c r="P397" s="2" t="s">
        <v>1097</v>
      </c>
      <c r="Q397" s="2"/>
      <c r="R397" s="25">
        <v>3.9263319999999999</v>
      </c>
      <c r="S397" s="25">
        <v>3.9263319999999999</v>
      </c>
      <c r="T397" s="25">
        <v>10.74639</v>
      </c>
      <c r="U397">
        <v>0</v>
      </c>
      <c r="X397">
        <v>0</v>
      </c>
      <c r="AA397" s="2"/>
      <c r="AB397">
        <v>14</v>
      </c>
      <c r="AC397" s="55">
        <f t="shared" si="44"/>
        <v>159.28983610679998</v>
      </c>
      <c r="AD397" s="57">
        <v>165.66723991337099</v>
      </c>
      <c r="AE397" s="55">
        <v>0</v>
      </c>
      <c r="AF397" s="55">
        <v>0</v>
      </c>
      <c r="AG397" s="52"/>
      <c r="AH397" s="51">
        <v>8.4506749839743392E-2</v>
      </c>
      <c r="AI397" s="52"/>
      <c r="AJ397" s="52"/>
      <c r="AK397" s="28">
        <v>1.7272727272727271</v>
      </c>
      <c r="AL397" s="28">
        <v>2.545454545454545</v>
      </c>
      <c r="AM397" s="28">
        <v>0.81818181818181823</v>
      </c>
      <c r="AN397" s="28">
        <v>0</v>
      </c>
      <c r="AO397" s="28">
        <v>0.3392857142857143</v>
      </c>
      <c r="AP397" s="28">
        <v>0.5</v>
      </c>
      <c r="AQ397" s="28">
        <v>0.1607142857142857</v>
      </c>
      <c r="AR397" s="28">
        <v>0</v>
      </c>
      <c r="AS397" s="25">
        <v>1.1000000000000001</v>
      </c>
      <c r="AT397" s="25">
        <v>3.44</v>
      </c>
      <c r="AU397" s="25">
        <v>2.34</v>
      </c>
      <c r="AV397" s="25">
        <v>2.78</v>
      </c>
      <c r="AW397">
        <v>2.78</v>
      </c>
      <c r="AX397">
        <v>6.4270052227137269</v>
      </c>
      <c r="AY397" s="75">
        <v>0.41874886813759421</v>
      </c>
      <c r="AZ397" s="75"/>
      <c r="BA397" s="75"/>
      <c r="BB397">
        <v>4.3945051178950742E-2</v>
      </c>
      <c r="BC397">
        <v>4.2253374919871717E-2</v>
      </c>
      <c r="BF397">
        <v>8.4506749839743392E-2</v>
      </c>
      <c r="BG397">
        <v>4.3099213049411229E-2</v>
      </c>
      <c r="BH397">
        <v>0.41874886813759421</v>
      </c>
      <c r="BI397" s="79" t="s">
        <v>1264</v>
      </c>
      <c r="BJ397" s="79">
        <v>1423</v>
      </c>
      <c r="BK397" s="79">
        <v>24</v>
      </c>
      <c r="BM397" s="79" t="s">
        <v>464</v>
      </c>
      <c r="BN397" s="79" t="s">
        <v>464</v>
      </c>
      <c r="BO397" s="79">
        <v>0</v>
      </c>
      <c r="BP397" s="79">
        <v>4.18</v>
      </c>
      <c r="BQ397" s="79">
        <v>2</v>
      </c>
      <c r="BR397" s="79">
        <v>10</v>
      </c>
      <c r="BS397" s="79" t="s">
        <v>464</v>
      </c>
      <c r="BT397" s="79" t="s">
        <v>464</v>
      </c>
      <c r="BU397" s="79" t="s">
        <v>1266</v>
      </c>
      <c r="BV397" s="79">
        <v>100</v>
      </c>
      <c r="BW397" s="79">
        <v>400</v>
      </c>
      <c r="BX397" s="79" t="s">
        <v>1311</v>
      </c>
      <c r="BY397" s="79">
        <f t="shared" ref="BY397:BY402" si="67">273+60</f>
        <v>333</v>
      </c>
      <c r="BZ397" s="81">
        <v>723.21428571428578</v>
      </c>
      <c r="CA397">
        <f t="shared" si="65"/>
        <v>6.5837055623594818</v>
      </c>
    </row>
    <row r="398" spans="1:79" x14ac:dyDescent="0.3">
      <c r="A398" s="2" t="s">
        <v>1357</v>
      </c>
      <c r="B398" s="13"/>
      <c r="C398" s="13"/>
      <c r="D398" s="2">
        <v>3.48</v>
      </c>
      <c r="E398" s="2" t="s">
        <v>208</v>
      </c>
      <c r="F398" s="9" t="s">
        <v>578</v>
      </c>
      <c r="G398">
        <v>-1</v>
      </c>
      <c r="I398" s="2">
        <v>1</v>
      </c>
      <c r="J398" s="25">
        <v>1</v>
      </c>
      <c r="K398">
        <v>0</v>
      </c>
      <c r="L398">
        <v>0</v>
      </c>
      <c r="M398" s="2">
        <v>3.8860000000000001</v>
      </c>
      <c r="N398" s="2">
        <v>3.8860000000000001</v>
      </c>
      <c r="O398" s="2">
        <v>10.548299999999999</v>
      </c>
      <c r="P398" s="2" t="s">
        <v>1097</v>
      </c>
      <c r="Q398" s="2"/>
      <c r="R398" s="25">
        <v>3.9263319999999999</v>
      </c>
      <c r="S398" s="25">
        <v>3.9263319999999999</v>
      </c>
      <c r="T398" s="25">
        <v>10.74639</v>
      </c>
      <c r="U398">
        <v>0</v>
      </c>
      <c r="X398">
        <v>0</v>
      </c>
      <c r="AA398" s="2"/>
      <c r="AB398">
        <v>14</v>
      </c>
      <c r="AC398" s="55">
        <f t="shared" si="44"/>
        <v>159.28983610679998</v>
      </c>
      <c r="AD398" s="57">
        <v>165.66723991337099</v>
      </c>
      <c r="AE398" s="55">
        <v>0</v>
      </c>
      <c r="AF398" s="55">
        <v>0</v>
      </c>
      <c r="AG398" s="52"/>
      <c r="AH398" s="51">
        <v>8.4506749839743392E-2</v>
      </c>
      <c r="AI398" s="52"/>
      <c r="AJ398" s="52"/>
      <c r="AK398" s="28">
        <v>1.7272727272727271</v>
      </c>
      <c r="AL398" s="28">
        <v>2.545454545454545</v>
      </c>
      <c r="AM398" s="28">
        <v>0.81818181818181823</v>
      </c>
      <c r="AN398" s="28">
        <v>0</v>
      </c>
      <c r="AO398" s="28">
        <v>0.3392857142857143</v>
      </c>
      <c r="AP398" s="28">
        <v>0.5</v>
      </c>
      <c r="AQ398" s="28">
        <v>0.1607142857142857</v>
      </c>
      <c r="AR398" s="28">
        <v>0</v>
      </c>
      <c r="AS398" s="25">
        <v>1.1000000000000001</v>
      </c>
      <c r="AT398" s="25">
        <v>3.44</v>
      </c>
      <c r="AU398" s="25">
        <v>2.34</v>
      </c>
      <c r="AV398" s="25">
        <v>2.78</v>
      </c>
      <c r="AW398">
        <v>2.78</v>
      </c>
      <c r="AX398">
        <v>6.4270052227137269</v>
      </c>
      <c r="AY398" s="75">
        <v>0.41874886813759421</v>
      </c>
      <c r="AZ398" s="75"/>
      <c r="BA398" s="75"/>
      <c r="BB398">
        <v>4.3945051178950742E-2</v>
      </c>
      <c r="BC398">
        <v>4.2253374919871717E-2</v>
      </c>
      <c r="BF398">
        <v>8.4506749839743392E-2</v>
      </c>
      <c r="BG398">
        <v>4.3099213049411229E-2</v>
      </c>
      <c r="BH398">
        <v>0.41874886813759421</v>
      </c>
      <c r="BI398" s="79" t="s">
        <v>1264</v>
      </c>
      <c r="BJ398" s="79">
        <v>1423</v>
      </c>
      <c r="BK398" s="79">
        <v>24</v>
      </c>
      <c r="BM398" s="79" t="s">
        <v>464</v>
      </c>
      <c r="BN398" s="79" t="s">
        <v>464</v>
      </c>
      <c r="BO398" s="79">
        <v>0</v>
      </c>
      <c r="BP398" s="79">
        <v>4.62</v>
      </c>
      <c r="BQ398" s="79">
        <v>2</v>
      </c>
      <c r="BR398" s="79">
        <v>10</v>
      </c>
      <c r="BS398" s="79" t="s">
        <v>464</v>
      </c>
      <c r="BT398" s="79" t="s">
        <v>464</v>
      </c>
      <c r="BU398" s="79" t="s">
        <v>1266</v>
      </c>
      <c r="BV398" s="79">
        <v>100</v>
      </c>
      <c r="BW398" s="79">
        <v>400</v>
      </c>
      <c r="BX398" s="79" t="s">
        <v>1311</v>
      </c>
      <c r="BY398" s="79">
        <f t="shared" si="67"/>
        <v>333</v>
      </c>
      <c r="BZ398" s="81">
        <v>866.07142857142867</v>
      </c>
      <c r="CA398">
        <f t="shared" si="65"/>
        <v>6.7639673861904255</v>
      </c>
    </row>
    <row r="399" spans="1:79" x14ac:dyDescent="0.3">
      <c r="A399" s="2" t="s">
        <v>1358</v>
      </c>
      <c r="B399" s="13"/>
      <c r="C399" s="13"/>
      <c r="D399" s="2">
        <v>3.47</v>
      </c>
      <c r="E399" s="2" t="s">
        <v>208</v>
      </c>
      <c r="F399" s="9" t="s">
        <v>578</v>
      </c>
      <c r="G399">
        <v>-1</v>
      </c>
      <c r="I399" s="2">
        <v>1</v>
      </c>
      <c r="J399" s="25">
        <v>1</v>
      </c>
      <c r="K399">
        <v>0</v>
      </c>
      <c r="L399">
        <v>0</v>
      </c>
      <c r="M399" s="2">
        <v>3.8860000000000001</v>
      </c>
      <c r="N399" s="2">
        <v>3.8860000000000001</v>
      </c>
      <c r="O399" s="2">
        <v>10.548299999999999</v>
      </c>
      <c r="P399" s="2" t="s">
        <v>1097</v>
      </c>
      <c r="Q399" s="2"/>
      <c r="R399" s="25">
        <v>3.9263319999999999</v>
      </c>
      <c r="S399" s="25">
        <v>3.9263319999999999</v>
      </c>
      <c r="T399" s="25">
        <v>10.74639</v>
      </c>
      <c r="U399">
        <v>0</v>
      </c>
      <c r="X399">
        <v>0</v>
      </c>
      <c r="AA399" s="2"/>
      <c r="AB399">
        <v>14</v>
      </c>
      <c r="AC399" s="55">
        <f t="shared" si="44"/>
        <v>159.28983610679998</v>
      </c>
      <c r="AD399" s="57">
        <v>165.66723991337099</v>
      </c>
      <c r="AE399" s="55">
        <v>0</v>
      </c>
      <c r="AF399" s="55">
        <v>0</v>
      </c>
      <c r="AG399" s="52"/>
      <c r="AH399" s="51">
        <v>8.4506749839743392E-2</v>
      </c>
      <c r="AI399" s="52"/>
      <c r="AJ399" s="52"/>
      <c r="AK399" s="28">
        <v>1.7272727272727271</v>
      </c>
      <c r="AL399" s="28">
        <v>2.545454545454545</v>
      </c>
      <c r="AM399" s="28">
        <v>0.81818181818181823</v>
      </c>
      <c r="AN399" s="28">
        <v>0</v>
      </c>
      <c r="AO399" s="28">
        <v>0.3392857142857143</v>
      </c>
      <c r="AP399" s="28">
        <v>0.5</v>
      </c>
      <c r="AQ399" s="28">
        <v>0.1607142857142857</v>
      </c>
      <c r="AR399" s="28">
        <v>0</v>
      </c>
      <c r="AS399" s="25">
        <v>1.1000000000000001</v>
      </c>
      <c r="AT399" s="25">
        <v>3.44</v>
      </c>
      <c r="AU399" s="25">
        <v>2.34</v>
      </c>
      <c r="AV399" s="25">
        <v>2.78</v>
      </c>
      <c r="AW399">
        <v>2.78</v>
      </c>
      <c r="AX399">
        <v>6.4270052227137269</v>
      </c>
      <c r="AY399" s="75">
        <v>0.41874886813759421</v>
      </c>
      <c r="AZ399" s="75"/>
      <c r="BA399" s="75"/>
      <c r="BB399">
        <v>4.3945051178950742E-2</v>
      </c>
      <c r="BC399">
        <v>4.2253374919871717E-2</v>
      </c>
      <c r="BF399">
        <v>8.4506749839743392E-2</v>
      </c>
      <c r="BG399">
        <v>4.3099213049411229E-2</v>
      </c>
      <c r="BH399">
        <v>0.41874886813759421</v>
      </c>
      <c r="BI399" s="79" t="s">
        <v>1264</v>
      </c>
      <c r="BJ399" s="79">
        <v>1423</v>
      </c>
      <c r="BK399" s="79">
        <v>24</v>
      </c>
      <c r="BM399" s="79" t="s">
        <v>464</v>
      </c>
      <c r="BN399" s="79" t="s">
        <v>464</v>
      </c>
      <c r="BO399" s="79">
        <v>0</v>
      </c>
      <c r="BP399" s="79">
        <v>5.17</v>
      </c>
      <c r="BQ399" s="79">
        <v>2</v>
      </c>
      <c r="BR399" s="79">
        <v>10</v>
      </c>
      <c r="BS399" s="79" t="s">
        <v>464</v>
      </c>
      <c r="BT399" s="79" t="s">
        <v>464</v>
      </c>
      <c r="BU399" s="79" t="s">
        <v>1266</v>
      </c>
      <c r="BV399" s="79">
        <v>100</v>
      </c>
      <c r="BW399" s="79">
        <v>400</v>
      </c>
      <c r="BX399" s="79" t="s">
        <v>1311</v>
      </c>
      <c r="BY399" s="79">
        <f t="shared" si="67"/>
        <v>333</v>
      </c>
      <c r="BZ399" s="81">
        <v>941.96428571428578</v>
      </c>
      <c r="CA399">
        <f t="shared" si="65"/>
        <v>6.8479673606031639</v>
      </c>
    </row>
    <row r="400" spans="1:79" x14ac:dyDescent="0.3">
      <c r="A400" s="2" t="s">
        <v>1359</v>
      </c>
      <c r="B400" s="13"/>
      <c r="C400" s="13"/>
      <c r="D400" s="2">
        <v>3.41</v>
      </c>
      <c r="E400" s="2" t="s">
        <v>208</v>
      </c>
      <c r="F400" s="9" t="s">
        <v>578</v>
      </c>
      <c r="G400">
        <v>-1</v>
      </c>
      <c r="I400" s="2">
        <v>1</v>
      </c>
      <c r="J400" s="25">
        <v>1</v>
      </c>
      <c r="K400">
        <v>0</v>
      </c>
      <c r="L400">
        <v>0</v>
      </c>
      <c r="M400" s="2">
        <v>3.8860000000000001</v>
      </c>
      <c r="N400" s="2">
        <v>3.8860000000000001</v>
      </c>
      <c r="O400" s="2">
        <v>10.548299999999999</v>
      </c>
      <c r="P400" s="2" t="s">
        <v>1097</v>
      </c>
      <c r="Q400" s="2"/>
      <c r="R400" s="25">
        <v>3.9263319999999999</v>
      </c>
      <c r="S400" s="25">
        <v>3.9263319999999999</v>
      </c>
      <c r="T400" s="25">
        <v>10.74639</v>
      </c>
      <c r="U400">
        <v>0</v>
      </c>
      <c r="X400">
        <v>0</v>
      </c>
      <c r="AA400" s="2"/>
      <c r="AB400">
        <v>14</v>
      </c>
      <c r="AC400" s="55">
        <f t="shared" si="44"/>
        <v>159.28983610679998</v>
      </c>
      <c r="AD400" s="57">
        <v>165.66723991337099</v>
      </c>
      <c r="AE400" s="55">
        <v>0</v>
      </c>
      <c r="AF400" s="55">
        <v>0</v>
      </c>
      <c r="AG400" s="52"/>
      <c r="AH400" s="51">
        <v>8.4506749839743392E-2</v>
      </c>
      <c r="AI400" s="52"/>
      <c r="AJ400" s="52"/>
      <c r="AK400" s="28">
        <v>1.7272727272727271</v>
      </c>
      <c r="AL400" s="28">
        <v>2.545454545454545</v>
      </c>
      <c r="AM400" s="28">
        <v>0.81818181818181823</v>
      </c>
      <c r="AN400" s="28">
        <v>0</v>
      </c>
      <c r="AO400" s="28">
        <v>0.3392857142857143</v>
      </c>
      <c r="AP400" s="28">
        <v>0.5</v>
      </c>
      <c r="AQ400" s="28">
        <v>0.1607142857142857</v>
      </c>
      <c r="AR400" s="28">
        <v>0</v>
      </c>
      <c r="AS400" s="25">
        <v>1.1000000000000001</v>
      </c>
      <c r="AT400" s="25">
        <v>3.44</v>
      </c>
      <c r="AU400" s="25">
        <v>2.34</v>
      </c>
      <c r="AV400" s="25">
        <v>2.78</v>
      </c>
      <c r="AW400">
        <v>2.78</v>
      </c>
      <c r="AX400">
        <v>6.4270052227137269</v>
      </c>
      <c r="AY400" s="75">
        <v>0.41874886813759421</v>
      </c>
      <c r="AZ400" s="75"/>
      <c r="BA400" s="75"/>
      <c r="BB400">
        <v>4.3945051178950742E-2</v>
      </c>
      <c r="BC400">
        <v>4.2253374919871717E-2</v>
      </c>
      <c r="BF400">
        <v>8.4506749839743392E-2</v>
      </c>
      <c r="BG400">
        <v>4.3099213049411229E-2</v>
      </c>
      <c r="BH400">
        <v>0.41874886813759421</v>
      </c>
      <c r="BI400" s="79" t="s">
        <v>1264</v>
      </c>
      <c r="BJ400" s="79">
        <v>1423</v>
      </c>
      <c r="BK400" s="79">
        <v>24</v>
      </c>
      <c r="BM400" s="79" t="s">
        <v>464</v>
      </c>
      <c r="BN400" s="79" t="s">
        <v>464</v>
      </c>
      <c r="BO400" s="79">
        <v>0</v>
      </c>
      <c r="BP400" s="79">
        <v>7.2</v>
      </c>
      <c r="BQ400" s="79">
        <v>2</v>
      </c>
      <c r="BR400" s="79">
        <v>10</v>
      </c>
      <c r="BS400" s="79" t="s">
        <v>464</v>
      </c>
      <c r="BT400" s="79" t="s">
        <v>464</v>
      </c>
      <c r="BU400" s="79" t="s">
        <v>1266</v>
      </c>
      <c r="BV400" s="79">
        <v>100</v>
      </c>
      <c r="BW400" s="79">
        <v>400</v>
      </c>
      <c r="BX400" s="79" t="s">
        <v>1311</v>
      </c>
      <c r="BY400" s="79">
        <f t="shared" si="67"/>
        <v>333</v>
      </c>
      <c r="BZ400" s="81">
        <v>1517.8571428571429</v>
      </c>
      <c r="CA400">
        <f t="shared" si="65"/>
        <v>7.3250548447373047</v>
      </c>
    </row>
    <row r="401" spans="1:79" x14ac:dyDescent="0.3">
      <c r="A401" s="2" t="s">
        <v>1360</v>
      </c>
      <c r="B401" s="13"/>
      <c r="C401" s="13"/>
      <c r="D401" s="2">
        <v>3.42</v>
      </c>
      <c r="E401" s="2" t="s">
        <v>208</v>
      </c>
      <c r="F401" s="9" t="s">
        <v>578</v>
      </c>
      <c r="G401">
        <v>-1</v>
      </c>
      <c r="I401" s="2">
        <v>1</v>
      </c>
      <c r="J401" s="25">
        <v>1</v>
      </c>
      <c r="K401">
        <v>0</v>
      </c>
      <c r="L401">
        <v>0</v>
      </c>
      <c r="M401" s="2">
        <v>3.8860000000000001</v>
      </c>
      <c r="N401" s="2">
        <v>3.8860000000000001</v>
      </c>
      <c r="O401" s="2">
        <v>10.548299999999999</v>
      </c>
      <c r="P401" s="2" t="s">
        <v>1097</v>
      </c>
      <c r="Q401" s="2"/>
      <c r="R401" s="25">
        <v>3.9263319999999999</v>
      </c>
      <c r="S401" s="25">
        <v>3.9263319999999999</v>
      </c>
      <c r="T401" s="25">
        <v>10.74639</v>
      </c>
      <c r="U401">
        <v>0</v>
      </c>
      <c r="X401">
        <v>0</v>
      </c>
      <c r="AA401" s="2"/>
      <c r="AB401">
        <v>14</v>
      </c>
      <c r="AC401" s="55">
        <f t="shared" si="44"/>
        <v>159.28983610679998</v>
      </c>
      <c r="AD401" s="57">
        <v>165.66723991337099</v>
      </c>
      <c r="AE401" s="55">
        <v>0</v>
      </c>
      <c r="AF401" s="55">
        <v>0</v>
      </c>
      <c r="AG401" s="52"/>
      <c r="AH401" s="51">
        <v>8.4506749839743392E-2</v>
      </c>
      <c r="AI401" s="52"/>
      <c r="AJ401" s="52"/>
      <c r="AK401" s="28">
        <v>1.7272727272727271</v>
      </c>
      <c r="AL401" s="28">
        <v>2.545454545454545</v>
      </c>
      <c r="AM401" s="28">
        <v>0.81818181818181823</v>
      </c>
      <c r="AN401" s="28">
        <v>0</v>
      </c>
      <c r="AO401" s="28">
        <v>0.3392857142857143</v>
      </c>
      <c r="AP401" s="28">
        <v>0.5</v>
      </c>
      <c r="AQ401" s="28">
        <v>0.1607142857142857</v>
      </c>
      <c r="AR401" s="28">
        <v>0</v>
      </c>
      <c r="AS401" s="25">
        <v>1.1000000000000001</v>
      </c>
      <c r="AT401" s="25">
        <v>3.44</v>
      </c>
      <c r="AU401" s="25">
        <v>2.34</v>
      </c>
      <c r="AV401" s="25">
        <v>2.78</v>
      </c>
      <c r="AW401">
        <v>2.78</v>
      </c>
      <c r="AX401">
        <v>6.4270052227137269</v>
      </c>
      <c r="AY401" s="75">
        <v>0.41874886813759421</v>
      </c>
      <c r="AZ401" s="75"/>
      <c r="BA401" s="75"/>
      <c r="BB401">
        <v>4.3945051178950742E-2</v>
      </c>
      <c r="BC401">
        <v>4.2253374919871717E-2</v>
      </c>
      <c r="BF401">
        <v>8.4506749839743392E-2</v>
      </c>
      <c r="BG401">
        <v>4.3099213049411229E-2</v>
      </c>
      <c r="BH401">
        <v>0.41874886813759421</v>
      </c>
      <c r="BI401" s="79" t="s">
        <v>1264</v>
      </c>
      <c r="BJ401" s="79">
        <v>1423</v>
      </c>
      <c r="BK401" s="79">
        <v>24</v>
      </c>
      <c r="BM401" s="79" t="s">
        <v>464</v>
      </c>
      <c r="BN401" s="79" t="s">
        <v>464</v>
      </c>
      <c r="BO401" s="79">
        <v>0</v>
      </c>
      <c r="BP401" s="79">
        <v>7.7</v>
      </c>
      <c r="BQ401" s="79">
        <v>2</v>
      </c>
      <c r="BR401" s="79">
        <v>10</v>
      </c>
      <c r="BS401" s="79" t="s">
        <v>464</v>
      </c>
      <c r="BT401" s="79" t="s">
        <v>464</v>
      </c>
      <c r="BU401" s="79" t="s">
        <v>1266</v>
      </c>
      <c r="BV401" s="79">
        <v>100</v>
      </c>
      <c r="BW401" s="79">
        <v>400</v>
      </c>
      <c r="BX401" s="79" t="s">
        <v>1311</v>
      </c>
      <c r="BY401" s="79">
        <f t="shared" si="67"/>
        <v>333</v>
      </c>
      <c r="BZ401" s="81">
        <v>1629.4642857142858</v>
      </c>
      <c r="CA401">
        <f t="shared" si="65"/>
        <v>7.3960065807095887</v>
      </c>
    </row>
    <row r="402" spans="1:79" x14ac:dyDescent="0.3">
      <c r="A402" s="2" t="s">
        <v>1361</v>
      </c>
      <c r="B402" s="13"/>
      <c r="C402" s="13"/>
      <c r="D402" s="2">
        <v>3.44</v>
      </c>
      <c r="E402" s="2" t="s">
        <v>208</v>
      </c>
      <c r="F402" s="9" t="s">
        <v>578</v>
      </c>
      <c r="G402">
        <v>-1</v>
      </c>
      <c r="I402" s="2">
        <v>1</v>
      </c>
      <c r="J402" s="25">
        <v>1</v>
      </c>
      <c r="K402">
        <v>0</v>
      </c>
      <c r="L402">
        <v>0</v>
      </c>
      <c r="M402" s="2">
        <v>3.8860000000000001</v>
      </c>
      <c r="N402" s="2">
        <v>3.8860000000000001</v>
      </c>
      <c r="O402" s="2">
        <v>10.548299999999999</v>
      </c>
      <c r="P402" s="2" t="s">
        <v>1097</v>
      </c>
      <c r="Q402" s="2"/>
      <c r="R402" s="25">
        <v>3.9263319999999999</v>
      </c>
      <c r="S402" s="25">
        <v>3.9263319999999999</v>
      </c>
      <c r="T402" s="25">
        <v>10.74639</v>
      </c>
      <c r="U402">
        <v>0</v>
      </c>
      <c r="X402">
        <v>0</v>
      </c>
      <c r="AA402" s="2"/>
      <c r="AB402">
        <v>14</v>
      </c>
      <c r="AC402" s="55">
        <f t="shared" si="44"/>
        <v>159.28983610679998</v>
      </c>
      <c r="AD402" s="57">
        <v>165.66723991337099</v>
      </c>
      <c r="AE402" s="55">
        <v>0</v>
      </c>
      <c r="AF402" s="55">
        <v>0</v>
      </c>
      <c r="AG402" s="52"/>
      <c r="AH402" s="51">
        <v>8.4506749839743392E-2</v>
      </c>
      <c r="AI402" s="52"/>
      <c r="AJ402" s="52"/>
      <c r="AK402" s="28">
        <v>1.7272727272727271</v>
      </c>
      <c r="AL402" s="28">
        <v>2.545454545454545</v>
      </c>
      <c r="AM402" s="28">
        <v>0.81818181818181823</v>
      </c>
      <c r="AN402" s="28">
        <v>0</v>
      </c>
      <c r="AO402" s="28">
        <v>0.3392857142857143</v>
      </c>
      <c r="AP402" s="28">
        <v>0.5</v>
      </c>
      <c r="AQ402" s="28">
        <v>0.1607142857142857</v>
      </c>
      <c r="AR402" s="28">
        <v>0</v>
      </c>
      <c r="AS402" s="25">
        <v>1.1000000000000001</v>
      </c>
      <c r="AT402" s="25">
        <v>3.44</v>
      </c>
      <c r="AU402" s="25">
        <v>2.34</v>
      </c>
      <c r="AV402" s="25">
        <v>2.78</v>
      </c>
      <c r="AW402">
        <v>2.78</v>
      </c>
      <c r="AX402">
        <v>6.4270052227137269</v>
      </c>
      <c r="AY402" s="75">
        <v>0.41874886813759421</v>
      </c>
      <c r="AZ402" s="75"/>
      <c r="BA402" s="75"/>
      <c r="BB402">
        <v>4.3945051178950742E-2</v>
      </c>
      <c r="BC402">
        <v>4.2253374919871717E-2</v>
      </c>
      <c r="BF402">
        <v>8.4506749839743392E-2</v>
      </c>
      <c r="BG402">
        <v>4.3099213049411229E-2</v>
      </c>
      <c r="BH402">
        <v>0.41874886813759421</v>
      </c>
      <c r="BI402" s="79" t="s">
        <v>1264</v>
      </c>
      <c r="BJ402" s="79">
        <v>1423</v>
      </c>
      <c r="BK402" s="79">
        <v>24</v>
      </c>
      <c r="BM402" s="79" t="s">
        <v>464</v>
      </c>
      <c r="BN402" s="79" t="s">
        <v>464</v>
      </c>
      <c r="BO402" s="79">
        <v>0</v>
      </c>
      <c r="BP402" s="79">
        <v>8.23</v>
      </c>
      <c r="BQ402" s="79">
        <v>2</v>
      </c>
      <c r="BR402" s="79">
        <v>10</v>
      </c>
      <c r="BS402" s="79" t="s">
        <v>464</v>
      </c>
      <c r="BT402" s="79" t="s">
        <v>464</v>
      </c>
      <c r="BU402" s="79" t="s">
        <v>1266</v>
      </c>
      <c r="BV402" s="79">
        <v>100</v>
      </c>
      <c r="BW402" s="79">
        <v>400</v>
      </c>
      <c r="BX402" s="79" t="s">
        <v>1311</v>
      </c>
      <c r="BY402" s="79">
        <f t="shared" si="67"/>
        <v>333</v>
      </c>
      <c r="BZ402" s="81">
        <v>325.89285714285717</v>
      </c>
      <c r="CA402">
        <f t="shared" si="65"/>
        <v>5.7865686682754882</v>
      </c>
    </row>
    <row r="403" spans="1:79" x14ac:dyDescent="0.3">
      <c r="A403" s="2" t="s">
        <v>153</v>
      </c>
      <c r="B403" s="17"/>
      <c r="C403" s="13"/>
      <c r="D403" s="2">
        <v>3.1</v>
      </c>
      <c r="E403" s="2" t="s">
        <v>209</v>
      </c>
      <c r="F403" s="9" t="s">
        <v>578</v>
      </c>
      <c r="G403">
        <v>-1</v>
      </c>
      <c r="I403" s="2">
        <v>1</v>
      </c>
      <c r="J403" s="25">
        <v>0</v>
      </c>
      <c r="K403">
        <v>0</v>
      </c>
      <c r="L403">
        <v>0</v>
      </c>
      <c r="M403" s="1">
        <v>3.8860000000000001</v>
      </c>
      <c r="N403" s="1">
        <v>3.8860000000000001</v>
      </c>
      <c r="O403" s="1">
        <v>10.548299999999999</v>
      </c>
      <c r="P403" s="1" t="s">
        <v>1097</v>
      </c>
      <c r="Q403" s="2"/>
      <c r="R403" s="25">
        <v>0</v>
      </c>
      <c r="S403" s="25"/>
      <c r="T403" s="25"/>
      <c r="U403">
        <v>0</v>
      </c>
      <c r="X403">
        <v>0</v>
      </c>
      <c r="AA403" s="2"/>
      <c r="AB403">
        <v>14</v>
      </c>
      <c r="AC403" s="55">
        <f t="shared" ref="AC403:AC404" si="68">M403*N403*O403</f>
        <v>159.28983610679998</v>
      </c>
      <c r="AD403" s="57">
        <v>0</v>
      </c>
      <c r="AE403" s="55">
        <v>0</v>
      </c>
      <c r="AF403" s="55">
        <v>0</v>
      </c>
      <c r="AG403" s="52">
        <f t="shared" ref="AG403:AG404" si="69">I403*AB403/AC403</f>
        <v>8.789010235790147E-2</v>
      </c>
      <c r="AH403" s="51"/>
      <c r="AI403" s="52"/>
      <c r="AJ403" s="52"/>
      <c r="AK403" s="28">
        <v>1.730593607305936</v>
      </c>
      <c r="AL403" s="28">
        <v>2.557077625570777</v>
      </c>
      <c r="AM403" s="28">
        <v>0.8264840182648403</v>
      </c>
      <c r="AN403" s="28">
        <v>0</v>
      </c>
      <c r="AO403" s="28">
        <v>0.33839285714285711</v>
      </c>
      <c r="AP403" s="28">
        <v>0.5</v>
      </c>
      <c r="AQ403" s="28">
        <v>0.16160714285714289</v>
      </c>
      <c r="AR403" s="28">
        <v>0</v>
      </c>
      <c r="AS403" s="25">
        <v>1.1000000000000001</v>
      </c>
      <c r="AT403" s="25">
        <v>3.44</v>
      </c>
      <c r="AU403" s="25">
        <v>2.34</v>
      </c>
      <c r="AV403" s="25">
        <v>2.7852054794520549</v>
      </c>
      <c r="AW403">
        <v>2.7852054794520549</v>
      </c>
      <c r="AX403">
        <v>6.4239560922245156</v>
      </c>
      <c r="AY403" s="75">
        <v>0.41874886813759421</v>
      </c>
      <c r="AZ403" s="75"/>
      <c r="BA403" s="75"/>
      <c r="BB403">
        <v>4.3945051178950742E-2</v>
      </c>
      <c r="BF403">
        <v>8.789010235790147E-2</v>
      </c>
      <c r="BG403">
        <v>4.3945051178950742E-2</v>
      </c>
      <c r="BH403">
        <v>0.41874886813759421</v>
      </c>
      <c r="BI403" s="79" t="s">
        <v>1264</v>
      </c>
      <c r="BJ403" s="79">
        <v>1423</v>
      </c>
      <c r="BK403" s="79">
        <v>24</v>
      </c>
      <c r="BM403" s="79" t="s">
        <v>464</v>
      </c>
      <c r="BN403" s="79" t="s">
        <v>464</v>
      </c>
      <c r="BO403" s="79">
        <v>0</v>
      </c>
      <c r="BP403" s="79">
        <v>4.18</v>
      </c>
      <c r="BQ403" s="79">
        <v>2</v>
      </c>
      <c r="BR403" s="79">
        <v>10</v>
      </c>
      <c r="BS403" s="79" t="s">
        <v>464</v>
      </c>
      <c r="BT403" s="79" t="s">
        <v>464</v>
      </c>
      <c r="BU403" s="79" t="s">
        <v>1266</v>
      </c>
      <c r="BV403" s="79">
        <v>100</v>
      </c>
      <c r="BW403" s="79">
        <v>290</v>
      </c>
      <c r="BX403" s="79" t="s">
        <v>1311</v>
      </c>
      <c r="BY403" s="79">
        <v>333</v>
      </c>
      <c r="BZ403" s="81">
        <v>2008.9285714285716</v>
      </c>
      <c r="CA403">
        <f t="shared" si="65"/>
        <v>7.6053568098914628</v>
      </c>
    </row>
    <row r="404" spans="1:79" x14ac:dyDescent="0.3">
      <c r="A404" s="2" t="s">
        <v>210</v>
      </c>
      <c r="B404" s="17"/>
      <c r="C404" s="13"/>
      <c r="D404" s="2">
        <v>3.1</v>
      </c>
      <c r="E404" s="2" t="s">
        <v>209</v>
      </c>
      <c r="F404" s="32" t="s">
        <v>578</v>
      </c>
      <c r="G404">
        <v>-1</v>
      </c>
      <c r="I404" s="2">
        <v>1</v>
      </c>
      <c r="J404" s="25">
        <v>0</v>
      </c>
      <c r="K404">
        <v>0</v>
      </c>
      <c r="L404">
        <v>0</v>
      </c>
      <c r="M404" s="1">
        <v>3.8860000000000001</v>
      </c>
      <c r="N404" s="1">
        <v>3.8860000000000001</v>
      </c>
      <c r="O404" s="1">
        <v>10.548299999999999</v>
      </c>
      <c r="P404" s="1" t="s">
        <v>1097</v>
      </c>
      <c r="Q404" s="2"/>
      <c r="R404" s="25">
        <v>0</v>
      </c>
      <c r="S404" s="25"/>
      <c r="T404" s="25"/>
      <c r="U404">
        <v>0</v>
      </c>
      <c r="X404">
        <v>0</v>
      </c>
      <c r="AA404" s="2"/>
      <c r="AB404">
        <v>14</v>
      </c>
      <c r="AC404" s="55">
        <f t="shared" si="68"/>
        <v>159.28983610679998</v>
      </c>
      <c r="AD404" s="57">
        <v>0</v>
      </c>
      <c r="AE404" s="55">
        <v>0</v>
      </c>
      <c r="AF404" s="55">
        <v>0</v>
      </c>
      <c r="AG404" s="52">
        <f t="shared" si="69"/>
        <v>8.789010235790147E-2</v>
      </c>
      <c r="AH404" s="51"/>
      <c r="AI404" s="52"/>
      <c r="AJ404" s="52"/>
      <c r="AK404" s="28">
        <v>1.730593607305936</v>
      </c>
      <c r="AL404" s="28">
        <v>2.557077625570777</v>
      </c>
      <c r="AM404" s="28">
        <v>0.8264840182648403</v>
      </c>
      <c r="AN404" s="28">
        <v>0</v>
      </c>
      <c r="AO404" s="28">
        <v>0.33839285714285711</v>
      </c>
      <c r="AP404" s="28">
        <v>0.5</v>
      </c>
      <c r="AQ404" s="28">
        <v>0.16160714285714289</v>
      </c>
      <c r="AR404" s="28">
        <v>0</v>
      </c>
      <c r="AS404" s="25">
        <v>1.1000000000000001</v>
      </c>
      <c r="AT404" s="25">
        <v>3.44</v>
      </c>
      <c r="AU404" s="25">
        <v>2.34</v>
      </c>
      <c r="AV404" s="25">
        <v>2.7852054794520549</v>
      </c>
      <c r="AW404">
        <v>2.7852054794520549</v>
      </c>
      <c r="AX404">
        <v>6.4239560922245156</v>
      </c>
      <c r="AY404" s="75">
        <v>0.41874886813759421</v>
      </c>
      <c r="AZ404" s="75"/>
      <c r="BA404" s="75"/>
      <c r="BB404">
        <v>4.3945051178950742E-2</v>
      </c>
      <c r="BF404">
        <v>8.789010235790147E-2</v>
      </c>
      <c r="BG404">
        <v>4.3945051178950742E-2</v>
      </c>
      <c r="BH404">
        <v>0.41874886813759421</v>
      </c>
      <c r="BI404" s="79" t="s">
        <v>1264</v>
      </c>
      <c r="BJ404" s="79">
        <v>1423</v>
      </c>
      <c r="BK404" s="79">
        <v>24</v>
      </c>
      <c r="BM404" s="79" t="s">
        <v>464</v>
      </c>
      <c r="BN404" s="79" t="s">
        <v>464</v>
      </c>
      <c r="BO404" s="79">
        <v>0</v>
      </c>
      <c r="BP404" s="79">
        <v>4.54</v>
      </c>
      <c r="BQ404" s="79">
        <v>2</v>
      </c>
      <c r="BR404" s="79">
        <v>10</v>
      </c>
      <c r="BS404" s="79" t="s">
        <v>464</v>
      </c>
      <c r="BT404" s="79" t="s">
        <v>464</v>
      </c>
      <c r="BU404" s="79" t="s">
        <v>1266</v>
      </c>
      <c r="BV404" s="79">
        <v>100</v>
      </c>
      <c r="BW404" s="79">
        <v>290</v>
      </c>
      <c r="BX404" s="79" t="s">
        <v>1311</v>
      </c>
      <c r="BY404" s="79">
        <v>333</v>
      </c>
      <c r="BZ404" s="81">
        <v>2232.1428571428573</v>
      </c>
      <c r="CA404">
        <f t="shared" si="65"/>
        <v>7.7107173255492887</v>
      </c>
    </row>
    <row r="405" spans="1:79" x14ac:dyDescent="0.3">
      <c r="A405" s="2" t="s">
        <v>211</v>
      </c>
      <c r="B405" s="17"/>
      <c r="C405" s="13"/>
      <c r="D405" s="2">
        <v>3.1</v>
      </c>
      <c r="E405" s="2" t="s">
        <v>209</v>
      </c>
      <c r="F405" s="32" t="s">
        <v>578</v>
      </c>
      <c r="G405">
        <v>-1</v>
      </c>
      <c r="I405" s="2">
        <v>1</v>
      </c>
      <c r="J405" s="25">
        <v>0</v>
      </c>
      <c r="K405">
        <v>0</v>
      </c>
      <c r="L405">
        <v>0</v>
      </c>
      <c r="M405" s="1">
        <v>3.8860000000000001</v>
      </c>
      <c r="N405" s="1">
        <v>3.8860000000000001</v>
      </c>
      <c r="O405" s="1">
        <v>10.548299999999999</v>
      </c>
      <c r="P405" s="1" t="s">
        <v>1097</v>
      </c>
      <c r="Q405" s="2"/>
      <c r="R405" s="25">
        <v>0</v>
      </c>
      <c r="S405" s="25"/>
      <c r="T405" s="25"/>
      <c r="U405">
        <v>0</v>
      </c>
      <c r="X405">
        <v>0</v>
      </c>
      <c r="AA405" s="2"/>
      <c r="AB405">
        <v>14</v>
      </c>
      <c r="AC405" s="55">
        <f t="shared" ref="AC405:AC555" si="70">M405*N405*O405</f>
        <v>159.28983610679998</v>
      </c>
      <c r="AD405" s="57">
        <v>0</v>
      </c>
      <c r="AE405" s="55">
        <v>0</v>
      </c>
      <c r="AF405" s="55">
        <v>0</v>
      </c>
      <c r="AG405" s="52">
        <f t="shared" ref="AG405:AG409" si="71">I405*AB405/AC405</f>
        <v>8.789010235790147E-2</v>
      </c>
      <c r="AH405" s="51"/>
      <c r="AI405" s="52"/>
      <c r="AJ405" s="52"/>
      <c r="AK405" s="28">
        <v>1.730593607305936</v>
      </c>
      <c r="AL405" s="28">
        <v>2.557077625570777</v>
      </c>
      <c r="AM405" s="28">
        <v>0.8264840182648403</v>
      </c>
      <c r="AN405" s="28">
        <v>0</v>
      </c>
      <c r="AO405" s="28">
        <v>0.33839285714285711</v>
      </c>
      <c r="AP405" s="28">
        <v>0.5</v>
      </c>
      <c r="AQ405" s="28">
        <v>0.16160714285714289</v>
      </c>
      <c r="AR405" s="28">
        <v>0</v>
      </c>
      <c r="AS405" s="25">
        <v>1.1000000000000001</v>
      </c>
      <c r="AT405" s="25">
        <v>3.44</v>
      </c>
      <c r="AU405" s="25">
        <v>2.34</v>
      </c>
      <c r="AV405" s="25">
        <v>2.7852054794520549</v>
      </c>
      <c r="AW405">
        <v>2.7852054794520549</v>
      </c>
      <c r="AX405">
        <v>6.4239560922245156</v>
      </c>
      <c r="AY405" s="75">
        <v>0.41874886813759421</v>
      </c>
      <c r="AZ405" s="75"/>
      <c r="BA405" s="75"/>
      <c r="BB405">
        <v>4.3945051178950742E-2</v>
      </c>
      <c r="BF405">
        <v>8.789010235790147E-2</v>
      </c>
      <c r="BG405">
        <v>4.3945051178950742E-2</v>
      </c>
      <c r="BH405">
        <v>0.41874886813759421</v>
      </c>
      <c r="BI405" s="79" t="s">
        <v>1264</v>
      </c>
      <c r="BJ405" s="79">
        <v>1423</v>
      </c>
      <c r="BK405" s="79">
        <v>24</v>
      </c>
      <c r="BM405" s="79" t="s">
        <v>464</v>
      </c>
      <c r="BN405" s="79" t="s">
        <v>464</v>
      </c>
      <c r="BO405" s="79">
        <v>0</v>
      </c>
      <c r="BP405" s="79">
        <v>11.5</v>
      </c>
      <c r="BQ405" s="79">
        <v>2</v>
      </c>
      <c r="BR405" s="79">
        <v>10</v>
      </c>
      <c r="BS405" s="79" t="s">
        <v>464</v>
      </c>
      <c r="BT405" s="79" t="s">
        <v>464</v>
      </c>
      <c r="BU405" s="79" t="s">
        <v>1266</v>
      </c>
      <c r="BV405" s="79">
        <v>100</v>
      </c>
      <c r="BW405" s="79">
        <v>290</v>
      </c>
      <c r="BX405" s="79" t="s">
        <v>1311</v>
      </c>
      <c r="BY405" s="79">
        <v>333</v>
      </c>
      <c r="BZ405" s="81">
        <v>2455.3571428571431</v>
      </c>
      <c r="CA405">
        <f t="shared" si="65"/>
        <v>7.8060275053536143</v>
      </c>
    </row>
    <row r="406" spans="1:79" x14ac:dyDescent="0.3">
      <c r="A406" s="2" t="s">
        <v>1362</v>
      </c>
      <c r="B406" s="17"/>
      <c r="C406" s="13"/>
      <c r="D406" s="2">
        <v>3.1</v>
      </c>
      <c r="E406" s="2" t="s">
        <v>209</v>
      </c>
      <c r="F406" s="32" t="s">
        <v>578</v>
      </c>
      <c r="G406">
        <v>-1</v>
      </c>
      <c r="I406" s="2">
        <v>1</v>
      </c>
      <c r="J406" s="25">
        <v>0</v>
      </c>
      <c r="K406">
        <v>0</v>
      </c>
      <c r="L406">
        <v>0</v>
      </c>
      <c r="M406" s="1">
        <v>3.8860000000000001</v>
      </c>
      <c r="N406" s="1">
        <v>3.8860000000000001</v>
      </c>
      <c r="O406" s="1">
        <v>10.548299999999999</v>
      </c>
      <c r="P406" s="1" t="s">
        <v>1097</v>
      </c>
      <c r="Q406" s="2"/>
      <c r="R406" s="25"/>
      <c r="S406" s="25"/>
      <c r="T406" s="25"/>
      <c r="AA406" s="2"/>
      <c r="AC406" s="55"/>
      <c r="AD406" s="57"/>
      <c r="AE406" s="55"/>
      <c r="AF406" s="55"/>
      <c r="AG406" s="52"/>
      <c r="AH406" s="51"/>
      <c r="AI406" s="52"/>
      <c r="AJ406" s="52"/>
      <c r="AK406" s="28"/>
      <c r="AL406" s="28"/>
      <c r="AM406" s="28"/>
      <c r="AN406" s="28"/>
      <c r="AO406" s="28"/>
      <c r="AP406" s="28"/>
      <c r="AQ406" s="28"/>
      <c r="AR406" s="28"/>
      <c r="AS406" s="25"/>
      <c r="AT406" s="25"/>
      <c r="AU406" s="25"/>
      <c r="AV406" s="25"/>
      <c r="AY406" s="75"/>
      <c r="AZ406" s="75"/>
      <c r="BA406" s="75"/>
      <c r="BI406" s="79" t="s">
        <v>1264</v>
      </c>
      <c r="BJ406" s="79">
        <v>1423</v>
      </c>
      <c r="BK406" s="79">
        <v>24</v>
      </c>
      <c r="BM406" s="79" t="s">
        <v>464</v>
      </c>
      <c r="BN406" s="79" t="s">
        <v>464</v>
      </c>
      <c r="BO406" s="79">
        <v>0</v>
      </c>
      <c r="BQ406" s="79">
        <v>2</v>
      </c>
      <c r="BR406" s="79">
        <v>10</v>
      </c>
      <c r="BS406" s="79" t="s">
        <v>464</v>
      </c>
      <c r="BT406" s="79" t="s">
        <v>464</v>
      </c>
      <c r="BU406" s="79" t="s">
        <v>1266</v>
      </c>
      <c r="BV406" s="79">
        <v>100</v>
      </c>
      <c r="BW406" s="79">
        <v>290</v>
      </c>
      <c r="BX406" s="79" t="s">
        <v>1311</v>
      </c>
      <c r="BY406" s="79">
        <v>333</v>
      </c>
      <c r="BZ406" s="81">
        <v>1116.0714285714287</v>
      </c>
      <c r="CA406">
        <f t="shared" si="65"/>
        <v>7.0175701449893433</v>
      </c>
    </row>
    <row r="407" spans="1:79" x14ac:dyDescent="0.3">
      <c r="A407" s="2" t="s">
        <v>212</v>
      </c>
      <c r="B407" s="17"/>
      <c r="C407" s="13"/>
      <c r="D407" s="2">
        <v>3.1</v>
      </c>
      <c r="E407" s="2" t="s">
        <v>209</v>
      </c>
      <c r="F407" s="32" t="s">
        <v>578</v>
      </c>
      <c r="G407">
        <v>-1</v>
      </c>
      <c r="I407" s="2">
        <v>1</v>
      </c>
      <c r="J407" s="25">
        <v>0</v>
      </c>
      <c r="K407">
        <v>0</v>
      </c>
      <c r="L407">
        <v>0</v>
      </c>
      <c r="M407" s="1">
        <v>3.8860000000000001</v>
      </c>
      <c r="N407" s="1">
        <v>3.8860000000000001</v>
      </c>
      <c r="O407" s="1">
        <v>10.548299999999999</v>
      </c>
      <c r="P407" s="1" t="s">
        <v>1097</v>
      </c>
      <c r="Q407" s="2"/>
      <c r="R407" s="25">
        <v>0</v>
      </c>
      <c r="S407" s="25"/>
      <c r="T407" s="25"/>
      <c r="U407">
        <v>0</v>
      </c>
      <c r="X407">
        <v>0</v>
      </c>
      <c r="AA407" s="2"/>
      <c r="AB407">
        <v>14</v>
      </c>
      <c r="AC407" s="55">
        <f t="shared" si="70"/>
        <v>159.28983610679998</v>
      </c>
      <c r="AD407" s="57">
        <v>0</v>
      </c>
      <c r="AE407" s="55">
        <v>0</v>
      </c>
      <c r="AF407" s="55">
        <v>0</v>
      </c>
      <c r="AG407" s="52">
        <f t="shared" si="71"/>
        <v>8.789010235790147E-2</v>
      </c>
      <c r="AH407" s="51"/>
      <c r="AI407" s="52"/>
      <c r="AJ407" s="52"/>
      <c r="AK407" s="28">
        <v>1.7373271889400921</v>
      </c>
      <c r="AL407" s="28">
        <v>2.580645161290323</v>
      </c>
      <c r="AM407" s="28">
        <v>0.84331797235023043</v>
      </c>
      <c r="AN407" s="28">
        <v>0</v>
      </c>
      <c r="AO407" s="28">
        <v>0.33660714285714288</v>
      </c>
      <c r="AP407" s="28">
        <v>0.5</v>
      </c>
      <c r="AQ407" s="28">
        <v>0.16339285714285709</v>
      </c>
      <c r="AR407" s="28">
        <v>0</v>
      </c>
      <c r="AS407" s="25">
        <v>1.1000000000000001</v>
      </c>
      <c r="AT407" s="25">
        <v>3.44</v>
      </c>
      <c r="AU407" s="25">
        <v>2.34</v>
      </c>
      <c r="AV407" s="25">
        <v>2.7957603686635939</v>
      </c>
      <c r="AW407">
        <v>2.7957603686635939</v>
      </c>
      <c r="AX407">
        <v>6.4177735234906308</v>
      </c>
      <c r="AY407" s="75">
        <v>0.41874886813759421</v>
      </c>
      <c r="AZ407" s="75"/>
      <c r="BA407" s="75"/>
      <c r="BB407">
        <v>4.3945051178950742E-2</v>
      </c>
      <c r="BF407">
        <v>8.789010235790147E-2</v>
      </c>
      <c r="BG407">
        <v>4.3945051178950742E-2</v>
      </c>
      <c r="BH407">
        <v>0.41874886813759421</v>
      </c>
      <c r="BI407" s="79" t="s">
        <v>1264</v>
      </c>
      <c r="BJ407" s="79">
        <v>1423</v>
      </c>
      <c r="BK407" s="79">
        <v>24</v>
      </c>
      <c r="BM407" s="79" t="s">
        <v>464</v>
      </c>
      <c r="BN407" s="79" t="s">
        <v>464</v>
      </c>
      <c r="BO407" s="79">
        <v>0</v>
      </c>
      <c r="BP407" s="79">
        <v>7.84</v>
      </c>
      <c r="BQ407" s="79">
        <v>2</v>
      </c>
      <c r="BR407" s="79">
        <v>10</v>
      </c>
      <c r="BS407" s="79" t="s">
        <v>464</v>
      </c>
      <c r="BT407" s="79" t="s">
        <v>464</v>
      </c>
      <c r="BU407" s="79" t="s">
        <v>1266</v>
      </c>
      <c r="BV407" s="79">
        <v>100</v>
      </c>
      <c r="BW407" s="79">
        <v>290</v>
      </c>
      <c r="BX407" s="79" t="s">
        <v>1311</v>
      </c>
      <c r="BY407" s="79">
        <v>333</v>
      </c>
      <c r="BZ407" s="81">
        <v>892.85714285714289</v>
      </c>
      <c r="CA407">
        <f t="shared" si="65"/>
        <v>6.7944265936751336</v>
      </c>
    </row>
    <row r="408" spans="1:79" x14ac:dyDescent="0.3">
      <c r="A408" s="2" t="s">
        <v>153</v>
      </c>
      <c r="B408" s="17"/>
      <c r="C408" s="13"/>
      <c r="D408" s="2">
        <v>3.1</v>
      </c>
      <c r="E408" s="2" t="s">
        <v>209</v>
      </c>
      <c r="F408" s="9" t="s">
        <v>578</v>
      </c>
      <c r="G408">
        <v>-1</v>
      </c>
      <c r="I408" s="2">
        <v>1</v>
      </c>
      <c r="J408" s="25">
        <v>0</v>
      </c>
      <c r="K408">
        <v>0</v>
      </c>
      <c r="L408">
        <v>0</v>
      </c>
      <c r="M408" s="1">
        <v>3.8860000000000001</v>
      </c>
      <c r="N408" s="1">
        <v>3.8860000000000001</v>
      </c>
      <c r="O408" s="1">
        <v>10.548299999999999</v>
      </c>
      <c r="P408" s="1" t="s">
        <v>1097</v>
      </c>
      <c r="Q408" s="2"/>
      <c r="R408" s="25">
        <v>0</v>
      </c>
      <c r="S408" s="25"/>
      <c r="T408" s="25"/>
      <c r="U408">
        <v>0</v>
      </c>
      <c r="X408">
        <v>0</v>
      </c>
      <c r="AA408" s="2"/>
      <c r="AB408">
        <v>14</v>
      </c>
      <c r="AC408" s="55">
        <f t="shared" si="70"/>
        <v>159.28983610679998</v>
      </c>
      <c r="AD408" s="57">
        <v>0</v>
      </c>
      <c r="AE408" s="55">
        <v>0</v>
      </c>
      <c r="AF408" s="55">
        <v>0</v>
      </c>
      <c r="AG408" s="52">
        <f t="shared" si="71"/>
        <v>8.789010235790147E-2</v>
      </c>
      <c r="AH408" s="51"/>
      <c r="AI408" s="52"/>
      <c r="AJ408" s="52"/>
      <c r="AK408" s="28">
        <v>1.730593607305936</v>
      </c>
      <c r="AL408" s="28">
        <v>2.557077625570777</v>
      </c>
      <c r="AM408" s="28">
        <v>0.8264840182648403</v>
      </c>
      <c r="AN408" s="28">
        <v>0</v>
      </c>
      <c r="AO408" s="28">
        <v>0.33839285714285711</v>
      </c>
      <c r="AP408" s="28">
        <v>0.5</v>
      </c>
      <c r="AQ408" s="28">
        <v>0.16160714285714289</v>
      </c>
      <c r="AR408" s="28">
        <v>0</v>
      </c>
      <c r="AS408" s="25">
        <v>1.1000000000000001</v>
      </c>
      <c r="AT408" s="25">
        <v>3.44</v>
      </c>
      <c r="AU408" s="25">
        <v>2.34</v>
      </c>
      <c r="AV408" s="25">
        <v>2.7852054794520549</v>
      </c>
      <c r="AW408">
        <v>2.7852054794520549</v>
      </c>
      <c r="AX408">
        <v>6.4239560922245156</v>
      </c>
      <c r="AY408" s="75">
        <v>0.41874886813759421</v>
      </c>
      <c r="AZ408" s="75"/>
      <c r="BA408" s="75"/>
      <c r="BB408">
        <v>4.3945051178950742E-2</v>
      </c>
      <c r="BF408">
        <v>8.789010235790147E-2</v>
      </c>
      <c r="BG408">
        <v>4.3945051178950742E-2</v>
      </c>
      <c r="BH408">
        <v>0.41874886813759421</v>
      </c>
      <c r="BI408" s="79" t="s">
        <v>1264</v>
      </c>
      <c r="BJ408" s="79">
        <v>1423</v>
      </c>
      <c r="BK408" s="79">
        <v>24</v>
      </c>
      <c r="BM408" s="79" t="s">
        <v>464</v>
      </c>
      <c r="BN408" s="79" t="s">
        <v>863</v>
      </c>
      <c r="BO408" s="79">
        <v>1.34</v>
      </c>
      <c r="BP408" s="79">
        <v>4.18</v>
      </c>
      <c r="BQ408" s="79">
        <v>2</v>
      </c>
      <c r="BR408" s="79">
        <v>10</v>
      </c>
      <c r="BS408" s="79" t="s">
        <v>464</v>
      </c>
      <c r="BT408" s="79" t="s">
        <v>464</v>
      </c>
      <c r="BU408" s="79" t="s">
        <v>1266</v>
      </c>
      <c r="BV408" s="79">
        <v>100</v>
      </c>
      <c r="BW408" s="79">
        <v>290</v>
      </c>
      <c r="BX408" s="79" t="s">
        <v>1311</v>
      </c>
      <c r="BY408" s="79">
        <v>333</v>
      </c>
      <c r="BZ408" s="81">
        <v>7723.2142857142862</v>
      </c>
      <c r="CA408">
        <f t="shared" si="65"/>
        <v>8.9519859146189216</v>
      </c>
    </row>
    <row r="409" spans="1:79" x14ac:dyDescent="0.3">
      <c r="A409" s="2" t="s">
        <v>210</v>
      </c>
      <c r="B409" s="17"/>
      <c r="C409" s="13"/>
      <c r="D409" s="2">
        <v>3.1</v>
      </c>
      <c r="E409" s="2" t="s">
        <v>209</v>
      </c>
      <c r="F409" s="32" t="s">
        <v>578</v>
      </c>
      <c r="G409">
        <v>-1</v>
      </c>
      <c r="I409" s="2">
        <v>1</v>
      </c>
      <c r="J409" s="25">
        <v>0</v>
      </c>
      <c r="K409">
        <v>0</v>
      </c>
      <c r="L409">
        <v>0</v>
      </c>
      <c r="M409" s="1">
        <v>3.8860000000000001</v>
      </c>
      <c r="N409" s="1">
        <v>3.8860000000000001</v>
      </c>
      <c r="O409" s="1">
        <v>10.548299999999999</v>
      </c>
      <c r="P409" s="1" t="s">
        <v>1097</v>
      </c>
      <c r="Q409" s="2"/>
      <c r="R409" s="25">
        <v>0</v>
      </c>
      <c r="S409" s="25"/>
      <c r="T409" s="25"/>
      <c r="U409">
        <v>0</v>
      </c>
      <c r="X409">
        <v>0</v>
      </c>
      <c r="AA409" s="2"/>
      <c r="AB409">
        <v>14</v>
      </c>
      <c r="AC409" s="55">
        <f t="shared" si="70"/>
        <v>159.28983610679998</v>
      </c>
      <c r="AD409" s="57">
        <v>0</v>
      </c>
      <c r="AE409" s="55">
        <v>0</v>
      </c>
      <c r="AF409" s="55">
        <v>0</v>
      </c>
      <c r="AG409" s="52">
        <f t="shared" si="71"/>
        <v>8.789010235790147E-2</v>
      </c>
      <c r="AH409" s="51"/>
      <c r="AI409" s="52"/>
      <c r="AJ409" s="52"/>
      <c r="AK409" s="28">
        <v>1.730593607305936</v>
      </c>
      <c r="AL409" s="28">
        <v>2.557077625570777</v>
      </c>
      <c r="AM409" s="28">
        <v>0.8264840182648403</v>
      </c>
      <c r="AN409" s="28">
        <v>0</v>
      </c>
      <c r="AO409" s="28">
        <v>0.33839285714285711</v>
      </c>
      <c r="AP409" s="28">
        <v>0.5</v>
      </c>
      <c r="AQ409" s="28">
        <v>0.16160714285714289</v>
      </c>
      <c r="AR409" s="28">
        <v>0</v>
      </c>
      <c r="AS409" s="25">
        <v>1.1000000000000001</v>
      </c>
      <c r="AT409" s="25">
        <v>3.44</v>
      </c>
      <c r="AU409" s="25">
        <v>2.34</v>
      </c>
      <c r="AV409" s="25">
        <v>2.7852054794520549</v>
      </c>
      <c r="AW409">
        <v>2.7852054794520549</v>
      </c>
      <c r="AX409">
        <v>6.4239560922245156</v>
      </c>
      <c r="AY409" s="75">
        <v>0.41874886813759421</v>
      </c>
      <c r="AZ409" s="75"/>
      <c r="BA409" s="75"/>
      <c r="BB409">
        <v>4.3945051178950742E-2</v>
      </c>
      <c r="BF409">
        <v>8.789010235790147E-2</v>
      </c>
      <c r="BG409">
        <v>4.3945051178950742E-2</v>
      </c>
      <c r="BH409">
        <v>0.41874886813759421</v>
      </c>
      <c r="BI409" s="79" t="s">
        <v>1264</v>
      </c>
      <c r="BJ409" s="79">
        <v>1423</v>
      </c>
      <c r="BK409" s="79">
        <v>24</v>
      </c>
      <c r="BM409" s="79" t="s">
        <v>464</v>
      </c>
      <c r="BN409" s="79" t="s">
        <v>863</v>
      </c>
      <c r="BO409" s="79">
        <v>1.04</v>
      </c>
      <c r="BP409" s="79">
        <v>4.54</v>
      </c>
      <c r="BQ409" s="79">
        <v>2</v>
      </c>
      <c r="BR409" s="79">
        <v>10</v>
      </c>
      <c r="BS409" s="79" t="s">
        <v>464</v>
      </c>
      <c r="BT409" s="79" t="s">
        <v>464</v>
      </c>
      <c r="BU409" s="79" t="s">
        <v>1266</v>
      </c>
      <c r="BV409" s="79">
        <v>100</v>
      </c>
      <c r="BW409" s="79">
        <v>290</v>
      </c>
      <c r="BX409" s="79" t="s">
        <v>1311</v>
      </c>
      <c r="BY409" s="79">
        <v>333</v>
      </c>
      <c r="BZ409" s="81">
        <v>8750</v>
      </c>
      <c r="CA409">
        <f t="shared" si="65"/>
        <v>9.0768089793516609</v>
      </c>
    </row>
    <row r="410" spans="1:79" x14ac:dyDescent="0.3">
      <c r="A410" s="2" t="s">
        <v>211</v>
      </c>
      <c r="B410" s="17"/>
      <c r="C410" s="13"/>
      <c r="D410" s="2">
        <v>3.1</v>
      </c>
      <c r="E410" s="2" t="s">
        <v>209</v>
      </c>
      <c r="F410" s="32" t="s">
        <v>578</v>
      </c>
      <c r="G410">
        <v>-1</v>
      </c>
      <c r="I410" s="2">
        <v>1</v>
      </c>
      <c r="J410" s="25">
        <v>0</v>
      </c>
      <c r="K410">
        <v>0</v>
      </c>
      <c r="L410">
        <v>0</v>
      </c>
      <c r="M410" s="1">
        <v>3.8860000000000001</v>
      </c>
      <c r="N410" s="1">
        <v>3.8860000000000001</v>
      </c>
      <c r="O410" s="1">
        <v>10.548299999999999</v>
      </c>
      <c r="P410" s="1" t="s">
        <v>1097</v>
      </c>
      <c r="Q410" s="2"/>
      <c r="R410" s="25">
        <v>0</v>
      </c>
      <c r="S410" s="25"/>
      <c r="T410" s="25"/>
      <c r="U410">
        <v>0</v>
      </c>
      <c r="X410">
        <v>0</v>
      </c>
      <c r="AA410" s="2"/>
      <c r="AB410">
        <v>14</v>
      </c>
      <c r="AC410" s="55">
        <f t="shared" ref="AC410" si="72">M410*N410*O410</f>
        <v>159.28983610679998</v>
      </c>
      <c r="AD410" s="57">
        <v>0</v>
      </c>
      <c r="AE410" s="55">
        <v>0</v>
      </c>
      <c r="AF410" s="55">
        <v>0</v>
      </c>
      <c r="AG410" s="52">
        <f t="shared" ref="AG410" si="73">I410*AB410/AC410</f>
        <v>8.789010235790147E-2</v>
      </c>
      <c r="AH410" s="51"/>
      <c r="AI410" s="52"/>
      <c r="AJ410" s="52"/>
      <c r="AK410" s="28">
        <v>1.730593607305936</v>
      </c>
      <c r="AL410" s="28">
        <v>2.557077625570777</v>
      </c>
      <c r="AM410" s="28">
        <v>0.8264840182648403</v>
      </c>
      <c r="AN410" s="28">
        <v>0</v>
      </c>
      <c r="AO410" s="28">
        <v>0.33839285714285711</v>
      </c>
      <c r="AP410" s="28">
        <v>0.5</v>
      </c>
      <c r="AQ410" s="28">
        <v>0.16160714285714289</v>
      </c>
      <c r="AR410" s="28">
        <v>0</v>
      </c>
      <c r="AS410" s="25">
        <v>1.1000000000000001</v>
      </c>
      <c r="AT410" s="25">
        <v>3.44</v>
      </c>
      <c r="AU410" s="25">
        <v>2.34</v>
      </c>
      <c r="AV410" s="25">
        <v>2.7852054794520549</v>
      </c>
      <c r="AW410">
        <v>2.7852054794520549</v>
      </c>
      <c r="AX410">
        <v>6.4239560922245156</v>
      </c>
      <c r="AY410" s="75">
        <v>0.41874886813759421</v>
      </c>
      <c r="AZ410" s="75"/>
      <c r="BA410" s="75"/>
      <c r="BB410">
        <v>4.3945051178950742E-2</v>
      </c>
      <c r="BF410">
        <v>8.789010235790147E-2</v>
      </c>
      <c r="BG410">
        <v>4.3945051178950742E-2</v>
      </c>
      <c r="BH410">
        <v>0.41874886813759421</v>
      </c>
      <c r="BI410" s="79" t="s">
        <v>1264</v>
      </c>
      <c r="BJ410" s="79">
        <v>1423</v>
      </c>
      <c r="BK410" s="79">
        <v>24</v>
      </c>
      <c r="BM410" s="79" t="s">
        <v>464</v>
      </c>
      <c r="BN410" s="79" t="s">
        <v>863</v>
      </c>
      <c r="BO410" s="79">
        <v>1.19</v>
      </c>
      <c r="BP410" s="79">
        <v>11.5</v>
      </c>
      <c r="BQ410" s="79">
        <v>2</v>
      </c>
      <c r="BR410" s="79">
        <v>10</v>
      </c>
      <c r="BS410" s="79" t="s">
        <v>464</v>
      </c>
      <c r="BT410" s="79" t="s">
        <v>464</v>
      </c>
      <c r="BU410" s="79" t="s">
        <v>1266</v>
      </c>
      <c r="BV410" s="79">
        <v>100</v>
      </c>
      <c r="BW410" s="79">
        <v>290</v>
      </c>
      <c r="BX410" s="79" t="s">
        <v>1311</v>
      </c>
      <c r="BY410" s="79">
        <v>333</v>
      </c>
      <c r="BZ410" s="81">
        <v>10714.285714285716</v>
      </c>
      <c r="CA410">
        <f t="shared" si="65"/>
        <v>9.2793332434631335</v>
      </c>
    </row>
    <row r="411" spans="1:79" x14ac:dyDescent="0.3">
      <c r="A411" s="2" t="s">
        <v>1362</v>
      </c>
      <c r="B411" s="17"/>
      <c r="C411" s="13"/>
      <c r="D411" s="2">
        <v>3.1</v>
      </c>
      <c r="E411" s="2" t="s">
        <v>209</v>
      </c>
      <c r="F411" s="32" t="s">
        <v>578</v>
      </c>
      <c r="G411">
        <v>-1</v>
      </c>
      <c r="I411" s="2">
        <v>1</v>
      </c>
      <c r="J411" s="25">
        <v>0</v>
      </c>
      <c r="K411">
        <v>0</v>
      </c>
      <c r="L411">
        <v>0</v>
      </c>
      <c r="M411" s="1">
        <v>3.8860000000000001</v>
      </c>
      <c r="N411" s="1">
        <v>3.8860000000000001</v>
      </c>
      <c r="O411" s="1">
        <v>10.548299999999999</v>
      </c>
      <c r="P411" s="1" t="s">
        <v>1097</v>
      </c>
      <c r="Q411" s="2"/>
      <c r="R411" s="25"/>
      <c r="S411" s="25"/>
      <c r="T411" s="25"/>
      <c r="AA411" s="2"/>
      <c r="AC411" s="55"/>
      <c r="AD411" s="57"/>
      <c r="AE411" s="55"/>
      <c r="AF411" s="55"/>
      <c r="AG411" s="52"/>
      <c r="AH411" s="51"/>
      <c r="AI411" s="52"/>
      <c r="AJ411" s="52"/>
      <c r="AK411" s="28"/>
      <c r="AL411" s="28"/>
      <c r="AM411" s="28"/>
      <c r="AN411" s="28"/>
      <c r="AO411" s="28"/>
      <c r="AP411" s="28"/>
      <c r="AQ411" s="28"/>
      <c r="AR411" s="28"/>
      <c r="AS411" s="25"/>
      <c r="AT411" s="25"/>
      <c r="AU411" s="25"/>
      <c r="AV411" s="25"/>
      <c r="AY411" s="75"/>
      <c r="AZ411" s="75"/>
      <c r="BA411" s="75"/>
      <c r="BI411" s="79" t="s">
        <v>1264</v>
      </c>
      <c r="BJ411" s="79">
        <v>1423</v>
      </c>
      <c r="BK411" s="79">
        <v>24</v>
      </c>
      <c r="BM411" s="79" t="s">
        <v>464</v>
      </c>
      <c r="BN411" s="79" t="s">
        <v>863</v>
      </c>
      <c r="BO411" s="79">
        <f>AVERAGE(BO408,BO409,BO410,BO412)</f>
        <v>1.2949999999999999</v>
      </c>
      <c r="BP411" s="79">
        <f>AVERAGE(BP408,BP409,BP410,BP412)</f>
        <v>7.0149999999999997</v>
      </c>
      <c r="BQ411" s="79">
        <v>2</v>
      </c>
      <c r="BR411" s="79">
        <v>10</v>
      </c>
      <c r="BS411" s="79" t="s">
        <v>464</v>
      </c>
      <c r="BT411" s="79" t="s">
        <v>464</v>
      </c>
      <c r="BU411" s="79" t="s">
        <v>1266</v>
      </c>
      <c r="BV411" s="79">
        <v>100</v>
      </c>
      <c r="BW411" s="79">
        <v>290</v>
      </c>
      <c r="BX411" s="79" t="s">
        <v>1311</v>
      </c>
      <c r="BY411" s="79">
        <v>333</v>
      </c>
      <c r="BZ411" s="81">
        <v>4910.7142857142862</v>
      </c>
      <c r="CA411">
        <f t="shared" si="65"/>
        <v>8.4991746859135588</v>
      </c>
    </row>
    <row r="412" spans="1:79" x14ac:dyDescent="0.3">
      <c r="A412" s="2" t="s">
        <v>212</v>
      </c>
      <c r="B412" s="17"/>
      <c r="C412" s="13"/>
      <c r="D412" s="2">
        <v>3.1</v>
      </c>
      <c r="E412" s="2" t="s">
        <v>209</v>
      </c>
      <c r="F412" s="32" t="s">
        <v>578</v>
      </c>
      <c r="G412">
        <v>-1</v>
      </c>
      <c r="I412" s="2">
        <v>1</v>
      </c>
      <c r="J412" s="25">
        <v>0</v>
      </c>
      <c r="K412">
        <v>0</v>
      </c>
      <c r="L412">
        <v>0</v>
      </c>
      <c r="M412" s="1">
        <v>3.8860000000000001</v>
      </c>
      <c r="N412" s="1">
        <v>3.8860000000000001</v>
      </c>
      <c r="O412" s="1">
        <v>10.548299999999999</v>
      </c>
      <c r="P412" s="1" t="s">
        <v>1097</v>
      </c>
      <c r="Q412" s="2"/>
      <c r="R412" s="25">
        <v>0</v>
      </c>
      <c r="S412" s="25"/>
      <c r="T412" s="25"/>
      <c r="U412">
        <v>0</v>
      </c>
      <c r="X412">
        <v>0</v>
      </c>
      <c r="AA412" s="2"/>
      <c r="AB412">
        <v>14</v>
      </c>
      <c r="AC412" s="55">
        <f t="shared" ref="AC412" si="74">M412*N412*O412</f>
        <v>159.28983610679998</v>
      </c>
      <c r="AD412" s="57">
        <v>0</v>
      </c>
      <c r="AE412" s="55">
        <v>0</v>
      </c>
      <c r="AF412" s="55">
        <v>0</v>
      </c>
      <c r="AG412" s="52">
        <f t="shared" ref="AG412" si="75">I412*AB412/AC412</f>
        <v>8.789010235790147E-2</v>
      </c>
      <c r="AH412" s="51"/>
      <c r="AI412" s="52"/>
      <c r="AJ412" s="52"/>
      <c r="AK412" s="28">
        <v>1.7373271889400921</v>
      </c>
      <c r="AL412" s="28">
        <v>2.580645161290323</v>
      </c>
      <c r="AM412" s="28">
        <v>0.84331797235023043</v>
      </c>
      <c r="AN412" s="28">
        <v>0</v>
      </c>
      <c r="AO412" s="28">
        <v>0.33660714285714288</v>
      </c>
      <c r="AP412" s="28">
        <v>0.5</v>
      </c>
      <c r="AQ412" s="28">
        <v>0.16339285714285709</v>
      </c>
      <c r="AR412" s="28">
        <v>0</v>
      </c>
      <c r="AS412" s="25">
        <v>1.1000000000000001</v>
      </c>
      <c r="AT412" s="25">
        <v>3.44</v>
      </c>
      <c r="AU412" s="25">
        <v>2.34</v>
      </c>
      <c r="AV412" s="25">
        <v>2.7957603686635939</v>
      </c>
      <c r="AW412">
        <v>2.7957603686635939</v>
      </c>
      <c r="AX412">
        <v>6.4177735234906308</v>
      </c>
      <c r="AY412" s="75">
        <v>0.41874886813759421</v>
      </c>
      <c r="AZ412" s="75"/>
      <c r="BA412" s="75"/>
      <c r="BB412">
        <v>4.3945051178950742E-2</v>
      </c>
      <c r="BF412">
        <v>8.789010235790147E-2</v>
      </c>
      <c r="BG412">
        <v>4.3945051178950742E-2</v>
      </c>
      <c r="BH412">
        <v>0.41874886813759421</v>
      </c>
      <c r="BI412" s="79" t="s">
        <v>1264</v>
      </c>
      <c r="BJ412" s="79">
        <v>1423</v>
      </c>
      <c r="BK412" s="79">
        <v>24</v>
      </c>
      <c r="BM412" s="79" t="s">
        <v>464</v>
      </c>
      <c r="BN412" s="79" t="s">
        <v>863</v>
      </c>
      <c r="BO412" s="79">
        <v>1.61</v>
      </c>
      <c r="BP412" s="79">
        <v>7.84</v>
      </c>
      <c r="BQ412" s="79">
        <v>2</v>
      </c>
      <c r="BR412" s="79">
        <v>10</v>
      </c>
      <c r="BS412" s="79" t="s">
        <v>464</v>
      </c>
      <c r="BT412" s="79" t="s">
        <v>464</v>
      </c>
      <c r="BU412" s="79" t="s">
        <v>1266</v>
      </c>
      <c r="BV412" s="79">
        <v>100</v>
      </c>
      <c r="BW412" s="79">
        <v>290</v>
      </c>
      <c r="BX412" s="79" t="s">
        <v>1311</v>
      </c>
      <c r="BY412" s="79">
        <v>333</v>
      </c>
      <c r="BZ412" s="81">
        <v>2008.9285714285716</v>
      </c>
      <c r="CA412">
        <f t="shared" si="65"/>
        <v>7.6053568098914628</v>
      </c>
    </row>
    <row r="413" spans="1:79" x14ac:dyDescent="0.3">
      <c r="A413" s="2" t="s">
        <v>107</v>
      </c>
      <c r="B413" s="13" t="s">
        <v>727</v>
      </c>
      <c r="C413" s="13"/>
      <c r="D413" s="2">
        <v>3.08</v>
      </c>
      <c r="E413" s="2" t="s">
        <v>214</v>
      </c>
      <c r="F413" s="9" t="s">
        <v>555</v>
      </c>
      <c r="G413" t="s">
        <v>632</v>
      </c>
      <c r="I413" s="2"/>
      <c r="J413" s="25">
        <v>1</v>
      </c>
      <c r="K413">
        <v>4</v>
      </c>
      <c r="L413">
        <v>0</v>
      </c>
      <c r="M413" s="2"/>
      <c r="N413" s="2"/>
      <c r="O413" s="2"/>
      <c r="P413" s="2"/>
      <c r="Q413" s="2"/>
      <c r="R413" s="25">
        <v>3.86469438</v>
      </c>
      <c r="S413" s="25">
        <v>3.86469438</v>
      </c>
      <c r="T413" s="25">
        <v>16.978874730000001</v>
      </c>
      <c r="U413">
        <v>32.83</v>
      </c>
      <c r="V413">
        <v>5.4109999999999996</v>
      </c>
      <c r="W413">
        <v>5.4480000000000004</v>
      </c>
      <c r="X413">
        <v>0</v>
      </c>
      <c r="AA413" s="2"/>
      <c r="AB413">
        <v>24</v>
      </c>
      <c r="AC413" s="55">
        <f t="shared" ref="AC413:AC416" si="76">M413*N413*O413</f>
        <v>0</v>
      </c>
      <c r="AD413" s="57">
        <v>251.01098912285789</v>
      </c>
      <c r="AE413" s="55">
        <v>967.79977224000004</v>
      </c>
      <c r="AF413" s="55">
        <v>0</v>
      </c>
      <c r="AG413" s="52"/>
      <c r="AH413" s="51">
        <v>9.5613343797681868E-2</v>
      </c>
      <c r="AI413" s="52">
        <v>9.919407170122109E-2</v>
      </c>
      <c r="AJ413" s="52"/>
      <c r="AK413" s="28">
        <v>2</v>
      </c>
      <c r="AL413" s="28">
        <v>3.1578947368421049</v>
      </c>
      <c r="AM413" s="28">
        <v>2.4210526315789469</v>
      </c>
      <c r="AN413" s="28">
        <v>2.947368421052631</v>
      </c>
      <c r="AO413" s="28">
        <v>0.19</v>
      </c>
      <c r="AP413" s="28">
        <v>0.3</v>
      </c>
      <c r="AQ413" s="28">
        <v>0.23</v>
      </c>
      <c r="AR413" s="28">
        <v>0.28000000000000003</v>
      </c>
      <c r="AS413" s="25">
        <v>1.54</v>
      </c>
      <c r="AT413" s="25">
        <v>3.44</v>
      </c>
      <c r="AU413" s="25">
        <v>1.9</v>
      </c>
      <c r="AV413" s="25">
        <v>2.8410526315789468</v>
      </c>
      <c r="AW413">
        <v>2.8410526315789468</v>
      </c>
      <c r="AX413">
        <v>6.1729587136842099</v>
      </c>
      <c r="AY413" s="75">
        <v>0.52818907539878324</v>
      </c>
      <c r="AZ413" s="75">
        <v>0.54796980145127927</v>
      </c>
      <c r="BA413" s="75"/>
      <c r="BC413">
        <v>4.7806671898840941E-2</v>
      </c>
      <c r="BD413">
        <v>4.9597035850610538E-2</v>
      </c>
      <c r="BF413">
        <v>9.7403707749451479E-2</v>
      </c>
      <c r="BG413">
        <v>4.870185387472574E-2</v>
      </c>
      <c r="BH413">
        <v>0.53807943842503125</v>
      </c>
      <c r="BI413" s="79" t="s">
        <v>1337</v>
      </c>
      <c r="BJ413" s="79">
        <f t="shared" ref="BJ413:BJ424" si="77">750+273</f>
        <v>1023</v>
      </c>
      <c r="BK413" s="79">
        <v>3</v>
      </c>
      <c r="BM413" s="79" t="s">
        <v>464</v>
      </c>
      <c r="BN413" s="79" t="s">
        <v>464</v>
      </c>
      <c r="BO413" s="79">
        <v>0</v>
      </c>
      <c r="BQ413" s="79">
        <v>0.23799999999999999</v>
      </c>
      <c r="BR413" s="79">
        <v>4.76</v>
      </c>
      <c r="BS413" s="79" t="s">
        <v>464</v>
      </c>
      <c r="BT413" s="79" t="s">
        <v>464</v>
      </c>
      <c r="BU413" s="79" t="s">
        <v>1271</v>
      </c>
      <c r="BV413" s="79">
        <v>350</v>
      </c>
      <c r="BW413" s="79">
        <v>400</v>
      </c>
      <c r="BX413" s="79" t="s">
        <v>1311</v>
      </c>
      <c r="BZ413" s="81">
        <v>35</v>
      </c>
      <c r="CA413">
        <f t="shared" si="65"/>
        <v>3.5553480614894135</v>
      </c>
    </row>
    <row r="414" spans="1:79" x14ac:dyDescent="0.3">
      <c r="A414" s="2" t="s">
        <v>1363</v>
      </c>
      <c r="B414" s="13"/>
      <c r="C414" s="13"/>
      <c r="D414" s="2">
        <v>3.08</v>
      </c>
      <c r="E414" s="2" t="s">
        <v>214</v>
      </c>
      <c r="F414" s="9" t="s">
        <v>555</v>
      </c>
      <c r="G414" t="s">
        <v>632</v>
      </c>
      <c r="I414" s="2"/>
      <c r="J414" s="25">
        <v>1</v>
      </c>
      <c r="K414">
        <v>4</v>
      </c>
      <c r="L414">
        <v>0</v>
      </c>
      <c r="M414" s="2"/>
      <c r="N414" s="2"/>
      <c r="O414" s="2"/>
      <c r="P414" s="2"/>
      <c r="Q414" s="2"/>
      <c r="R414" s="25">
        <v>3.86469438</v>
      </c>
      <c r="S414" s="25">
        <v>3.86469438</v>
      </c>
      <c r="T414" s="25">
        <v>16.978874730000001</v>
      </c>
      <c r="U414">
        <v>32.83</v>
      </c>
      <c r="V414">
        <v>5.4109999999999996</v>
      </c>
      <c r="W414">
        <v>5.4480000000000004</v>
      </c>
      <c r="X414">
        <v>0</v>
      </c>
      <c r="AA414" s="2"/>
      <c r="AB414">
        <v>24</v>
      </c>
      <c r="AC414" s="55">
        <f t="shared" si="76"/>
        <v>0</v>
      </c>
      <c r="AD414" s="57">
        <v>251.01098912285789</v>
      </c>
      <c r="AE414" s="55">
        <v>967.79977224000004</v>
      </c>
      <c r="AF414" s="55">
        <v>0</v>
      </c>
      <c r="AG414" s="52"/>
      <c r="AH414" s="51">
        <v>9.5613343797681868E-2</v>
      </c>
      <c r="AI414" s="52">
        <v>9.919407170122109E-2</v>
      </c>
      <c r="AJ414" s="52"/>
      <c r="AK414" s="28">
        <v>2</v>
      </c>
      <c r="AL414" s="28">
        <v>3.1578947368421049</v>
      </c>
      <c r="AM414" s="28">
        <v>2.4210526315789469</v>
      </c>
      <c r="AN414" s="28">
        <v>2.947368421052631</v>
      </c>
      <c r="AO414" s="28">
        <v>0.19</v>
      </c>
      <c r="AP414" s="28">
        <v>0.3</v>
      </c>
      <c r="AQ414" s="28">
        <v>0.23</v>
      </c>
      <c r="AR414" s="28">
        <v>0.28000000000000003</v>
      </c>
      <c r="AS414" s="25">
        <v>1.54</v>
      </c>
      <c r="AT414" s="25">
        <v>3.44</v>
      </c>
      <c r="AU414" s="25">
        <v>1.9</v>
      </c>
      <c r="AV414" s="25">
        <v>2.8410526315789468</v>
      </c>
      <c r="AW414">
        <v>2.8410526315789468</v>
      </c>
      <c r="AX414">
        <v>6.1729587136842099</v>
      </c>
      <c r="AY414" s="75">
        <v>0.52818907539878324</v>
      </c>
      <c r="AZ414" s="75">
        <v>0.54796980145127927</v>
      </c>
      <c r="BA414" s="75"/>
      <c r="BC414">
        <v>4.7806671898840941E-2</v>
      </c>
      <c r="BD414">
        <v>4.9597035850610538E-2</v>
      </c>
      <c r="BF414">
        <v>9.7403707749451479E-2</v>
      </c>
      <c r="BG414">
        <v>4.870185387472574E-2</v>
      </c>
      <c r="BH414">
        <v>0.53807943842503125</v>
      </c>
      <c r="BI414" s="79" t="s">
        <v>1337</v>
      </c>
      <c r="BJ414" s="79">
        <f t="shared" si="77"/>
        <v>1023</v>
      </c>
      <c r="BK414" s="79">
        <v>3</v>
      </c>
      <c r="BM414" s="79" t="s">
        <v>464</v>
      </c>
      <c r="BN414" s="79" t="s">
        <v>464</v>
      </c>
      <c r="BO414" s="79">
        <v>0</v>
      </c>
      <c r="BQ414" s="79">
        <v>0.23799999999999999</v>
      </c>
      <c r="BR414" s="79">
        <v>4.76</v>
      </c>
      <c r="BS414" s="79" t="s">
        <v>464</v>
      </c>
      <c r="BT414" s="79" t="s">
        <v>464</v>
      </c>
      <c r="BU414" s="79" t="s">
        <v>1271</v>
      </c>
      <c r="BV414" s="79">
        <v>350</v>
      </c>
      <c r="BW414" s="79">
        <v>400</v>
      </c>
      <c r="BX414" s="79" t="s">
        <v>1311</v>
      </c>
      <c r="BZ414" s="81">
        <v>48</v>
      </c>
      <c r="CA414">
        <f t="shared" si="65"/>
        <v>3.8712010109078911</v>
      </c>
    </row>
    <row r="415" spans="1:79" x14ac:dyDescent="0.3">
      <c r="A415" s="2" t="s">
        <v>1364</v>
      </c>
      <c r="B415" s="13"/>
      <c r="C415" s="13"/>
      <c r="D415" s="2">
        <v>3.08</v>
      </c>
      <c r="E415" s="2" t="s">
        <v>214</v>
      </c>
      <c r="F415" s="9" t="s">
        <v>555</v>
      </c>
      <c r="G415" t="s">
        <v>632</v>
      </c>
      <c r="I415" s="2"/>
      <c r="J415" s="25">
        <v>1</v>
      </c>
      <c r="K415">
        <v>4</v>
      </c>
      <c r="L415">
        <v>0</v>
      </c>
      <c r="M415" s="2"/>
      <c r="N415" s="2"/>
      <c r="O415" s="2"/>
      <c r="P415" s="2"/>
      <c r="Q415" s="2"/>
      <c r="R415" s="25">
        <v>3.86469438</v>
      </c>
      <c r="S415" s="25">
        <v>3.86469438</v>
      </c>
      <c r="T415" s="25">
        <v>16.978874730000001</v>
      </c>
      <c r="U415">
        <v>32.83</v>
      </c>
      <c r="V415">
        <v>5.4109999999999996</v>
      </c>
      <c r="W415">
        <v>5.4480000000000004</v>
      </c>
      <c r="X415">
        <v>0</v>
      </c>
      <c r="AA415" s="2"/>
      <c r="AB415">
        <v>24</v>
      </c>
      <c r="AC415" s="55">
        <f t="shared" si="76"/>
        <v>0</v>
      </c>
      <c r="AD415" s="57">
        <v>251.01098912285789</v>
      </c>
      <c r="AE415" s="55">
        <v>967.79977224000004</v>
      </c>
      <c r="AF415" s="55">
        <v>0</v>
      </c>
      <c r="AG415" s="52"/>
      <c r="AH415" s="51">
        <v>9.5613343797681868E-2</v>
      </c>
      <c r="AI415" s="52">
        <v>9.919407170122109E-2</v>
      </c>
      <c r="AJ415" s="52"/>
      <c r="AK415" s="28">
        <v>2</v>
      </c>
      <c r="AL415" s="28">
        <v>3.1578947368421049</v>
      </c>
      <c r="AM415" s="28">
        <v>2.4210526315789469</v>
      </c>
      <c r="AN415" s="28">
        <v>2.947368421052631</v>
      </c>
      <c r="AO415" s="28">
        <v>0.19</v>
      </c>
      <c r="AP415" s="28">
        <v>0.3</v>
      </c>
      <c r="AQ415" s="28">
        <v>0.23</v>
      </c>
      <c r="AR415" s="28">
        <v>0.28000000000000003</v>
      </c>
      <c r="AS415" s="25">
        <v>1.54</v>
      </c>
      <c r="AT415" s="25">
        <v>3.44</v>
      </c>
      <c r="AU415" s="25">
        <v>1.9</v>
      </c>
      <c r="AV415" s="25">
        <v>2.8410526315789468</v>
      </c>
      <c r="AW415">
        <v>2.8410526315789468</v>
      </c>
      <c r="AX415">
        <v>6.1729587136842099</v>
      </c>
      <c r="AY415" s="75">
        <v>0.52818907539878324</v>
      </c>
      <c r="AZ415" s="75">
        <v>0.54796980145127927</v>
      </c>
      <c r="BA415" s="75"/>
      <c r="BC415">
        <v>4.7806671898840941E-2</v>
      </c>
      <c r="BD415">
        <v>4.9597035850610538E-2</v>
      </c>
      <c r="BF415">
        <v>9.7403707749451479E-2</v>
      </c>
      <c r="BG415">
        <v>4.870185387472574E-2</v>
      </c>
      <c r="BH415">
        <v>0.53807943842503125</v>
      </c>
      <c r="BI415" s="79" t="s">
        <v>1337</v>
      </c>
      <c r="BJ415" s="79">
        <f t="shared" si="77"/>
        <v>1023</v>
      </c>
      <c r="BK415" s="79">
        <v>3</v>
      </c>
      <c r="BM415" s="79" t="s">
        <v>464</v>
      </c>
      <c r="BN415" s="79" t="s">
        <v>464</v>
      </c>
      <c r="BO415" s="79">
        <v>0</v>
      </c>
      <c r="BQ415" s="79">
        <v>0.23799999999999999</v>
      </c>
      <c r="BR415" s="79">
        <v>4.76</v>
      </c>
      <c r="BS415" s="79" t="s">
        <v>464</v>
      </c>
      <c r="BT415" s="79" t="s">
        <v>464</v>
      </c>
      <c r="BU415" s="79" t="s">
        <v>1271</v>
      </c>
      <c r="BV415" s="79">
        <v>350</v>
      </c>
      <c r="BW415" s="79">
        <v>400</v>
      </c>
      <c r="BX415" s="79" t="s">
        <v>1311</v>
      </c>
      <c r="BZ415" s="81">
        <v>48</v>
      </c>
      <c r="CA415">
        <f t="shared" si="65"/>
        <v>3.8712010109078911</v>
      </c>
    </row>
    <row r="416" spans="1:79" x14ac:dyDescent="0.3">
      <c r="A416" s="2" t="s">
        <v>1365</v>
      </c>
      <c r="B416" s="13"/>
      <c r="C416" s="13"/>
      <c r="D416" s="2">
        <v>3.08</v>
      </c>
      <c r="E416" s="2" t="s">
        <v>214</v>
      </c>
      <c r="F416" s="9" t="s">
        <v>555</v>
      </c>
      <c r="G416" t="s">
        <v>632</v>
      </c>
      <c r="I416" s="2"/>
      <c r="J416" s="25">
        <v>1</v>
      </c>
      <c r="K416">
        <v>4</v>
      </c>
      <c r="L416">
        <v>0</v>
      </c>
      <c r="M416" s="2"/>
      <c r="N416" s="2"/>
      <c r="O416" s="2"/>
      <c r="P416" s="2"/>
      <c r="Q416" s="2"/>
      <c r="R416" s="25">
        <v>3.86469438</v>
      </c>
      <c r="S416" s="25">
        <v>3.86469438</v>
      </c>
      <c r="T416" s="25">
        <v>16.978874730000001</v>
      </c>
      <c r="U416">
        <v>32.83</v>
      </c>
      <c r="V416">
        <v>5.4109999999999996</v>
      </c>
      <c r="W416">
        <v>5.4480000000000004</v>
      </c>
      <c r="X416">
        <v>0</v>
      </c>
      <c r="AA416" s="2"/>
      <c r="AB416">
        <v>24</v>
      </c>
      <c r="AC416" s="55">
        <f t="shared" si="76"/>
        <v>0</v>
      </c>
      <c r="AD416" s="57">
        <v>251.01098912285789</v>
      </c>
      <c r="AE416" s="55">
        <v>967.79977224000004</v>
      </c>
      <c r="AF416" s="55">
        <v>0</v>
      </c>
      <c r="AG416" s="52"/>
      <c r="AH416" s="51">
        <v>9.5613343797681868E-2</v>
      </c>
      <c r="AI416" s="52">
        <v>9.919407170122109E-2</v>
      </c>
      <c r="AJ416" s="52"/>
      <c r="AK416" s="28">
        <v>2</v>
      </c>
      <c r="AL416" s="28">
        <v>3.1578947368421049</v>
      </c>
      <c r="AM416" s="28">
        <v>2.4210526315789469</v>
      </c>
      <c r="AN416" s="28">
        <v>2.947368421052631</v>
      </c>
      <c r="AO416" s="28">
        <v>0.19</v>
      </c>
      <c r="AP416" s="28">
        <v>0.3</v>
      </c>
      <c r="AQ416" s="28">
        <v>0.23</v>
      </c>
      <c r="AR416" s="28">
        <v>0.28000000000000003</v>
      </c>
      <c r="AS416" s="25">
        <v>1.54</v>
      </c>
      <c r="AT416" s="25">
        <v>3.44</v>
      </c>
      <c r="AU416" s="25">
        <v>1.9</v>
      </c>
      <c r="AV416" s="25">
        <v>2.8410526315789468</v>
      </c>
      <c r="AW416">
        <v>2.8410526315789468</v>
      </c>
      <c r="AX416">
        <v>6.1729587136842099</v>
      </c>
      <c r="AY416" s="75">
        <v>0.52818907539878324</v>
      </c>
      <c r="AZ416" s="75">
        <v>0.54796980145127927</v>
      </c>
      <c r="BA416" s="75"/>
      <c r="BC416">
        <v>4.7806671898840941E-2</v>
      </c>
      <c r="BD416">
        <v>4.9597035850610538E-2</v>
      </c>
      <c r="BF416">
        <v>9.7403707749451479E-2</v>
      </c>
      <c r="BG416">
        <v>4.870185387472574E-2</v>
      </c>
      <c r="BH416">
        <v>0.53807943842503125</v>
      </c>
      <c r="BI416" s="79" t="s">
        <v>1337</v>
      </c>
      <c r="BJ416" s="79">
        <f t="shared" si="77"/>
        <v>1023</v>
      </c>
      <c r="BK416" s="79">
        <v>3</v>
      </c>
      <c r="BM416" s="79" t="s">
        <v>464</v>
      </c>
      <c r="BN416" s="79" t="s">
        <v>464</v>
      </c>
      <c r="BO416" s="79">
        <v>0</v>
      </c>
      <c r="BQ416" s="79">
        <v>0.23799999999999999</v>
      </c>
      <c r="BR416" s="79">
        <v>4.76</v>
      </c>
      <c r="BS416" s="79" t="s">
        <v>464</v>
      </c>
      <c r="BT416" s="79" t="s">
        <v>464</v>
      </c>
      <c r="BU416" s="79" t="s">
        <v>1271</v>
      </c>
      <c r="BV416" s="79">
        <v>350</v>
      </c>
      <c r="BW416" s="79">
        <v>400</v>
      </c>
      <c r="BX416" s="79" t="s">
        <v>1311</v>
      </c>
      <c r="BZ416" s="81">
        <v>51</v>
      </c>
      <c r="CA416">
        <f t="shared" si="65"/>
        <v>3.9318256327243257</v>
      </c>
    </row>
    <row r="417" spans="1:79" x14ac:dyDescent="0.3">
      <c r="A417" s="2" t="s">
        <v>1366</v>
      </c>
      <c r="B417" s="13"/>
      <c r="C417" s="13"/>
      <c r="D417" s="2">
        <v>3.08</v>
      </c>
      <c r="E417" s="2" t="s">
        <v>214</v>
      </c>
      <c r="F417" s="9" t="s">
        <v>555</v>
      </c>
      <c r="G417" t="s">
        <v>632</v>
      </c>
      <c r="I417" s="2"/>
      <c r="J417" s="25">
        <v>1</v>
      </c>
      <c r="K417">
        <v>4</v>
      </c>
      <c r="L417">
        <v>0</v>
      </c>
      <c r="M417" s="2"/>
      <c r="N417" s="2"/>
      <c r="O417" s="2"/>
      <c r="P417" s="2"/>
      <c r="Q417" s="2"/>
      <c r="R417" s="25">
        <v>3.86469438</v>
      </c>
      <c r="S417" s="25">
        <v>3.86469438</v>
      </c>
      <c r="T417" s="25">
        <v>16.978874730000001</v>
      </c>
      <c r="U417">
        <v>32.83</v>
      </c>
      <c r="V417">
        <v>5.4109999999999996</v>
      </c>
      <c r="W417">
        <v>5.4480000000000004</v>
      </c>
      <c r="X417">
        <v>0</v>
      </c>
      <c r="AA417" s="2"/>
      <c r="AB417">
        <v>24</v>
      </c>
      <c r="AC417" s="55">
        <f t="shared" si="70"/>
        <v>0</v>
      </c>
      <c r="AD417" s="57">
        <v>251.01098912285789</v>
      </c>
      <c r="AE417" s="55">
        <v>967.79977224000004</v>
      </c>
      <c r="AF417" s="55">
        <v>0</v>
      </c>
      <c r="AG417" s="52"/>
      <c r="AH417" s="51">
        <v>9.5613343797681868E-2</v>
      </c>
      <c r="AI417" s="52">
        <v>9.919407170122109E-2</v>
      </c>
      <c r="AJ417" s="52"/>
      <c r="AK417" s="28">
        <v>2</v>
      </c>
      <c r="AL417" s="28">
        <v>3.1578947368421049</v>
      </c>
      <c r="AM417" s="28">
        <v>2.4210526315789469</v>
      </c>
      <c r="AN417" s="28">
        <v>2.947368421052631</v>
      </c>
      <c r="AO417" s="28">
        <v>0.19</v>
      </c>
      <c r="AP417" s="28">
        <v>0.3</v>
      </c>
      <c r="AQ417" s="28">
        <v>0.23</v>
      </c>
      <c r="AR417" s="28">
        <v>0.28000000000000003</v>
      </c>
      <c r="AS417" s="25">
        <v>1.54</v>
      </c>
      <c r="AT417" s="25">
        <v>3.44</v>
      </c>
      <c r="AU417" s="25">
        <v>1.9</v>
      </c>
      <c r="AV417" s="25">
        <v>2.8410526315789468</v>
      </c>
      <c r="AW417">
        <v>2.8410526315789468</v>
      </c>
      <c r="AX417">
        <v>6.1729587136842099</v>
      </c>
      <c r="AY417" s="75">
        <v>0.52818907539878324</v>
      </c>
      <c r="AZ417" s="75">
        <v>0.54796980145127927</v>
      </c>
      <c r="BA417" s="75"/>
      <c r="BC417">
        <v>4.7806671898840941E-2</v>
      </c>
      <c r="BD417">
        <v>4.9597035850610538E-2</v>
      </c>
      <c r="BF417">
        <v>9.7403707749451479E-2</v>
      </c>
      <c r="BG417">
        <v>4.870185387472574E-2</v>
      </c>
      <c r="BH417">
        <v>0.53807943842503125</v>
      </c>
      <c r="BI417" s="79" t="s">
        <v>1337</v>
      </c>
      <c r="BJ417" s="79">
        <f t="shared" si="77"/>
        <v>1023</v>
      </c>
      <c r="BK417" s="79">
        <v>3</v>
      </c>
      <c r="BM417" s="79" t="s">
        <v>464</v>
      </c>
      <c r="BN417" s="79" t="s">
        <v>464</v>
      </c>
      <c r="BO417" s="79">
        <v>0</v>
      </c>
      <c r="BQ417" s="79">
        <v>0.23799999999999999</v>
      </c>
      <c r="BR417" s="79">
        <v>4.76</v>
      </c>
      <c r="BS417" s="79" t="s">
        <v>464</v>
      </c>
      <c r="BT417" s="79" t="s">
        <v>464</v>
      </c>
      <c r="BU417" s="79" t="s">
        <v>1271</v>
      </c>
      <c r="BV417" s="79">
        <v>350</v>
      </c>
      <c r="BW417" s="79">
        <v>400</v>
      </c>
      <c r="BX417" s="79" t="s">
        <v>1311</v>
      </c>
      <c r="BZ417" s="81">
        <v>58</v>
      </c>
      <c r="CA417">
        <f t="shared" si="65"/>
        <v>4.0604430105464191</v>
      </c>
    </row>
    <row r="418" spans="1:79" x14ac:dyDescent="0.3">
      <c r="A418" s="2" t="s">
        <v>1367</v>
      </c>
      <c r="B418" s="13"/>
      <c r="C418" s="13"/>
      <c r="D418" s="2">
        <v>3.08</v>
      </c>
      <c r="E418" s="2" t="s">
        <v>214</v>
      </c>
      <c r="F418" s="9" t="s">
        <v>555</v>
      </c>
      <c r="G418" t="s">
        <v>632</v>
      </c>
      <c r="I418" s="2"/>
      <c r="J418" s="25">
        <v>1</v>
      </c>
      <c r="K418">
        <v>4</v>
      </c>
      <c r="L418">
        <v>0</v>
      </c>
      <c r="M418" s="2"/>
      <c r="N418" s="2"/>
      <c r="O418" s="2"/>
      <c r="P418" s="2"/>
      <c r="Q418" s="2"/>
      <c r="R418" s="25">
        <v>3.86469438</v>
      </c>
      <c r="S418" s="25">
        <v>3.86469438</v>
      </c>
      <c r="T418" s="25">
        <v>16.978874730000001</v>
      </c>
      <c r="U418">
        <v>32.83</v>
      </c>
      <c r="V418">
        <v>5.4109999999999996</v>
      </c>
      <c r="W418">
        <v>5.4480000000000004</v>
      </c>
      <c r="X418">
        <v>0</v>
      </c>
      <c r="AA418" s="2"/>
      <c r="AB418">
        <v>24</v>
      </c>
      <c r="AC418" s="55">
        <f t="shared" ref="AC418:AC419" si="78">M418*N418*O418</f>
        <v>0</v>
      </c>
      <c r="AD418" s="57">
        <v>251.01098912285789</v>
      </c>
      <c r="AE418" s="55">
        <v>967.79977224000004</v>
      </c>
      <c r="AF418" s="55">
        <v>0</v>
      </c>
      <c r="AG418" s="52"/>
      <c r="AH418" s="51">
        <v>9.5613343797681868E-2</v>
      </c>
      <c r="AI418" s="52">
        <v>9.919407170122109E-2</v>
      </c>
      <c r="AJ418" s="52"/>
      <c r="AK418" s="28">
        <v>2</v>
      </c>
      <c r="AL418" s="28">
        <v>3.1578947368421049</v>
      </c>
      <c r="AM418" s="28">
        <v>2.4210526315789469</v>
      </c>
      <c r="AN418" s="28">
        <v>2.947368421052631</v>
      </c>
      <c r="AO418" s="28">
        <v>0.19</v>
      </c>
      <c r="AP418" s="28">
        <v>0.3</v>
      </c>
      <c r="AQ418" s="28">
        <v>0.23</v>
      </c>
      <c r="AR418" s="28">
        <v>0.28000000000000003</v>
      </c>
      <c r="AS418" s="25">
        <v>1.54</v>
      </c>
      <c r="AT418" s="25">
        <v>3.44</v>
      </c>
      <c r="AU418" s="25">
        <v>1.9</v>
      </c>
      <c r="AV418" s="25">
        <v>2.8410526315789468</v>
      </c>
      <c r="AW418">
        <v>2.8410526315789468</v>
      </c>
      <c r="AX418">
        <v>6.1729587136842099</v>
      </c>
      <c r="AY418" s="75">
        <v>0.52818907539878324</v>
      </c>
      <c r="AZ418" s="75">
        <v>0.54796980145127927</v>
      </c>
      <c r="BA418" s="75"/>
      <c r="BC418">
        <v>4.7806671898840941E-2</v>
      </c>
      <c r="BD418">
        <v>4.9597035850610538E-2</v>
      </c>
      <c r="BF418">
        <v>9.7403707749451479E-2</v>
      </c>
      <c r="BG418">
        <v>4.870185387472574E-2</v>
      </c>
      <c r="BH418">
        <v>0.53807943842503125</v>
      </c>
      <c r="BI418" s="79" t="s">
        <v>1337</v>
      </c>
      <c r="BJ418" s="79">
        <f t="shared" si="77"/>
        <v>1023</v>
      </c>
      <c r="BK418" s="79">
        <v>3</v>
      </c>
      <c r="BM418" s="79" t="s">
        <v>464</v>
      </c>
      <c r="BN418" s="79" t="s">
        <v>464</v>
      </c>
      <c r="BO418" s="79">
        <v>0</v>
      </c>
      <c r="BQ418" s="79">
        <v>0.23799999999999999</v>
      </c>
      <c r="BR418" s="79">
        <v>4.76</v>
      </c>
      <c r="BS418" s="79" t="s">
        <v>464</v>
      </c>
      <c r="BT418" s="79" t="s">
        <v>464</v>
      </c>
      <c r="BU418" s="79" t="s">
        <v>1271</v>
      </c>
      <c r="BV418" s="79">
        <v>350</v>
      </c>
      <c r="BW418" s="79">
        <v>400</v>
      </c>
      <c r="BX418" s="79" t="s">
        <v>1311</v>
      </c>
      <c r="BZ418" s="81">
        <v>52</v>
      </c>
      <c r="CA418">
        <f t="shared" si="65"/>
        <v>3.9512437185814275</v>
      </c>
    </row>
    <row r="419" spans="1:79" x14ac:dyDescent="0.3">
      <c r="A419" s="2" t="s">
        <v>1366</v>
      </c>
      <c r="B419" s="13"/>
      <c r="C419" s="13"/>
      <c r="D419" s="2">
        <v>3.08</v>
      </c>
      <c r="E419" s="2" t="s">
        <v>214</v>
      </c>
      <c r="F419" s="9" t="s">
        <v>555</v>
      </c>
      <c r="G419" t="s">
        <v>632</v>
      </c>
      <c r="I419" s="2"/>
      <c r="J419" s="25">
        <v>1</v>
      </c>
      <c r="K419">
        <v>4</v>
      </c>
      <c r="L419">
        <v>0</v>
      </c>
      <c r="M419" s="2"/>
      <c r="N419" s="2"/>
      <c r="O419" s="2"/>
      <c r="P419" s="2"/>
      <c r="Q419" s="2"/>
      <c r="R419" s="25">
        <v>3.86469438</v>
      </c>
      <c r="S419" s="25">
        <v>3.86469438</v>
      </c>
      <c r="T419" s="25">
        <v>16.978874730000001</v>
      </c>
      <c r="U419">
        <v>32.83</v>
      </c>
      <c r="V419">
        <v>5.4109999999999996</v>
      </c>
      <c r="W419">
        <v>5.4480000000000004</v>
      </c>
      <c r="X419">
        <v>0</v>
      </c>
      <c r="AA419" s="2"/>
      <c r="AB419">
        <v>24</v>
      </c>
      <c r="AC419" s="55">
        <f t="shared" si="78"/>
        <v>0</v>
      </c>
      <c r="AD419" s="57">
        <v>251.01098912285789</v>
      </c>
      <c r="AE419" s="55">
        <v>967.79977224000004</v>
      </c>
      <c r="AF419" s="55">
        <v>0</v>
      </c>
      <c r="AG419" s="52"/>
      <c r="AH419" s="51">
        <v>9.5613343797681868E-2</v>
      </c>
      <c r="AI419" s="52">
        <v>9.919407170122109E-2</v>
      </c>
      <c r="AJ419" s="52"/>
      <c r="AK419" s="28">
        <v>2</v>
      </c>
      <c r="AL419" s="28">
        <v>3.1578947368421049</v>
      </c>
      <c r="AM419" s="28">
        <v>2.4210526315789469</v>
      </c>
      <c r="AN419" s="28">
        <v>2.947368421052631</v>
      </c>
      <c r="AO419" s="28">
        <v>0.19</v>
      </c>
      <c r="AP419" s="28">
        <v>0.3</v>
      </c>
      <c r="AQ419" s="28">
        <v>0.23</v>
      </c>
      <c r="AR419" s="28">
        <v>0.28000000000000003</v>
      </c>
      <c r="AS419" s="25">
        <v>1.54</v>
      </c>
      <c r="AT419" s="25">
        <v>3.44</v>
      </c>
      <c r="AU419" s="25">
        <v>1.9</v>
      </c>
      <c r="AV419" s="25">
        <v>2.8410526315789468</v>
      </c>
      <c r="AW419">
        <v>2.8410526315789468</v>
      </c>
      <c r="AX419">
        <v>6.1729587136842099</v>
      </c>
      <c r="AY419" s="75">
        <v>0.52818907539878324</v>
      </c>
      <c r="AZ419" s="75">
        <v>0.54796980145127927</v>
      </c>
      <c r="BA419" s="75"/>
      <c r="BC419">
        <v>4.7806671898840941E-2</v>
      </c>
      <c r="BD419">
        <v>4.9597035850610538E-2</v>
      </c>
      <c r="BF419">
        <v>9.7403707749451479E-2</v>
      </c>
      <c r="BG419">
        <v>4.870185387472574E-2</v>
      </c>
      <c r="BH419">
        <v>0.53807943842503125</v>
      </c>
      <c r="BI419" s="79" t="s">
        <v>1337</v>
      </c>
      <c r="BJ419" s="79">
        <f t="shared" si="77"/>
        <v>1023</v>
      </c>
      <c r="BK419" s="79">
        <v>3</v>
      </c>
      <c r="BM419" s="79" t="s">
        <v>1275</v>
      </c>
      <c r="BN419" s="79" t="s">
        <v>56</v>
      </c>
      <c r="BO419" s="79">
        <v>0.05</v>
      </c>
      <c r="BQ419" s="79">
        <v>0.23799999999999999</v>
      </c>
      <c r="BR419" s="79">
        <v>4.76</v>
      </c>
      <c r="BS419" s="79" t="s">
        <v>464</v>
      </c>
      <c r="BT419" s="79" t="s">
        <v>464</v>
      </c>
      <c r="BU419" s="79" t="s">
        <v>1271</v>
      </c>
      <c r="BV419" s="79">
        <v>350</v>
      </c>
      <c r="BW419" s="79">
        <v>400</v>
      </c>
      <c r="BX419" s="79" t="s">
        <v>1311</v>
      </c>
      <c r="BZ419" s="81">
        <v>60.1</v>
      </c>
      <c r="CA419">
        <f t="shared" si="65"/>
        <v>4.0960098415411617</v>
      </c>
    </row>
    <row r="420" spans="1:79" x14ac:dyDescent="0.3">
      <c r="A420" s="2" t="s">
        <v>1366</v>
      </c>
      <c r="B420" s="13"/>
      <c r="C420" s="13"/>
      <c r="D420" s="2">
        <v>3.08</v>
      </c>
      <c r="E420" s="2" t="s">
        <v>214</v>
      </c>
      <c r="F420" s="9" t="s">
        <v>555</v>
      </c>
      <c r="G420" t="s">
        <v>632</v>
      </c>
      <c r="I420" s="2"/>
      <c r="J420" s="25">
        <v>1</v>
      </c>
      <c r="K420">
        <v>4</v>
      </c>
      <c r="L420">
        <v>0</v>
      </c>
      <c r="M420" s="2"/>
      <c r="N420" s="2"/>
      <c r="O420" s="2"/>
      <c r="P420" s="2"/>
      <c r="Q420" s="2"/>
      <c r="R420" s="25">
        <v>3.86469438</v>
      </c>
      <c r="S420" s="25">
        <v>3.86469438</v>
      </c>
      <c r="T420" s="25">
        <v>16.978874730000001</v>
      </c>
      <c r="U420">
        <v>32.83</v>
      </c>
      <c r="V420">
        <v>5.4109999999999996</v>
      </c>
      <c r="W420">
        <v>5.4480000000000004</v>
      </c>
      <c r="X420">
        <v>0</v>
      </c>
      <c r="AA420" s="2"/>
      <c r="AB420">
        <v>24</v>
      </c>
      <c r="AC420" s="55">
        <f t="shared" ref="AC420:AC421" si="79">M420*N420*O420</f>
        <v>0</v>
      </c>
      <c r="AD420" s="57">
        <v>251.01098912285789</v>
      </c>
      <c r="AE420" s="55">
        <v>967.79977224000004</v>
      </c>
      <c r="AF420" s="55">
        <v>0</v>
      </c>
      <c r="AG420" s="52"/>
      <c r="AH420" s="51">
        <v>9.5613343797681868E-2</v>
      </c>
      <c r="AI420" s="52">
        <v>9.919407170122109E-2</v>
      </c>
      <c r="AJ420" s="52"/>
      <c r="AK420" s="28">
        <v>2</v>
      </c>
      <c r="AL420" s="28">
        <v>3.1578947368421049</v>
      </c>
      <c r="AM420" s="28">
        <v>2.4210526315789469</v>
      </c>
      <c r="AN420" s="28">
        <v>2.947368421052631</v>
      </c>
      <c r="AO420" s="28">
        <v>0.19</v>
      </c>
      <c r="AP420" s="28">
        <v>0.3</v>
      </c>
      <c r="AQ420" s="28">
        <v>0.23</v>
      </c>
      <c r="AR420" s="28">
        <v>0.28000000000000003</v>
      </c>
      <c r="AS420" s="25">
        <v>1.54</v>
      </c>
      <c r="AT420" s="25">
        <v>3.44</v>
      </c>
      <c r="AU420" s="25">
        <v>1.9</v>
      </c>
      <c r="AV420" s="25">
        <v>2.8410526315789468</v>
      </c>
      <c r="AW420">
        <v>2.8410526315789468</v>
      </c>
      <c r="AX420">
        <v>6.1729587136842099</v>
      </c>
      <c r="AY420" s="75">
        <v>0.52818907539878324</v>
      </c>
      <c r="AZ420" s="75">
        <v>0.54796980145127927</v>
      </c>
      <c r="BA420" s="75"/>
      <c r="BC420">
        <v>4.7806671898840941E-2</v>
      </c>
      <c r="BD420">
        <v>4.9597035850610538E-2</v>
      </c>
      <c r="BF420">
        <v>9.7403707749451479E-2</v>
      </c>
      <c r="BG420">
        <v>4.870185387472574E-2</v>
      </c>
      <c r="BH420">
        <v>0.53807943842503125</v>
      </c>
      <c r="BI420" s="79" t="s">
        <v>1337</v>
      </c>
      <c r="BJ420" s="79">
        <f t="shared" si="77"/>
        <v>1023</v>
      </c>
      <c r="BK420" s="79">
        <v>3</v>
      </c>
      <c r="BM420" s="79" t="s">
        <v>1275</v>
      </c>
      <c r="BN420" s="79" t="s">
        <v>56</v>
      </c>
      <c r="BO420" s="79">
        <v>0.1</v>
      </c>
      <c r="BQ420" s="79">
        <v>0.23799999999999999</v>
      </c>
      <c r="BR420" s="79">
        <v>4.76</v>
      </c>
      <c r="BS420" s="79" t="s">
        <v>464</v>
      </c>
      <c r="BT420" s="79" t="s">
        <v>464</v>
      </c>
      <c r="BU420" s="79" t="s">
        <v>1271</v>
      </c>
      <c r="BV420" s="79">
        <v>350</v>
      </c>
      <c r="BW420" s="79">
        <v>400</v>
      </c>
      <c r="BX420" s="79" t="s">
        <v>1311</v>
      </c>
      <c r="BZ420" s="81">
        <v>61.3</v>
      </c>
      <c r="CA420">
        <f t="shared" si="65"/>
        <v>4.1157798429421657</v>
      </c>
    </row>
    <row r="421" spans="1:79" x14ac:dyDescent="0.3">
      <c r="A421" s="2" t="s">
        <v>1366</v>
      </c>
      <c r="B421" s="13"/>
      <c r="C421" s="13"/>
      <c r="D421" s="2">
        <v>3.08</v>
      </c>
      <c r="E421" s="2" t="s">
        <v>214</v>
      </c>
      <c r="F421" s="9" t="s">
        <v>555</v>
      </c>
      <c r="G421" t="s">
        <v>632</v>
      </c>
      <c r="I421" s="2"/>
      <c r="J421" s="25">
        <v>1</v>
      </c>
      <c r="K421">
        <v>4</v>
      </c>
      <c r="L421">
        <v>0</v>
      </c>
      <c r="M421" s="2"/>
      <c r="N421" s="2"/>
      <c r="O421" s="2"/>
      <c r="P421" s="2"/>
      <c r="Q421" s="2"/>
      <c r="R421" s="25">
        <v>3.86469438</v>
      </c>
      <c r="S421" s="25">
        <v>3.86469438</v>
      </c>
      <c r="T421" s="25">
        <v>16.978874730000001</v>
      </c>
      <c r="U421">
        <v>32.83</v>
      </c>
      <c r="V421">
        <v>5.4109999999999996</v>
      </c>
      <c r="W421">
        <v>5.4480000000000004</v>
      </c>
      <c r="X421">
        <v>0</v>
      </c>
      <c r="AA421" s="2"/>
      <c r="AB421">
        <v>24</v>
      </c>
      <c r="AC421" s="55">
        <f t="shared" si="79"/>
        <v>0</v>
      </c>
      <c r="AD421" s="57">
        <v>251.01098912285789</v>
      </c>
      <c r="AE421" s="55">
        <v>967.79977224000004</v>
      </c>
      <c r="AF421" s="55">
        <v>0</v>
      </c>
      <c r="AG421" s="52"/>
      <c r="AH421" s="51">
        <v>9.5613343797681868E-2</v>
      </c>
      <c r="AI421" s="52">
        <v>9.919407170122109E-2</v>
      </c>
      <c r="AJ421" s="52"/>
      <c r="AK421" s="28">
        <v>2</v>
      </c>
      <c r="AL421" s="28">
        <v>3.1578947368421049</v>
      </c>
      <c r="AM421" s="28">
        <v>2.4210526315789469</v>
      </c>
      <c r="AN421" s="28">
        <v>2.947368421052631</v>
      </c>
      <c r="AO421" s="28">
        <v>0.19</v>
      </c>
      <c r="AP421" s="28">
        <v>0.3</v>
      </c>
      <c r="AQ421" s="28">
        <v>0.23</v>
      </c>
      <c r="AR421" s="28">
        <v>0.28000000000000003</v>
      </c>
      <c r="AS421" s="25">
        <v>1.54</v>
      </c>
      <c r="AT421" s="25">
        <v>3.44</v>
      </c>
      <c r="AU421" s="25">
        <v>1.9</v>
      </c>
      <c r="AV421" s="25">
        <v>2.8410526315789468</v>
      </c>
      <c r="AW421">
        <v>2.8410526315789468</v>
      </c>
      <c r="AX421">
        <v>6.1729587136842099</v>
      </c>
      <c r="AY421" s="75">
        <v>0.52818907539878324</v>
      </c>
      <c r="AZ421" s="75">
        <v>0.54796980145127927</v>
      </c>
      <c r="BA421" s="75"/>
      <c r="BC421">
        <v>4.7806671898840941E-2</v>
      </c>
      <c r="BD421">
        <v>4.9597035850610538E-2</v>
      </c>
      <c r="BF421">
        <v>9.7403707749451479E-2</v>
      </c>
      <c r="BG421">
        <v>4.870185387472574E-2</v>
      </c>
      <c r="BH421">
        <v>0.53807943842503125</v>
      </c>
      <c r="BI421" s="79" t="s">
        <v>1337</v>
      </c>
      <c r="BJ421" s="79">
        <f t="shared" si="77"/>
        <v>1023</v>
      </c>
      <c r="BK421" s="79">
        <v>3</v>
      </c>
      <c r="BM421" s="79" t="s">
        <v>1275</v>
      </c>
      <c r="BN421" s="79" t="s">
        <v>56</v>
      </c>
      <c r="BO421" s="79">
        <v>0.15</v>
      </c>
      <c r="BQ421" s="79">
        <v>0.23799999999999999</v>
      </c>
      <c r="BR421" s="79">
        <v>4.76</v>
      </c>
      <c r="BS421" s="79" t="s">
        <v>464</v>
      </c>
      <c r="BT421" s="79" t="s">
        <v>464</v>
      </c>
      <c r="BU421" s="79" t="s">
        <v>1271</v>
      </c>
      <c r="BV421" s="79">
        <v>350</v>
      </c>
      <c r="BW421" s="79">
        <v>400</v>
      </c>
      <c r="BX421" s="79" t="s">
        <v>1311</v>
      </c>
      <c r="BZ421" s="81">
        <v>61.7</v>
      </c>
      <c r="CA421">
        <f t="shared" si="65"/>
        <v>4.1222839309113422</v>
      </c>
    </row>
    <row r="422" spans="1:79" x14ac:dyDescent="0.3">
      <c r="A422" s="2" t="s">
        <v>1366</v>
      </c>
      <c r="B422" s="13"/>
      <c r="C422" s="13"/>
      <c r="D422" s="2">
        <v>3.08</v>
      </c>
      <c r="E422" s="2" t="s">
        <v>214</v>
      </c>
      <c r="F422" s="9" t="s">
        <v>555</v>
      </c>
      <c r="G422" t="s">
        <v>632</v>
      </c>
      <c r="I422" s="2"/>
      <c r="J422" s="25">
        <v>1</v>
      </c>
      <c r="K422">
        <v>4</v>
      </c>
      <c r="L422">
        <v>0</v>
      </c>
      <c r="M422" s="2"/>
      <c r="N422" s="2"/>
      <c r="O422" s="2"/>
      <c r="P422" s="2"/>
      <c r="Q422" s="2"/>
      <c r="R422" s="25">
        <v>3.86469438</v>
      </c>
      <c r="S422" s="25">
        <v>3.86469438</v>
      </c>
      <c r="T422" s="25">
        <v>16.978874730000001</v>
      </c>
      <c r="U422">
        <v>32.83</v>
      </c>
      <c r="V422">
        <v>5.4109999999999996</v>
      </c>
      <c r="W422">
        <v>5.4480000000000004</v>
      </c>
      <c r="X422">
        <v>0</v>
      </c>
      <c r="AA422" s="2"/>
      <c r="AB422">
        <v>24</v>
      </c>
      <c r="AC422" s="55">
        <f t="shared" ref="AC422" si="80">M422*N422*O422</f>
        <v>0</v>
      </c>
      <c r="AD422" s="57">
        <v>251.01098912285789</v>
      </c>
      <c r="AE422" s="55">
        <v>967.79977224000004</v>
      </c>
      <c r="AF422" s="55">
        <v>0</v>
      </c>
      <c r="AG422" s="52"/>
      <c r="AH422" s="51">
        <v>9.5613343797681868E-2</v>
      </c>
      <c r="AI422" s="52">
        <v>9.919407170122109E-2</v>
      </c>
      <c r="AJ422" s="52"/>
      <c r="AK422" s="28">
        <v>2</v>
      </c>
      <c r="AL422" s="28">
        <v>3.1578947368421049</v>
      </c>
      <c r="AM422" s="28">
        <v>2.4210526315789469</v>
      </c>
      <c r="AN422" s="28">
        <v>2.947368421052631</v>
      </c>
      <c r="AO422" s="28">
        <v>0.19</v>
      </c>
      <c r="AP422" s="28">
        <v>0.3</v>
      </c>
      <c r="AQ422" s="28">
        <v>0.23</v>
      </c>
      <c r="AR422" s="28">
        <v>0.28000000000000003</v>
      </c>
      <c r="AS422" s="25">
        <v>1.54</v>
      </c>
      <c r="AT422" s="25">
        <v>3.44</v>
      </c>
      <c r="AU422" s="25">
        <v>1.9</v>
      </c>
      <c r="AV422" s="25">
        <v>2.8410526315789468</v>
      </c>
      <c r="AW422">
        <v>2.8410526315789468</v>
      </c>
      <c r="AX422">
        <v>6.1729587136842099</v>
      </c>
      <c r="AY422" s="75">
        <v>0.52818907539878324</v>
      </c>
      <c r="AZ422" s="75">
        <v>0.54796980145127927</v>
      </c>
      <c r="BA422" s="75"/>
      <c r="BC422">
        <v>4.7806671898840941E-2</v>
      </c>
      <c r="BD422">
        <v>4.9597035850610538E-2</v>
      </c>
      <c r="BF422">
        <v>9.7403707749451479E-2</v>
      </c>
      <c r="BG422">
        <v>4.870185387472574E-2</v>
      </c>
      <c r="BH422">
        <v>0.53807943842503125</v>
      </c>
      <c r="BI422" s="79" t="s">
        <v>1337</v>
      </c>
      <c r="BJ422" s="79">
        <f t="shared" si="77"/>
        <v>1023</v>
      </c>
      <c r="BK422" s="79">
        <v>3</v>
      </c>
      <c r="BM422" s="79" t="s">
        <v>1275</v>
      </c>
      <c r="BN422" s="79" t="s">
        <v>56</v>
      </c>
      <c r="BO422" s="79">
        <v>0.2</v>
      </c>
      <c r="BQ422" s="79">
        <v>0.23799999999999999</v>
      </c>
      <c r="BR422" s="79">
        <v>4.76</v>
      </c>
      <c r="BS422" s="79" t="s">
        <v>464</v>
      </c>
      <c r="BT422" s="79" t="s">
        <v>464</v>
      </c>
      <c r="BU422" s="79" t="s">
        <v>1271</v>
      </c>
      <c r="BV422" s="79">
        <v>350</v>
      </c>
      <c r="BW422" s="79">
        <v>400</v>
      </c>
      <c r="BX422" s="79" t="s">
        <v>1311</v>
      </c>
      <c r="BZ422" s="81">
        <v>63</v>
      </c>
      <c r="CA422">
        <f t="shared" si="65"/>
        <v>4.1431347263915326</v>
      </c>
    </row>
    <row r="423" spans="1:79" x14ac:dyDescent="0.3">
      <c r="A423" s="2" t="s">
        <v>1366</v>
      </c>
      <c r="B423" s="13"/>
      <c r="C423" s="13"/>
      <c r="D423" s="2">
        <v>3.08</v>
      </c>
      <c r="E423" s="2" t="s">
        <v>214</v>
      </c>
      <c r="F423" s="9" t="s">
        <v>555</v>
      </c>
      <c r="G423" t="s">
        <v>632</v>
      </c>
      <c r="I423" s="2"/>
      <c r="J423" s="25">
        <v>1</v>
      </c>
      <c r="K423">
        <v>4</v>
      </c>
      <c r="L423">
        <v>0</v>
      </c>
      <c r="M423" s="2"/>
      <c r="N423" s="2"/>
      <c r="O423" s="2"/>
      <c r="P423" s="2"/>
      <c r="Q423" s="2"/>
      <c r="R423" s="25">
        <v>3.86469438</v>
      </c>
      <c r="S423" s="25">
        <v>3.86469438</v>
      </c>
      <c r="T423" s="25">
        <v>16.978874730000001</v>
      </c>
      <c r="U423">
        <v>32.83</v>
      </c>
      <c r="V423">
        <v>5.4109999999999996</v>
      </c>
      <c r="W423">
        <v>5.4480000000000004</v>
      </c>
      <c r="X423">
        <v>0</v>
      </c>
      <c r="AA423" s="2"/>
      <c r="AB423">
        <v>24</v>
      </c>
      <c r="AC423" s="55">
        <f t="shared" ref="AC423" si="81">M423*N423*O423</f>
        <v>0</v>
      </c>
      <c r="AD423" s="57">
        <v>251.01098912285789</v>
      </c>
      <c r="AE423" s="55">
        <v>967.79977224000004</v>
      </c>
      <c r="AF423" s="55">
        <v>0</v>
      </c>
      <c r="AG423" s="52"/>
      <c r="AH423" s="51">
        <v>9.5613343797681868E-2</v>
      </c>
      <c r="AI423" s="52">
        <v>9.919407170122109E-2</v>
      </c>
      <c r="AJ423" s="52"/>
      <c r="AK423" s="28">
        <v>2</v>
      </c>
      <c r="AL423" s="28">
        <v>3.1578947368421049</v>
      </c>
      <c r="AM423" s="28">
        <v>2.4210526315789469</v>
      </c>
      <c r="AN423" s="28">
        <v>2.947368421052631</v>
      </c>
      <c r="AO423" s="28">
        <v>0.19</v>
      </c>
      <c r="AP423" s="28">
        <v>0.3</v>
      </c>
      <c r="AQ423" s="28">
        <v>0.23</v>
      </c>
      <c r="AR423" s="28">
        <v>0.28000000000000003</v>
      </c>
      <c r="AS423" s="25">
        <v>1.54</v>
      </c>
      <c r="AT423" s="25">
        <v>3.44</v>
      </c>
      <c r="AU423" s="25">
        <v>1.9</v>
      </c>
      <c r="AV423" s="25">
        <v>2.8410526315789468</v>
      </c>
      <c r="AW423">
        <v>2.8410526315789468</v>
      </c>
      <c r="AX423">
        <v>6.1729587136842099</v>
      </c>
      <c r="AY423" s="75">
        <v>0.52818907539878324</v>
      </c>
      <c r="AZ423" s="75">
        <v>0.54796980145127927</v>
      </c>
      <c r="BA423" s="75"/>
      <c r="BC423">
        <v>4.7806671898840941E-2</v>
      </c>
      <c r="BD423">
        <v>4.9597035850610538E-2</v>
      </c>
      <c r="BF423">
        <v>9.7403707749451479E-2</v>
      </c>
      <c r="BG423">
        <v>4.870185387472574E-2</v>
      </c>
      <c r="BH423">
        <v>0.53807943842503125</v>
      </c>
      <c r="BI423" s="79" t="s">
        <v>1337</v>
      </c>
      <c r="BJ423" s="79">
        <f t="shared" si="77"/>
        <v>1023</v>
      </c>
      <c r="BK423" s="79">
        <v>3</v>
      </c>
      <c r="BM423" s="79" t="s">
        <v>1275</v>
      </c>
      <c r="BN423" s="79" t="s">
        <v>56</v>
      </c>
      <c r="BO423" s="79">
        <v>0.25</v>
      </c>
      <c r="BQ423" s="79">
        <v>0.23799999999999999</v>
      </c>
      <c r="BR423" s="79">
        <v>4.76</v>
      </c>
      <c r="BS423" s="79" t="s">
        <v>464</v>
      </c>
      <c r="BT423" s="79" t="s">
        <v>464</v>
      </c>
      <c r="BU423" s="79" t="s">
        <v>1271</v>
      </c>
      <c r="BV423" s="79">
        <v>350</v>
      </c>
      <c r="BW423" s="79">
        <v>400</v>
      </c>
      <c r="BX423" s="79" t="s">
        <v>1311</v>
      </c>
      <c r="BZ423" s="81">
        <v>58.8</v>
      </c>
      <c r="CA423">
        <f t="shared" si="65"/>
        <v>4.0741418549045809</v>
      </c>
    </row>
    <row r="424" spans="1:79" x14ac:dyDescent="0.3">
      <c r="A424" s="2" t="s">
        <v>1366</v>
      </c>
      <c r="B424" s="13"/>
      <c r="C424" s="13"/>
      <c r="D424" s="2">
        <v>3.08</v>
      </c>
      <c r="E424" s="2" t="s">
        <v>214</v>
      </c>
      <c r="F424" s="9" t="s">
        <v>555</v>
      </c>
      <c r="G424" t="s">
        <v>632</v>
      </c>
      <c r="I424" s="2"/>
      <c r="J424" s="25">
        <v>1</v>
      </c>
      <c r="K424">
        <v>4</v>
      </c>
      <c r="L424">
        <v>0</v>
      </c>
      <c r="M424" s="2"/>
      <c r="N424" s="2"/>
      <c r="O424" s="2"/>
      <c r="P424" s="2"/>
      <c r="Q424" s="2"/>
      <c r="R424" s="25">
        <v>3.86469438</v>
      </c>
      <c r="S424" s="25">
        <v>3.86469438</v>
      </c>
      <c r="T424" s="25">
        <v>16.978874730000001</v>
      </c>
      <c r="U424">
        <v>32.83</v>
      </c>
      <c r="V424">
        <v>5.4109999999999996</v>
      </c>
      <c r="W424">
        <v>5.4480000000000004</v>
      </c>
      <c r="X424">
        <v>0</v>
      </c>
      <c r="AA424" s="2"/>
      <c r="AB424">
        <v>24</v>
      </c>
      <c r="AC424" s="55">
        <f t="shared" ref="AC424" si="82">M424*N424*O424</f>
        <v>0</v>
      </c>
      <c r="AD424" s="57">
        <v>251.01098912285789</v>
      </c>
      <c r="AE424" s="55">
        <v>967.79977224000004</v>
      </c>
      <c r="AF424" s="55">
        <v>0</v>
      </c>
      <c r="AG424" s="52"/>
      <c r="AH424" s="51">
        <v>9.5613343797681868E-2</v>
      </c>
      <c r="AI424" s="52">
        <v>9.919407170122109E-2</v>
      </c>
      <c r="AJ424" s="52"/>
      <c r="AK424" s="28">
        <v>2</v>
      </c>
      <c r="AL424" s="28">
        <v>3.1578947368421049</v>
      </c>
      <c r="AM424" s="28">
        <v>2.4210526315789469</v>
      </c>
      <c r="AN424" s="28">
        <v>2.947368421052631</v>
      </c>
      <c r="AO424" s="28">
        <v>0.19</v>
      </c>
      <c r="AP424" s="28">
        <v>0.3</v>
      </c>
      <c r="AQ424" s="28">
        <v>0.23</v>
      </c>
      <c r="AR424" s="28">
        <v>0.28000000000000003</v>
      </c>
      <c r="AS424" s="25">
        <v>1.54</v>
      </c>
      <c r="AT424" s="25">
        <v>3.44</v>
      </c>
      <c r="AU424" s="25">
        <v>1.9</v>
      </c>
      <c r="AV424" s="25">
        <v>2.8410526315789468</v>
      </c>
      <c r="AW424">
        <v>2.8410526315789468</v>
      </c>
      <c r="AX424">
        <v>6.1729587136842099</v>
      </c>
      <c r="AY424" s="75">
        <v>0.52818907539878324</v>
      </c>
      <c r="AZ424" s="75">
        <v>0.54796980145127927</v>
      </c>
      <c r="BA424" s="75"/>
      <c r="BC424">
        <v>4.7806671898840941E-2</v>
      </c>
      <c r="BD424">
        <v>4.9597035850610538E-2</v>
      </c>
      <c r="BF424">
        <v>9.7403707749451479E-2</v>
      </c>
      <c r="BG424">
        <v>4.870185387472574E-2</v>
      </c>
      <c r="BH424">
        <v>0.53807943842503125</v>
      </c>
      <c r="BI424" s="79" t="s">
        <v>1337</v>
      </c>
      <c r="BJ424" s="79">
        <f t="shared" si="77"/>
        <v>1023</v>
      </c>
      <c r="BK424" s="79">
        <v>3</v>
      </c>
      <c r="BM424" s="79" t="s">
        <v>1275</v>
      </c>
      <c r="BN424" s="79" t="s">
        <v>56</v>
      </c>
      <c r="BO424" s="79">
        <v>0.3</v>
      </c>
      <c r="BQ424" s="79">
        <v>0.23799999999999999</v>
      </c>
      <c r="BR424" s="79">
        <v>4.76</v>
      </c>
      <c r="BS424" s="79" t="s">
        <v>464</v>
      </c>
      <c r="BT424" s="79" t="s">
        <v>464</v>
      </c>
      <c r="BU424" s="79" t="s">
        <v>1271</v>
      </c>
      <c r="BV424" s="79">
        <v>350</v>
      </c>
      <c r="BW424" s="79">
        <v>400</v>
      </c>
      <c r="BX424" s="79" t="s">
        <v>1311</v>
      </c>
      <c r="BZ424" s="81">
        <v>57.4</v>
      </c>
      <c r="CA424">
        <f t="shared" si="65"/>
        <v>4.0500443033255209</v>
      </c>
    </row>
    <row r="425" spans="1:79" x14ac:dyDescent="0.3">
      <c r="A425" s="2" t="s">
        <v>215</v>
      </c>
      <c r="B425" s="13" t="s">
        <v>734</v>
      </c>
      <c r="C425" s="13"/>
      <c r="D425" s="2">
        <v>3.8</v>
      </c>
      <c r="E425" s="2" t="s">
        <v>216</v>
      </c>
      <c r="F425" s="9" t="s">
        <v>587</v>
      </c>
      <c r="G425" t="s">
        <v>636</v>
      </c>
      <c r="I425" s="2"/>
      <c r="J425" s="25">
        <v>1</v>
      </c>
      <c r="K425">
        <v>1</v>
      </c>
      <c r="L425">
        <v>0</v>
      </c>
      <c r="M425" s="2"/>
      <c r="N425" s="2"/>
      <c r="O425" s="2"/>
      <c r="P425" s="2"/>
      <c r="Q425" s="2"/>
      <c r="R425" s="25">
        <v>3.950634</v>
      </c>
      <c r="S425" s="25">
        <v>3.950634</v>
      </c>
      <c r="T425" s="25">
        <v>15.513552000000001</v>
      </c>
      <c r="U425">
        <v>3.8658999999999999</v>
      </c>
      <c r="V425">
        <v>3.8658999999999999</v>
      </c>
      <c r="W425">
        <v>15.2538</v>
      </c>
      <c r="X425">
        <v>0</v>
      </c>
      <c r="AA425" s="2"/>
      <c r="AB425">
        <v>20</v>
      </c>
      <c r="AC425" s="55">
        <f t="shared" si="70"/>
        <v>0</v>
      </c>
      <c r="AD425" s="57">
        <v>242.1279024923125</v>
      </c>
      <c r="AE425" s="55">
        <v>227.970829547178</v>
      </c>
      <c r="AF425" s="55">
        <v>0</v>
      </c>
      <c r="AG425" s="52"/>
      <c r="AH425" s="51">
        <v>8.2600971611006269E-2</v>
      </c>
      <c r="AI425" s="52">
        <v>8.7730522539775438E-2</v>
      </c>
      <c r="AJ425" s="52"/>
      <c r="AK425" s="28">
        <v>1.9375</v>
      </c>
      <c r="AL425" s="28">
        <v>2.5</v>
      </c>
      <c r="AM425" s="28">
        <v>0.5625</v>
      </c>
      <c r="AN425" s="28">
        <v>2.625</v>
      </c>
      <c r="AO425" s="28">
        <v>0.25409836065573771</v>
      </c>
      <c r="AP425" s="28">
        <v>0.32786885245901642</v>
      </c>
      <c r="AQ425" s="28">
        <v>7.3770491803278687E-2</v>
      </c>
      <c r="AR425" s="28">
        <v>0.34426229508196721</v>
      </c>
      <c r="AS425" s="25">
        <v>0.79</v>
      </c>
      <c r="AT425" s="25">
        <v>3.44</v>
      </c>
      <c r="AU425" s="25">
        <v>2.65</v>
      </c>
      <c r="AV425" s="25">
        <v>2.6056249999999999</v>
      </c>
      <c r="AW425">
        <v>2.6056249999999999</v>
      </c>
      <c r="AX425">
        <v>5.9703320286696879</v>
      </c>
      <c r="AY425" s="75">
        <v>0.52453741991489755</v>
      </c>
      <c r="AZ425" s="75">
        <v>0.55711138795694093</v>
      </c>
      <c r="BA425" s="75"/>
      <c r="BC425">
        <v>4.1300485805503127E-2</v>
      </c>
      <c r="BD425">
        <v>4.3865261269887712E-2</v>
      </c>
      <c r="BF425">
        <v>8.5165747075390846E-2</v>
      </c>
      <c r="BG425">
        <v>4.2582873537695423E-2</v>
      </c>
      <c r="BH425">
        <v>0.54082440393591924</v>
      </c>
      <c r="BI425" s="79" t="s">
        <v>1264</v>
      </c>
      <c r="BM425" s="79" t="s">
        <v>1268</v>
      </c>
      <c r="BN425" s="79" t="s">
        <v>863</v>
      </c>
      <c r="BO425" s="79">
        <v>0.5</v>
      </c>
      <c r="BQ425" s="79">
        <v>1.67</v>
      </c>
      <c r="BR425" s="79">
        <v>20</v>
      </c>
      <c r="BS425" s="79" t="s">
        <v>464</v>
      </c>
      <c r="BT425" s="79" t="s">
        <v>464</v>
      </c>
      <c r="BU425" s="79" t="s">
        <v>1271</v>
      </c>
      <c r="BV425" s="79">
        <v>300</v>
      </c>
      <c r="BX425" s="79" t="s">
        <v>1287</v>
      </c>
      <c r="BY425" s="79">
        <v>293</v>
      </c>
      <c r="BZ425" s="81">
        <v>0</v>
      </c>
      <c r="CA425" t="e">
        <f t="shared" si="65"/>
        <v>#NUM!</v>
      </c>
    </row>
    <row r="426" spans="1:79" x14ac:dyDescent="0.3">
      <c r="A426" s="2" t="s">
        <v>1368</v>
      </c>
      <c r="B426" s="13" t="s">
        <v>734</v>
      </c>
      <c r="C426" s="13"/>
      <c r="D426" s="2">
        <v>3.4</v>
      </c>
      <c r="E426" s="2" t="s">
        <v>216</v>
      </c>
      <c r="F426" s="9" t="s">
        <v>587</v>
      </c>
      <c r="G426" t="s">
        <v>636</v>
      </c>
      <c r="I426" s="2"/>
      <c r="J426" s="25">
        <v>1</v>
      </c>
      <c r="K426">
        <v>1</v>
      </c>
      <c r="L426">
        <v>0</v>
      </c>
      <c r="M426" s="2"/>
      <c r="N426" s="2"/>
      <c r="O426" s="2"/>
      <c r="P426" s="2"/>
      <c r="Q426" s="2"/>
      <c r="R426" s="25">
        <v>3.950634</v>
      </c>
      <c r="S426" s="25">
        <v>3.950634</v>
      </c>
      <c r="T426" s="25">
        <v>15.513552000000001</v>
      </c>
      <c r="U426">
        <v>3.8658999999999999</v>
      </c>
      <c r="V426">
        <v>3.8658999999999999</v>
      </c>
      <c r="W426">
        <v>15.2538</v>
      </c>
      <c r="X426">
        <v>0</v>
      </c>
      <c r="AA426" s="2"/>
      <c r="AB426">
        <v>20</v>
      </c>
      <c r="AC426" s="55">
        <f t="shared" ref="AC426" si="83">M426*N426*O426</f>
        <v>0</v>
      </c>
      <c r="AD426" s="57">
        <v>242.1279024923125</v>
      </c>
      <c r="AE426" s="55">
        <v>227.970829547178</v>
      </c>
      <c r="AF426" s="55">
        <v>0</v>
      </c>
      <c r="AG426" s="52"/>
      <c r="AH426" s="51">
        <v>8.2600971611006269E-2</v>
      </c>
      <c r="AI426" s="52">
        <v>8.7730522539775438E-2</v>
      </c>
      <c r="AJ426" s="52"/>
      <c r="AK426" s="28">
        <v>1.9375</v>
      </c>
      <c r="AL426" s="28">
        <v>2.5</v>
      </c>
      <c r="AM426" s="28">
        <v>0.5625</v>
      </c>
      <c r="AN426" s="28">
        <v>2.625</v>
      </c>
      <c r="AO426" s="28">
        <v>0.25409836065573771</v>
      </c>
      <c r="AP426" s="28">
        <v>0.32786885245901642</v>
      </c>
      <c r="AQ426" s="28">
        <v>7.3770491803278687E-2</v>
      </c>
      <c r="AR426" s="28">
        <v>0.34426229508196721</v>
      </c>
      <c r="AS426" s="25">
        <v>0.79</v>
      </c>
      <c r="AT426" s="25">
        <v>3.44</v>
      </c>
      <c r="AU426" s="25">
        <v>2.65</v>
      </c>
      <c r="AV426" s="25">
        <v>2.6056249999999999</v>
      </c>
      <c r="AW426">
        <v>2.6056249999999999</v>
      </c>
      <c r="AX426">
        <v>5.9703320286696879</v>
      </c>
      <c r="AY426" s="75">
        <v>0.52453741991489755</v>
      </c>
      <c r="AZ426" s="75">
        <v>0.55711138795694093</v>
      </c>
      <c r="BA426" s="75"/>
      <c r="BC426">
        <v>4.1300485805503127E-2</v>
      </c>
      <c r="BD426">
        <v>4.3865261269887712E-2</v>
      </c>
      <c r="BF426">
        <v>8.5165747075390846E-2</v>
      </c>
      <c r="BG426">
        <v>4.2582873537695423E-2</v>
      </c>
      <c r="BH426">
        <v>0.54082440393591924</v>
      </c>
      <c r="BI426" s="79" t="s">
        <v>1264</v>
      </c>
      <c r="BJ426" s="79">
        <v>973</v>
      </c>
      <c r="BM426" s="79" t="s">
        <v>1268</v>
      </c>
      <c r="BN426" s="79" t="s">
        <v>863</v>
      </c>
      <c r="BO426" s="79">
        <v>0.5</v>
      </c>
      <c r="BQ426" s="79">
        <v>1.67</v>
      </c>
      <c r="BR426" s="79">
        <v>20</v>
      </c>
      <c r="BS426" s="79" t="s">
        <v>464</v>
      </c>
      <c r="BT426" s="79" t="s">
        <v>464</v>
      </c>
      <c r="BU426" s="79" t="s">
        <v>1271</v>
      </c>
      <c r="BV426" s="79">
        <v>300</v>
      </c>
      <c r="BX426" s="79" t="s">
        <v>1287</v>
      </c>
      <c r="BY426" s="79">
        <v>293</v>
      </c>
      <c r="BZ426" s="81">
        <v>0</v>
      </c>
      <c r="CA426" t="e">
        <f t="shared" si="65"/>
        <v>#NUM!</v>
      </c>
    </row>
    <row r="427" spans="1:79" x14ac:dyDescent="0.3">
      <c r="A427" s="2" t="s">
        <v>1369</v>
      </c>
      <c r="B427" s="13" t="s">
        <v>734</v>
      </c>
      <c r="C427" s="13"/>
      <c r="D427" s="2">
        <v>2.9</v>
      </c>
      <c r="E427" s="2" t="s">
        <v>216</v>
      </c>
      <c r="F427" s="9" t="s">
        <v>587</v>
      </c>
      <c r="G427" t="s">
        <v>636</v>
      </c>
      <c r="I427" s="2"/>
      <c r="J427" s="25">
        <v>1</v>
      </c>
      <c r="K427">
        <v>1</v>
      </c>
      <c r="L427">
        <v>0</v>
      </c>
      <c r="M427" s="2"/>
      <c r="N427" s="2"/>
      <c r="O427" s="2"/>
      <c r="P427" s="2"/>
      <c r="Q427" s="2"/>
      <c r="R427" s="25">
        <v>3.950634</v>
      </c>
      <c r="S427" s="25">
        <v>3.950634</v>
      </c>
      <c r="T427" s="25">
        <v>15.513552000000001</v>
      </c>
      <c r="U427">
        <v>3.8658999999999999</v>
      </c>
      <c r="V427">
        <v>3.8658999999999999</v>
      </c>
      <c r="W427">
        <v>15.2538</v>
      </c>
      <c r="X427">
        <v>0</v>
      </c>
      <c r="AA427" s="2"/>
      <c r="AB427">
        <v>20</v>
      </c>
      <c r="AC427" s="55">
        <f t="shared" ref="AC427" si="84">M427*N427*O427</f>
        <v>0</v>
      </c>
      <c r="AD427" s="57">
        <v>242.1279024923125</v>
      </c>
      <c r="AE427" s="55">
        <v>227.970829547178</v>
      </c>
      <c r="AF427" s="55">
        <v>0</v>
      </c>
      <c r="AG427" s="52"/>
      <c r="AH427" s="51">
        <v>8.2600971611006269E-2</v>
      </c>
      <c r="AI427" s="52">
        <v>8.7730522539775438E-2</v>
      </c>
      <c r="AJ427" s="52"/>
      <c r="AK427" s="28">
        <v>1.9375</v>
      </c>
      <c r="AL427" s="28">
        <v>2.5</v>
      </c>
      <c r="AM427" s="28">
        <v>0.5625</v>
      </c>
      <c r="AN427" s="28">
        <v>2.625</v>
      </c>
      <c r="AO427" s="28">
        <v>0.25409836065573771</v>
      </c>
      <c r="AP427" s="28">
        <v>0.32786885245901642</v>
      </c>
      <c r="AQ427" s="28">
        <v>7.3770491803278687E-2</v>
      </c>
      <c r="AR427" s="28">
        <v>0.34426229508196721</v>
      </c>
      <c r="AS427" s="25">
        <v>0.79</v>
      </c>
      <c r="AT427" s="25">
        <v>3.44</v>
      </c>
      <c r="AU427" s="25">
        <v>2.65</v>
      </c>
      <c r="AV427" s="25">
        <v>2.6056249999999999</v>
      </c>
      <c r="AW427">
        <v>2.6056249999999999</v>
      </c>
      <c r="AX427">
        <v>5.9703320286696879</v>
      </c>
      <c r="AY427" s="75">
        <v>0.52453741991489755</v>
      </c>
      <c r="AZ427" s="75">
        <v>0.55711138795694093</v>
      </c>
      <c r="BA427" s="75"/>
      <c r="BC427">
        <v>4.1300485805503127E-2</v>
      </c>
      <c r="BD427">
        <v>4.3865261269887712E-2</v>
      </c>
      <c r="BF427">
        <v>8.5165747075390846E-2</v>
      </c>
      <c r="BG427">
        <v>4.2582873537695423E-2</v>
      </c>
      <c r="BH427">
        <v>0.54082440393591924</v>
      </c>
      <c r="BI427" s="79" t="s">
        <v>1264</v>
      </c>
      <c r="BJ427" s="79">
        <v>1023</v>
      </c>
      <c r="BM427" s="79" t="s">
        <v>1268</v>
      </c>
      <c r="BN427" s="79" t="s">
        <v>863</v>
      </c>
      <c r="BO427" s="79">
        <v>0.5</v>
      </c>
      <c r="BQ427" s="79">
        <v>1.67</v>
      </c>
      <c r="BR427" s="79">
        <v>20</v>
      </c>
      <c r="BS427" s="79" t="s">
        <v>464</v>
      </c>
      <c r="BT427" s="79" t="s">
        <v>464</v>
      </c>
      <c r="BU427" s="79" t="s">
        <v>1271</v>
      </c>
      <c r="BV427" s="79">
        <v>300</v>
      </c>
      <c r="BX427" s="79" t="s">
        <v>1287</v>
      </c>
      <c r="BY427" s="79">
        <v>293</v>
      </c>
      <c r="BZ427" s="81">
        <v>0</v>
      </c>
      <c r="CA427" t="e">
        <f t="shared" si="65"/>
        <v>#NUM!</v>
      </c>
    </row>
    <row r="428" spans="1:79" x14ac:dyDescent="0.3">
      <c r="A428" s="2" t="s">
        <v>1370</v>
      </c>
      <c r="B428" s="13" t="s">
        <v>734</v>
      </c>
      <c r="C428" s="13"/>
      <c r="D428" s="2">
        <v>2</v>
      </c>
      <c r="E428" s="2" t="s">
        <v>216</v>
      </c>
      <c r="F428" s="9" t="s">
        <v>587</v>
      </c>
      <c r="G428" t="s">
        <v>636</v>
      </c>
      <c r="I428" s="2"/>
      <c r="J428" s="25">
        <v>1</v>
      </c>
      <c r="K428">
        <v>1</v>
      </c>
      <c r="L428">
        <v>0</v>
      </c>
      <c r="M428" s="2"/>
      <c r="N428" s="2"/>
      <c r="O428" s="2"/>
      <c r="P428" s="2"/>
      <c r="Q428" s="2"/>
      <c r="R428" s="25">
        <v>3.950634</v>
      </c>
      <c r="S428" s="25">
        <v>3.950634</v>
      </c>
      <c r="T428" s="25">
        <v>15.513552000000001</v>
      </c>
      <c r="U428">
        <v>3.8658999999999999</v>
      </c>
      <c r="V428">
        <v>3.8658999999999999</v>
      </c>
      <c r="W428">
        <v>15.2538</v>
      </c>
      <c r="X428">
        <v>0</v>
      </c>
      <c r="AA428" s="2"/>
      <c r="AB428">
        <v>20</v>
      </c>
      <c r="AC428" s="55">
        <f t="shared" ref="AC428" si="85">M428*N428*O428</f>
        <v>0</v>
      </c>
      <c r="AD428" s="57">
        <v>242.1279024923125</v>
      </c>
      <c r="AE428" s="55">
        <v>227.970829547178</v>
      </c>
      <c r="AF428" s="55">
        <v>0</v>
      </c>
      <c r="AG428" s="52"/>
      <c r="AH428" s="51">
        <v>8.2600971611006269E-2</v>
      </c>
      <c r="AI428" s="52">
        <v>8.7730522539775438E-2</v>
      </c>
      <c r="AJ428" s="52"/>
      <c r="AK428" s="28">
        <v>1.9375</v>
      </c>
      <c r="AL428" s="28">
        <v>2.5</v>
      </c>
      <c r="AM428" s="28">
        <v>0.5625</v>
      </c>
      <c r="AN428" s="28">
        <v>2.625</v>
      </c>
      <c r="AO428" s="28">
        <v>0.25409836065573771</v>
      </c>
      <c r="AP428" s="28">
        <v>0.32786885245901642</v>
      </c>
      <c r="AQ428" s="28">
        <v>7.3770491803278687E-2</v>
      </c>
      <c r="AR428" s="28">
        <v>0.34426229508196721</v>
      </c>
      <c r="AS428" s="25">
        <v>0.79</v>
      </c>
      <c r="AT428" s="25">
        <v>3.44</v>
      </c>
      <c r="AU428" s="25">
        <v>2.65</v>
      </c>
      <c r="AV428" s="25">
        <v>2.6056249999999999</v>
      </c>
      <c r="AW428">
        <v>2.6056249999999999</v>
      </c>
      <c r="AX428">
        <v>5.9703320286696879</v>
      </c>
      <c r="AY428" s="75">
        <v>0.52453741991489755</v>
      </c>
      <c r="AZ428" s="75">
        <v>0.55711138795694093</v>
      </c>
      <c r="BA428" s="75"/>
      <c r="BC428">
        <v>4.1300485805503127E-2</v>
      </c>
      <c r="BD428">
        <v>4.3865261269887712E-2</v>
      </c>
      <c r="BF428">
        <v>8.5165747075390846E-2</v>
      </c>
      <c r="BG428">
        <v>4.2582873537695423E-2</v>
      </c>
      <c r="BH428">
        <v>0.54082440393591924</v>
      </c>
      <c r="BI428" s="79" t="s">
        <v>1264</v>
      </c>
      <c r="BJ428" s="79">
        <v>1073</v>
      </c>
      <c r="BM428" s="79" t="s">
        <v>1268</v>
      </c>
      <c r="BN428" s="79" t="s">
        <v>863</v>
      </c>
      <c r="BO428" s="79">
        <v>0.5</v>
      </c>
      <c r="BQ428" s="79">
        <v>1.67</v>
      </c>
      <c r="BR428" s="79">
        <v>20</v>
      </c>
      <c r="BS428" s="79" t="s">
        <v>464</v>
      </c>
      <c r="BT428" s="79" t="s">
        <v>464</v>
      </c>
      <c r="BU428" s="79" t="s">
        <v>1271</v>
      </c>
      <c r="BV428" s="79">
        <v>300</v>
      </c>
      <c r="BX428" s="79" t="s">
        <v>1287</v>
      </c>
      <c r="BY428" s="79">
        <v>293</v>
      </c>
      <c r="BZ428" s="81">
        <v>0</v>
      </c>
      <c r="CA428" t="e">
        <f t="shared" si="65"/>
        <v>#NUM!</v>
      </c>
    </row>
    <row r="429" spans="1:79" x14ac:dyDescent="0.3">
      <c r="A429" s="2" t="s">
        <v>217</v>
      </c>
      <c r="B429" s="13" t="s">
        <v>806</v>
      </c>
      <c r="C429" s="13"/>
      <c r="D429" s="2">
        <v>2.58</v>
      </c>
      <c r="E429" s="2" t="s">
        <v>218</v>
      </c>
      <c r="F429" s="9">
        <v>-1</v>
      </c>
      <c r="G429">
        <v>-1</v>
      </c>
      <c r="I429" s="2">
        <v>1</v>
      </c>
      <c r="J429" s="25">
        <v>0</v>
      </c>
      <c r="K429">
        <v>0</v>
      </c>
      <c r="L429">
        <v>0</v>
      </c>
      <c r="M429" s="2">
        <v>3.93</v>
      </c>
      <c r="N429" s="2">
        <v>3.93</v>
      </c>
      <c r="O429" s="2">
        <v>15.3</v>
      </c>
      <c r="P429" s="2"/>
      <c r="Q429" s="2"/>
      <c r="R429" s="25">
        <v>0</v>
      </c>
      <c r="S429" s="25"/>
      <c r="T429" s="25"/>
      <c r="U429">
        <v>0</v>
      </c>
      <c r="X429">
        <v>0</v>
      </c>
      <c r="AA429" s="2"/>
      <c r="AB429">
        <v>20</v>
      </c>
      <c r="AC429" s="55">
        <f t="shared" si="70"/>
        <v>236.30697000000001</v>
      </c>
      <c r="AD429" s="57">
        <v>0</v>
      </c>
      <c r="AE429" s="55">
        <v>0</v>
      </c>
      <c r="AF429" s="55">
        <v>0</v>
      </c>
      <c r="AG429" s="52">
        <f t="shared" ref="AG429:AG433" si="86">I429*AB429/AC429</f>
        <v>8.4635675367510321E-2</v>
      </c>
      <c r="AH429" s="51"/>
      <c r="AI429" s="52"/>
      <c r="AJ429" s="52"/>
      <c r="AK429" s="28">
        <v>1.75</v>
      </c>
      <c r="AL429" s="28">
        <v>2.75</v>
      </c>
      <c r="AM429" s="28">
        <v>2</v>
      </c>
      <c r="AN429" s="28">
        <v>1.75</v>
      </c>
      <c r="AO429" s="28">
        <v>0.2121212121212121</v>
      </c>
      <c r="AP429" s="28">
        <v>0.33333333333333331</v>
      </c>
      <c r="AQ429" s="28">
        <v>0.2424242424242424</v>
      </c>
      <c r="AR429" s="28">
        <v>0.2121212121212121</v>
      </c>
      <c r="AS429" s="25">
        <v>1.6</v>
      </c>
      <c r="AT429" s="25">
        <v>3.44</v>
      </c>
      <c r="AU429" s="25">
        <v>1.84</v>
      </c>
      <c r="AV429" s="25">
        <v>2.8787500000000001</v>
      </c>
      <c r="AW429">
        <v>2.8787500000000001</v>
      </c>
      <c r="AX429">
        <v>6.3662565249906873</v>
      </c>
      <c r="AY429" s="75"/>
      <c r="AZ429" s="75"/>
      <c r="BA429" s="75"/>
      <c r="BB429">
        <v>4.2317837683755161E-2</v>
      </c>
      <c r="BF429">
        <v>8.4635675367510321E-2</v>
      </c>
      <c r="BG429">
        <v>4.2317837683755161E-2</v>
      </c>
      <c r="BH429">
        <v>0</v>
      </c>
      <c r="BI429" s="79" t="s">
        <v>1264</v>
      </c>
      <c r="BJ429" s="79">
        <v>1273</v>
      </c>
      <c r="BK429" s="79">
        <v>48</v>
      </c>
      <c r="BM429" s="79" t="s">
        <v>1268</v>
      </c>
      <c r="BN429" s="79" t="s">
        <v>863</v>
      </c>
      <c r="BO429" s="79">
        <v>0.1</v>
      </c>
      <c r="BQ429" s="79">
        <v>2.5</v>
      </c>
      <c r="BR429" s="79">
        <v>20</v>
      </c>
      <c r="BS429" s="79" t="s">
        <v>464</v>
      </c>
      <c r="BT429" s="79" t="s">
        <v>464</v>
      </c>
      <c r="BU429" s="79" t="s">
        <v>1271</v>
      </c>
      <c r="BV429" s="79">
        <v>300</v>
      </c>
      <c r="BW429" s="79">
        <v>290</v>
      </c>
      <c r="BX429" s="79" t="s">
        <v>1311</v>
      </c>
      <c r="BY429" s="79">
        <v>303</v>
      </c>
      <c r="BZ429" s="81">
        <v>65</v>
      </c>
      <c r="CA429">
        <f t="shared" si="65"/>
        <v>4.1743872698956368</v>
      </c>
    </row>
    <row r="430" spans="1:79" x14ac:dyDescent="0.3">
      <c r="A430" s="2" t="s">
        <v>1371</v>
      </c>
      <c r="B430" s="13"/>
      <c r="C430" s="13"/>
      <c r="D430" s="2">
        <v>2.29</v>
      </c>
      <c r="E430" s="2" t="s">
        <v>218</v>
      </c>
      <c r="F430" s="9">
        <v>-1</v>
      </c>
      <c r="G430">
        <v>-1</v>
      </c>
      <c r="I430" s="2">
        <v>1</v>
      </c>
      <c r="J430" s="25">
        <v>0</v>
      </c>
      <c r="K430">
        <v>0</v>
      </c>
      <c r="L430">
        <v>0</v>
      </c>
      <c r="M430" s="2">
        <v>3.93</v>
      </c>
      <c r="N430" s="2">
        <v>3.93</v>
      </c>
      <c r="O430" s="2">
        <v>15.3</v>
      </c>
      <c r="P430" s="2"/>
      <c r="Q430" s="2"/>
      <c r="R430" s="25">
        <v>0</v>
      </c>
      <c r="S430" s="25"/>
      <c r="T430" s="25"/>
      <c r="U430">
        <v>0</v>
      </c>
      <c r="X430">
        <v>0</v>
      </c>
      <c r="AA430" s="2"/>
      <c r="AB430">
        <v>20</v>
      </c>
      <c r="AC430" s="55">
        <f t="shared" ref="AC430" si="87">M430*N430*O430</f>
        <v>236.30697000000001</v>
      </c>
      <c r="AD430" s="57">
        <v>0</v>
      </c>
      <c r="AE430" s="55">
        <v>0</v>
      </c>
      <c r="AF430" s="55">
        <v>0</v>
      </c>
      <c r="AG430" s="52">
        <f t="shared" ref="AG430" si="88">I430*AB430/AC430</f>
        <v>8.4635675367510321E-2</v>
      </c>
      <c r="AH430" s="51"/>
      <c r="AI430" s="52"/>
      <c r="AJ430" s="52"/>
      <c r="AK430" s="28">
        <v>1.714285714285714</v>
      </c>
      <c r="AL430" s="28">
        <v>2.6190476190476191</v>
      </c>
      <c r="AM430" s="28">
        <v>1.9285714285714279</v>
      </c>
      <c r="AN430" s="28">
        <v>1.666666666666667</v>
      </c>
      <c r="AO430" s="28">
        <v>0.2162162162162162</v>
      </c>
      <c r="AP430" s="28">
        <v>0.33033033033033038</v>
      </c>
      <c r="AQ430" s="28">
        <v>0.2432432432432432</v>
      </c>
      <c r="AR430" s="28">
        <v>0.21021021021021019</v>
      </c>
      <c r="AS430" s="25">
        <v>1.6</v>
      </c>
      <c r="AT430" s="25">
        <v>3.44</v>
      </c>
      <c r="AU430" s="25">
        <v>1.84</v>
      </c>
      <c r="AV430" s="25">
        <v>2.847857142857142</v>
      </c>
      <c r="AW430">
        <v>2.8478571428571429</v>
      </c>
      <c r="AX430">
        <v>6.402055730936417</v>
      </c>
      <c r="AY430" s="75"/>
      <c r="AZ430" s="75"/>
      <c r="BA430" s="75"/>
      <c r="BB430">
        <v>4.2317837683755161E-2</v>
      </c>
      <c r="BF430">
        <v>8.4635675367510321E-2</v>
      </c>
      <c r="BG430">
        <v>4.2317837683755161E-2</v>
      </c>
      <c r="BH430">
        <v>0</v>
      </c>
      <c r="BI430" s="79" t="s">
        <v>1264</v>
      </c>
      <c r="BJ430" s="79">
        <v>1273</v>
      </c>
      <c r="BK430" s="79">
        <v>48</v>
      </c>
      <c r="BM430" s="79" t="s">
        <v>1268</v>
      </c>
      <c r="BN430" s="79" t="s">
        <v>863</v>
      </c>
      <c r="BO430" s="79">
        <v>0.1</v>
      </c>
      <c r="BQ430" s="79">
        <v>2.5</v>
      </c>
      <c r="BR430" s="79">
        <v>20</v>
      </c>
      <c r="BS430" s="79" t="s">
        <v>464</v>
      </c>
      <c r="BT430" s="79" t="s">
        <v>464</v>
      </c>
      <c r="BU430" s="79" t="s">
        <v>1271</v>
      </c>
      <c r="BV430" s="79">
        <v>300</v>
      </c>
      <c r="BW430" s="79">
        <v>290</v>
      </c>
      <c r="BX430" s="79" t="s">
        <v>1311</v>
      </c>
      <c r="BY430" s="79">
        <v>303</v>
      </c>
      <c r="BZ430" s="81">
        <v>102</v>
      </c>
      <c r="CA430">
        <f t="shared" si="65"/>
        <v>4.6249728132842707</v>
      </c>
    </row>
    <row r="431" spans="1:79" x14ac:dyDescent="0.3">
      <c r="A431" s="2" t="s">
        <v>1372</v>
      </c>
      <c r="B431" s="13"/>
      <c r="C431" s="13"/>
      <c r="D431" s="2">
        <v>2.29</v>
      </c>
      <c r="E431" s="2" t="s">
        <v>218</v>
      </c>
      <c r="F431" s="9">
        <v>-1</v>
      </c>
      <c r="G431">
        <v>-1</v>
      </c>
      <c r="I431" s="2">
        <v>1</v>
      </c>
      <c r="J431" s="25">
        <v>0</v>
      </c>
      <c r="K431">
        <v>0</v>
      </c>
      <c r="L431">
        <v>0</v>
      </c>
      <c r="M431" s="2">
        <v>3.93</v>
      </c>
      <c r="N431" s="2">
        <v>3.93</v>
      </c>
      <c r="O431" s="2">
        <v>15.3</v>
      </c>
      <c r="P431" s="2"/>
      <c r="Q431" s="2"/>
      <c r="R431" s="25">
        <v>0</v>
      </c>
      <c r="S431" s="25"/>
      <c r="T431" s="25"/>
      <c r="U431">
        <v>0</v>
      </c>
      <c r="X431">
        <v>0</v>
      </c>
      <c r="AA431" s="2"/>
      <c r="AB431">
        <v>20</v>
      </c>
      <c r="AC431" s="55">
        <f t="shared" si="70"/>
        <v>236.30697000000001</v>
      </c>
      <c r="AD431" s="57">
        <v>0</v>
      </c>
      <c r="AE431" s="55">
        <v>0</v>
      </c>
      <c r="AF431" s="55">
        <v>0</v>
      </c>
      <c r="AG431" s="52">
        <f t="shared" si="86"/>
        <v>8.4635675367510321E-2</v>
      </c>
      <c r="AH431" s="51"/>
      <c r="AI431" s="52"/>
      <c r="AJ431" s="52"/>
      <c r="AK431" s="28">
        <v>1.714285714285714</v>
      </c>
      <c r="AL431" s="28">
        <v>2.6190476190476191</v>
      </c>
      <c r="AM431" s="28">
        <v>1.9285714285714279</v>
      </c>
      <c r="AN431" s="28">
        <v>1.666666666666667</v>
      </c>
      <c r="AO431" s="28">
        <v>0.2162162162162162</v>
      </c>
      <c r="AP431" s="28">
        <v>0.33033033033033038</v>
      </c>
      <c r="AQ431" s="28">
        <v>0.2432432432432432</v>
      </c>
      <c r="AR431" s="28">
        <v>0.21021021021021019</v>
      </c>
      <c r="AS431" s="25">
        <v>1.6</v>
      </c>
      <c r="AT431" s="25">
        <v>3.44</v>
      </c>
      <c r="AU431" s="25">
        <v>1.84</v>
      </c>
      <c r="AV431" s="25">
        <v>2.847857142857142</v>
      </c>
      <c r="AW431">
        <v>2.8478571428571429</v>
      </c>
      <c r="AX431">
        <v>6.402055730936417</v>
      </c>
      <c r="AY431" s="75"/>
      <c r="AZ431" s="75"/>
      <c r="BA431" s="75"/>
      <c r="BB431">
        <v>4.2317837683755161E-2</v>
      </c>
      <c r="BF431">
        <v>8.4635675367510321E-2</v>
      </c>
      <c r="BG431">
        <v>4.2317837683755161E-2</v>
      </c>
      <c r="BH431">
        <v>0</v>
      </c>
      <c r="BI431" s="79" t="s">
        <v>1264</v>
      </c>
      <c r="BJ431" s="79">
        <v>1273</v>
      </c>
      <c r="BK431" s="79">
        <v>48</v>
      </c>
      <c r="BM431" s="79" t="s">
        <v>1268</v>
      </c>
      <c r="BN431" s="79" t="s">
        <v>863</v>
      </c>
      <c r="BO431" s="79">
        <v>0.1</v>
      </c>
      <c r="BQ431" s="79">
        <v>2.5</v>
      </c>
      <c r="BR431" s="79">
        <v>20</v>
      </c>
      <c r="BS431" s="79" t="s">
        <v>464</v>
      </c>
      <c r="BT431" s="79" t="s">
        <v>464</v>
      </c>
      <c r="BU431" s="79" t="s">
        <v>1271</v>
      </c>
      <c r="BV431" s="79">
        <v>300</v>
      </c>
      <c r="BW431" s="79">
        <v>290</v>
      </c>
      <c r="BX431" s="79" t="s">
        <v>1311</v>
      </c>
      <c r="BY431" s="79">
        <v>303</v>
      </c>
      <c r="BZ431" s="81">
        <v>108</v>
      </c>
      <c r="CA431">
        <f t="shared" si="65"/>
        <v>4.6821312271242199</v>
      </c>
    </row>
    <row r="432" spans="1:79" x14ac:dyDescent="0.3">
      <c r="A432" s="2" t="s">
        <v>1373</v>
      </c>
      <c r="B432" s="13"/>
      <c r="C432" s="13"/>
      <c r="D432" s="2">
        <v>2.29</v>
      </c>
      <c r="E432" s="2" t="s">
        <v>218</v>
      </c>
      <c r="F432" s="9">
        <v>-1</v>
      </c>
      <c r="G432">
        <v>-1</v>
      </c>
      <c r="I432" s="2">
        <v>1</v>
      </c>
      <c r="J432" s="25">
        <v>0</v>
      </c>
      <c r="K432">
        <v>0</v>
      </c>
      <c r="L432">
        <v>0</v>
      </c>
      <c r="M432" s="2">
        <v>3.93</v>
      </c>
      <c r="N432" s="2">
        <v>3.93</v>
      </c>
      <c r="O432" s="2">
        <v>15.3</v>
      </c>
      <c r="P432" s="2"/>
      <c r="Q432" s="2"/>
      <c r="R432" s="25">
        <v>0</v>
      </c>
      <c r="S432" s="25"/>
      <c r="T432" s="25"/>
      <c r="U432">
        <v>0</v>
      </c>
      <c r="X432">
        <v>0</v>
      </c>
      <c r="AA432" s="2"/>
      <c r="AB432">
        <v>20</v>
      </c>
      <c r="AC432" s="55">
        <f t="shared" ref="AC432" si="89">M432*N432*O432</f>
        <v>236.30697000000001</v>
      </c>
      <c r="AD432" s="57">
        <v>0</v>
      </c>
      <c r="AE432" s="55">
        <v>0</v>
      </c>
      <c r="AF432" s="55">
        <v>0</v>
      </c>
      <c r="AG432" s="52">
        <f t="shared" ref="AG432" si="90">I432*AB432/AC432</f>
        <v>8.4635675367510321E-2</v>
      </c>
      <c r="AH432" s="51"/>
      <c r="AI432" s="52"/>
      <c r="AJ432" s="52"/>
      <c r="AK432" s="28">
        <v>1.714285714285714</v>
      </c>
      <c r="AL432" s="28">
        <v>2.6190476190476191</v>
      </c>
      <c r="AM432" s="28">
        <v>1.9285714285714279</v>
      </c>
      <c r="AN432" s="28">
        <v>1.666666666666667</v>
      </c>
      <c r="AO432" s="28">
        <v>0.2162162162162162</v>
      </c>
      <c r="AP432" s="28">
        <v>0.33033033033033038</v>
      </c>
      <c r="AQ432" s="28">
        <v>0.2432432432432432</v>
      </c>
      <c r="AR432" s="28">
        <v>0.21021021021021019</v>
      </c>
      <c r="AS432" s="25">
        <v>1.6</v>
      </c>
      <c r="AT432" s="25">
        <v>3.44</v>
      </c>
      <c r="AU432" s="25">
        <v>1.84</v>
      </c>
      <c r="AV432" s="25">
        <v>2.847857142857142</v>
      </c>
      <c r="AW432">
        <v>2.8478571428571429</v>
      </c>
      <c r="AX432">
        <v>6.402055730936417</v>
      </c>
      <c r="AY432" s="75"/>
      <c r="AZ432" s="75"/>
      <c r="BA432" s="75"/>
      <c r="BB432">
        <v>4.2317837683755161E-2</v>
      </c>
      <c r="BF432">
        <v>8.4635675367510321E-2</v>
      </c>
      <c r="BG432">
        <v>4.2317837683755161E-2</v>
      </c>
      <c r="BH432">
        <v>0</v>
      </c>
      <c r="BI432" s="79" t="s">
        <v>1264</v>
      </c>
      <c r="BJ432" s="79">
        <v>1273</v>
      </c>
      <c r="BK432" s="79">
        <v>48</v>
      </c>
      <c r="BM432" s="79" t="s">
        <v>1268</v>
      </c>
      <c r="BN432" s="79" t="s">
        <v>863</v>
      </c>
      <c r="BO432" s="79">
        <v>0.1</v>
      </c>
      <c r="BQ432" s="79">
        <v>2.5</v>
      </c>
      <c r="BR432" s="79">
        <v>20</v>
      </c>
      <c r="BS432" s="79" t="s">
        <v>464</v>
      </c>
      <c r="BT432" s="79" t="s">
        <v>464</v>
      </c>
      <c r="BU432" s="79" t="s">
        <v>1271</v>
      </c>
      <c r="BV432" s="79">
        <v>300</v>
      </c>
      <c r="BW432" s="79">
        <v>290</v>
      </c>
      <c r="BX432" s="79" t="s">
        <v>1311</v>
      </c>
      <c r="BY432" s="79">
        <v>303</v>
      </c>
      <c r="BZ432" s="81">
        <v>92</v>
      </c>
      <c r="CA432">
        <f t="shared" si="65"/>
        <v>4.5217885770490405</v>
      </c>
    </row>
    <row r="433" spans="1:79" x14ac:dyDescent="0.3">
      <c r="A433" s="2" t="s">
        <v>1374</v>
      </c>
      <c r="B433" s="13"/>
      <c r="C433" s="13"/>
      <c r="D433" s="2">
        <v>2.29</v>
      </c>
      <c r="E433" s="2" t="s">
        <v>218</v>
      </c>
      <c r="F433" s="9">
        <v>-1</v>
      </c>
      <c r="G433">
        <v>-1</v>
      </c>
      <c r="I433" s="2">
        <v>1</v>
      </c>
      <c r="J433" s="25">
        <v>0</v>
      </c>
      <c r="K433">
        <v>0</v>
      </c>
      <c r="L433">
        <v>0</v>
      </c>
      <c r="M433" s="2">
        <v>3.93</v>
      </c>
      <c r="N433" s="2">
        <v>3.93</v>
      </c>
      <c r="O433" s="2">
        <v>15.3</v>
      </c>
      <c r="P433" s="2"/>
      <c r="Q433" s="2"/>
      <c r="R433" s="25">
        <v>0</v>
      </c>
      <c r="S433" s="25"/>
      <c r="T433" s="25"/>
      <c r="U433">
        <v>0</v>
      </c>
      <c r="X433">
        <v>0</v>
      </c>
      <c r="AA433" s="2"/>
      <c r="AB433">
        <v>20</v>
      </c>
      <c r="AC433" s="55">
        <f t="shared" si="70"/>
        <v>236.30697000000001</v>
      </c>
      <c r="AD433" s="57">
        <v>0</v>
      </c>
      <c r="AE433" s="55">
        <v>0</v>
      </c>
      <c r="AF433" s="55">
        <v>0</v>
      </c>
      <c r="AG433" s="52">
        <f t="shared" si="86"/>
        <v>8.4635675367510321E-2</v>
      </c>
      <c r="AH433" s="51"/>
      <c r="AI433" s="52"/>
      <c r="AJ433" s="52"/>
      <c r="AK433" s="28">
        <v>1.714285714285714</v>
      </c>
      <c r="AL433" s="28">
        <v>2.6190476190476191</v>
      </c>
      <c r="AM433" s="28">
        <v>1.9285714285714279</v>
      </c>
      <c r="AN433" s="28">
        <v>1.666666666666667</v>
      </c>
      <c r="AO433" s="28">
        <v>0.2162162162162162</v>
      </c>
      <c r="AP433" s="28">
        <v>0.33033033033033038</v>
      </c>
      <c r="AQ433" s="28">
        <v>0.2432432432432432</v>
      </c>
      <c r="AR433" s="28">
        <v>0.21021021021021019</v>
      </c>
      <c r="AS433" s="25">
        <v>1.6</v>
      </c>
      <c r="AT433" s="25">
        <v>3.44</v>
      </c>
      <c r="AU433" s="25">
        <v>1.84</v>
      </c>
      <c r="AV433" s="25">
        <v>2.847857142857142</v>
      </c>
      <c r="AW433">
        <v>2.8478571428571429</v>
      </c>
      <c r="AX433">
        <v>6.402055730936417</v>
      </c>
      <c r="AY433" s="75"/>
      <c r="AZ433" s="75"/>
      <c r="BA433" s="75"/>
      <c r="BB433">
        <v>4.2317837683755161E-2</v>
      </c>
      <c r="BF433">
        <v>8.4635675367510321E-2</v>
      </c>
      <c r="BG433">
        <v>4.2317837683755161E-2</v>
      </c>
      <c r="BH433">
        <v>0</v>
      </c>
      <c r="BI433" s="79" t="s">
        <v>1264</v>
      </c>
      <c r="BJ433" s="79">
        <v>1273</v>
      </c>
      <c r="BK433" s="79">
        <v>48</v>
      </c>
      <c r="BM433" s="79" t="s">
        <v>1268</v>
      </c>
      <c r="BN433" s="79" t="s">
        <v>863</v>
      </c>
      <c r="BO433" s="79">
        <v>0.1</v>
      </c>
      <c r="BQ433" s="79">
        <v>2.5</v>
      </c>
      <c r="BR433" s="79">
        <v>20</v>
      </c>
      <c r="BS433" s="79" t="s">
        <v>464</v>
      </c>
      <c r="BT433" s="79" t="s">
        <v>464</v>
      </c>
      <c r="BU433" s="79" t="s">
        <v>1271</v>
      </c>
      <c r="BV433" s="79">
        <v>300</v>
      </c>
      <c r="BW433" s="79">
        <v>290</v>
      </c>
      <c r="BX433" s="79" t="s">
        <v>1311</v>
      </c>
      <c r="BY433" s="79">
        <v>303</v>
      </c>
      <c r="BZ433" s="81">
        <v>45</v>
      </c>
      <c r="CA433">
        <f t="shared" si="65"/>
        <v>3.8066624897703196</v>
      </c>
    </row>
    <row r="434" spans="1:79" x14ac:dyDescent="0.3">
      <c r="A434" s="2" t="s">
        <v>1375</v>
      </c>
      <c r="B434" s="13"/>
      <c r="C434" s="13"/>
      <c r="D434" s="2">
        <v>2.29</v>
      </c>
      <c r="E434" s="2" t="s">
        <v>218</v>
      </c>
      <c r="F434" s="9">
        <v>-1</v>
      </c>
      <c r="G434">
        <v>-1</v>
      </c>
      <c r="I434" s="2">
        <v>1</v>
      </c>
      <c r="J434" s="25">
        <v>0</v>
      </c>
      <c r="K434">
        <v>0</v>
      </c>
      <c r="L434">
        <v>0</v>
      </c>
      <c r="M434" s="2">
        <v>3.93</v>
      </c>
      <c r="N434" s="2">
        <v>3.93</v>
      </c>
      <c r="O434" s="2">
        <v>15.3</v>
      </c>
      <c r="P434" s="2"/>
      <c r="Q434" s="2"/>
      <c r="R434" s="25">
        <v>0</v>
      </c>
      <c r="S434" s="25"/>
      <c r="T434" s="25"/>
      <c r="U434">
        <v>0</v>
      </c>
      <c r="X434">
        <v>0</v>
      </c>
      <c r="AA434" s="2"/>
      <c r="AB434">
        <v>20</v>
      </c>
      <c r="AC434" s="55">
        <f t="shared" ref="AC434:AC439" si="91">M434*N434*O434</f>
        <v>236.30697000000001</v>
      </c>
      <c r="AD434" s="57">
        <v>0</v>
      </c>
      <c r="AE434" s="55">
        <v>0</v>
      </c>
      <c r="AF434" s="55">
        <v>0</v>
      </c>
      <c r="AG434" s="52">
        <f t="shared" ref="AG434:AG439" si="92">I434*AB434/AC434</f>
        <v>8.4635675367510321E-2</v>
      </c>
      <c r="AH434" s="51"/>
      <c r="AI434" s="52"/>
      <c r="AJ434" s="52"/>
      <c r="AK434" s="28">
        <v>1.714285714285714</v>
      </c>
      <c r="AL434" s="28">
        <v>2.6190476190476191</v>
      </c>
      <c r="AM434" s="28">
        <v>1.9285714285714279</v>
      </c>
      <c r="AN434" s="28">
        <v>1.666666666666667</v>
      </c>
      <c r="AO434" s="28">
        <v>0.2162162162162162</v>
      </c>
      <c r="AP434" s="28">
        <v>0.33033033033033038</v>
      </c>
      <c r="AQ434" s="28">
        <v>0.2432432432432432</v>
      </c>
      <c r="AR434" s="28">
        <v>0.21021021021021019</v>
      </c>
      <c r="AS434" s="25">
        <v>1.6</v>
      </c>
      <c r="AT434" s="25">
        <v>3.44</v>
      </c>
      <c r="AU434" s="25">
        <v>1.84</v>
      </c>
      <c r="AV434" s="25">
        <v>2.847857142857142</v>
      </c>
      <c r="AW434">
        <v>2.8478571428571429</v>
      </c>
      <c r="AX434">
        <v>6.402055730936417</v>
      </c>
      <c r="AY434" s="75"/>
      <c r="AZ434" s="75"/>
      <c r="BA434" s="75"/>
      <c r="BB434">
        <v>4.2317837683755161E-2</v>
      </c>
      <c r="BF434">
        <v>8.4635675367510321E-2</v>
      </c>
      <c r="BG434">
        <v>4.2317837683755161E-2</v>
      </c>
      <c r="BH434">
        <v>0</v>
      </c>
      <c r="BI434" s="79" t="s">
        <v>1264</v>
      </c>
      <c r="BJ434" s="79">
        <v>1273</v>
      </c>
      <c r="BK434" s="79">
        <v>48</v>
      </c>
      <c r="BM434" s="79" t="s">
        <v>1268</v>
      </c>
      <c r="BN434" s="79" t="s">
        <v>863</v>
      </c>
      <c r="BO434" s="79">
        <v>0.1</v>
      </c>
      <c r="BQ434" s="79">
        <v>2.5</v>
      </c>
      <c r="BR434" s="79">
        <v>20</v>
      </c>
      <c r="BS434" s="79" t="s">
        <v>464</v>
      </c>
      <c r="BT434" s="79" t="s">
        <v>464</v>
      </c>
      <c r="BU434" s="79" t="s">
        <v>1271</v>
      </c>
      <c r="BV434" s="79">
        <v>300</v>
      </c>
      <c r="BW434" s="79">
        <v>290</v>
      </c>
      <c r="BX434" s="79" t="s">
        <v>1311</v>
      </c>
      <c r="BY434" s="79">
        <v>303</v>
      </c>
      <c r="BZ434" s="81">
        <v>20</v>
      </c>
      <c r="CA434">
        <f t="shared" si="65"/>
        <v>2.9957322735539909</v>
      </c>
    </row>
    <row r="435" spans="1:79" x14ac:dyDescent="0.3">
      <c r="A435" s="2" t="s">
        <v>217</v>
      </c>
      <c r="B435" s="13" t="s">
        <v>806</v>
      </c>
      <c r="C435" s="13"/>
      <c r="D435" s="2">
        <v>2.58</v>
      </c>
      <c r="E435" s="2" t="s">
        <v>218</v>
      </c>
      <c r="F435" s="9">
        <v>-1</v>
      </c>
      <c r="G435">
        <v>-1</v>
      </c>
      <c r="I435" s="2">
        <v>1</v>
      </c>
      <c r="J435" s="25">
        <v>0</v>
      </c>
      <c r="K435">
        <v>0</v>
      </c>
      <c r="L435">
        <v>0</v>
      </c>
      <c r="M435" s="2">
        <v>3.93</v>
      </c>
      <c r="N435" s="2">
        <v>3.93</v>
      </c>
      <c r="O435" s="2">
        <v>15.3</v>
      </c>
      <c r="P435" s="2"/>
      <c r="Q435" s="2"/>
      <c r="R435" s="25">
        <v>0</v>
      </c>
      <c r="S435" s="25"/>
      <c r="T435" s="25"/>
      <c r="U435">
        <v>0</v>
      </c>
      <c r="X435">
        <v>0</v>
      </c>
      <c r="AA435" s="2"/>
      <c r="AB435">
        <v>20</v>
      </c>
      <c r="AC435" s="55">
        <f t="shared" si="91"/>
        <v>236.30697000000001</v>
      </c>
      <c r="AD435" s="57">
        <v>0</v>
      </c>
      <c r="AE435" s="55">
        <v>0</v>
      </c>
      <c r="AF435" s="55">
        <v>0</v>
      </c>
      <c r="AG435" s="52">
        <f t="shared" si="92"/>
        <v>8.4635675367510321E-2</v>
      </c>
      <c r="AH435" s="51"/>
      <c r="AI435" s="52"/>
      <c r="AJ435" s="52"/>
      <c r="AK435" s="28">
        <v>1.75</v>
      </c>
      <c r="AL435" s="28">
        <v>2.75</v>
      </c>
      <c r="AM435" s="28">
        <v>2</v>
      </c>
      <c r="AN435" s="28">
        <v>1.75</v>
      </c>
      <c r="AO435" s="28">
        <v>0.2121212121212121</v>
      </c>
      <c r="AP435" s="28">
        <v>0.33333333333333331</v>
      </c>
      <c r="AQ435" s="28">
        <v>0.2424242424242424</v>
      </c>
      <c r="AR435" s="28">
        <v>0.2121212121212121</v>
      </c>
      <c r="AS435" s="25">
        <v>1.6</v>
      </c>
      <c r="AT435" s="25">
        <v>3.44</v>
      </c>
      <c r="AU435" s="25">
        <v>1.84</v>
      </c>
      <c r="AV435" s="25">
        <v>2.8787500000000001</v>
      </c>
      <c r="AW435">
        <v>2.8787500000000001</v>
      </c>
      <c r="AX435">
        <v>6.3662565249906873</v>
      </c>
      <c r="AY435" s="75"/>
      <c r="AZ435" s="75"/>
      <c r="BA435" s="75"/>
      <c r="BB435">
        <v>4.2317837683755161E-2</v>
      </c>
      <c r="BF435">
        <v>8.4635675367510321E-2</v>
      </c>
      <c r="BG435">
        <v>4.2317837683755161E-2</v>
      </c>
      <c r="BH435">
        <v>0</v>
      </c>
      <c r="BI435" s="79" t="s">
        <v>1264</v>
      </c>
      <c r="BJ435" s="79">
        <v>1273</v>
      </c>
      <c r="BK435" s="79">
        <v>48</v>
      </c>
      <c r="BM435" s="79" t="s">
        <v>1268</v>
      </c>
      <c r="BN435" s="79" t="s">
        <v>863</v>
      </c>
      <c r="BO435" s="79">
        <v>0.1</v>
      </c>
      <c r="BQ435" s="79">
        <v>2.5</v>
      </c>
      <c r="BR435" s="79">
        <v>20</v>
      </c>
      <c r="BS435" s="79" t="s">
        <v>464</v>
      </c>
      <c r="BT435" s="79" t="s">
        <v>464</v>
      </c>
      <c r="BU435" s="79" t="s">
        <v>1271</v>
      </c>
      <c r="BV435" s="79">
        <v>300</v>
      </c>
      <c r="BW435" s="79">
        <v>400</v>
      </c>
      <c r="BX435" s="79" t="s">
        <v>1311</v>
      </c>
      <c r="BY435" s="79">
        <v>303</v>
      </c>
      <c r="BZ435" s="81">
        <v>12</v>
      </c>
      <c r="CA435">
        <f t="shared" si="65"/>
        <v>2.4849066497880004</v>
      </c>
    </row>
    <row r="436" spans="1:79" x14ac:dyDescent="0.3">
      <c r="A436" s="2" t="s">
        <v>1371</v>
      </c>
      <c r="B436" s="13"/>
      <c r="C436" s="13"/>
      <c r="D436" s="2">
        <v>2.29</v>
      </c>
      <c r="E436" s="2" t="s">
        <v>218</v>
      </c>
      <c r="F436" s="9">
        <v>-1</v>
      </c>
      <c r="G436">
        <v>-1</v>
      </c>
      <c r="I436" s="2">
        <v>1</v>
      </c>
      <c r="J436" s="25">
        <v>0</v>
      </c>
      <c r="K436">
        <v>0</v>
      </c>
      <c r="L436">
        <v>0</v>
      </c>
      <c r="M436" s="2">
        <v>3.93</v>
      </c>
      <c r="N436" s="2">
        <v>3.93</v>
      </c>
      <c r="O436" s="2">
        <v>15.3</v>
      </c>
      <c r="P436" s="2"/>
      <c r="Q436" s="2"/>
      <c r="R436" s="25">
        <v>0</v>
      </c>
      <c r="S436" s="25"/>
      <c r="T436" s="25"/>
      <c r="U436">
        <v>0</v>
      </c>
      <c r="X436">
        <v>0</v>
      </c>
      <c r="AA436" s="2"/>
      <c r="AB436">
        <v>20</v>
      </c>
      <c r="AC436" s="55">
        <f t="shared" si="91"/>
        <v>236.30697000000001</v>
      </c>
      <c r="AD436" s="57">
        <v>0</v>
      </c>
      <c r="AE436" s="55">
        <v>0</v>
      </c>
      <c r="AF436" s="55">
        <v>0</v>
      </c>
      <c r="AG436" s="52">
        <f t="shared" si="92"/>
        <v>8.4635675367510321E-2</v>
      </c>
      <c r="AH436" s="51"/>
      <c r="AI436" s="52"/>
      <c r="AJ436" s="52"/>
      <c r="AK436" s="28">
        <v>1.714285714285714</v>
      </c>
      <c r="AL436" s="28">
        <v>2.6190476190476191</v>
      </c>
      <c r="AM436" s="28">
        <v>1.9285714285714279</v>
      </c>
      <c r="AN436" s="28">
        <v>1.666666666666667</v>
      </c>
      <c r="AO436" s="28">
        <v>0.2162162162162162</v>
      </c>
      <c r="AP436" s="28">
        <v>0.33033033033033038</v>
      </c>
      <c r="AQ436" s="28">
        <v>0.2432432432432432</v>
      </c>
      <c r="AR436" s="28">
        <v>0.21021021021021019</v>
      </c>
      <c r="AS436" s="25">
        <v>1.6</v>
      </c>
      <c r="AT436" s="25">
        <v>3.44</v>
      </c>
      <c r="AU436" s="25">
        <v>1.84</v>
      </c>
      <c r="AV436" s="25">
        <v>2.847857142857142</v>
      </c>
      <c r="AW436">
        <v>2.8478571428571429</v>
      </c>
      <c r="AX436">
        <v>6.402055730936417</v>
      </c>
      <c r="AY436" s="75"/>
      <c r="AZ436" s="75"/>
      <c r="BA436" s="75"/>
      <c r="BB436">
        <v>4.2317837683755161E-2</v>
      </c>
      <c r="BF436">
        <v>8.4635675367510321E-2</v>
      </c>
      <c r="BG436">
        <v>4.2317837683755161E-2</v>
      </c>
      <c r="BH436">
        <v>0</v>
      </c>
      <c r="BI436" s="79" t="s">
        <v>1264</v>
      </c>
      <c r="BJ436" s="79">
        <v>1273</v>
      </c>
      <c r="BK436" s="79">
        <v>48</v>
      </c>
      <c r="BM436" s="79" t="s">
        <v>1268</v>
      </c>
      <c r="BN436" s="79" t="s">
        <v>863</v>
      </c>
      <c r="BO436" s="79">
        <v>0.1</v>
      </c>
      <c r="BQ436" s="79">
        <v>2.5</v>
      </c>
      <c r="BR436" s="79">
        <v>20</v>
      </c>
      <c r="BS436" s="79" t="s">
        <v>464</v>
      </c>
      <c r="BT436" s="79" t="s">
        <v>464</v>
      </c>
      <c r="BU436" s="79" t="s">
        <v>1271</v>
      </c>
      <c r="BV436" s="79">
        <v>300</v>
      </c>
      <c r="BW436" s="79">
        <v>400</v>
      </c>
      <c r="BX436" s="79" t="s">
        <v>1311</v>
      </c>
      <c r="BY436" s="79">
        <v>303</v>
      </c>
      <c r="BZ436" s="81">
        <v>14.5</v>
      </c>
      <c r="CA436">
        <f t="shared" si="65"/>
        <v>2.6741486494265287</v>
      </c>
    </row>
    <row r="437" spans="1:79" x14ac:dyDescent="0.3">
      <c r="A437" s="2" t="s">
        <v>1372</v>
      </c>
      <c r="B437" s="13"/>
      <c r="C437" s="13"/>
      <c r="D437" s="2">
        <v>2.29</v>
      </c>
      <c r="E437" s="2" t="s">
        <v>218</v>
      </c>
      <c r="F437" s="9">
        <v>-1</v>
      </c>
      <c r="G437">
        <v>-1</v>
      </c>
      <c r="I437" s="2">
        <v>1</v>
      </c>
      <c r="J437" s="25">
        <v>0</v>
      </c>
      <c r="K437">
        <v>0</v>
      </c>
      <c r="L437">
        <v>0</v>
      </c>
      <c r="M437" s="2">
        <v>3.93</v>
      </c>
      <c r="N437" s="2">
        <v>3.93</v>
      </c>
      <c r="O437" s="2">
        <v>15.3</v>
      </c>
      <c r="P437" s="2"/>
      <c r="Q437" s="2"/>
      <c r="R437" s="25">
        <v>0</v>
      </c>
      <c r="S437" s="25"/>
      <c r="T437" s="25"/>
      <c r="U437">
        <v>0</v>
      </c>
      <c r="X437">
        <v>0</v>
      </c>
      <c r="AA437" s="2"/>
      <c r="AB437">
        <v>20</v>
      </c>
      <c r="AC437" s="55">
        <f t="shared" si="91"/>
        <v>236.30697000000001</v>
      </c>
      <c r="AD437" s="57">
        <v>0</v>
      </c>
      <c r="AE437" s="55">
        <v>0</v>
      </c>
      <c r="AF437" s="55">
        <v>0</v>
      </c>
      <c r="AG437" s="52">
        <f t="shared" si="92"/>
        <v>8.4635675367510321E-2</v>
      </c>
      <c r="AH437" s="51"/>
      <c r="AI437" s="52"/>
      <c r="AJ437" s="52"/>
      <c r="AK437" s="28">
        <v>1.714285714285714</v>
      </c>
      <c r="AL437" s="28">
        <v>2.6190476190476191</v>
      </c>
      <c r="AM437" s="28">
        <v>1.9285714285714279</v>
      </c>
      <c r="AN437" s="28">
        <v>1.666666666666667</v>
      </c>
      <c r="AO437" s="28">
        <v>0.2162162162162162</v>
      </c>
      <c r="AP437" s="28">
        <v>0.33033033033033038</v>
      </c>
      <c r="AQ437" s="28">
        <v>0.2432432432432432</v>
      </c>
      <c r="AR437" s="28">
        <v>0.21021021021021019</v>
      </c>
      <c r="AS437" s="25">
        <v>1.6</v>
      </c>
      <c r="AT437" s="25">
        <v>3.44</v>
      </c>
      <c r="AU437" s="25">
        <v>1.84</v>
      </c>
      <c r="AV437" s="25">
        <v>2.847857142857142</v>
      </c>
      <c r="AW437">
        <v>2.8478571428571429</v>
      </c>
      <c r="AX437">
        <v>6.402055730936417</v>
      </c>
      <c r="AY437" s="75"/>
      <c r="AZ437" s="75"/>
      <c r="BA437" s="75"/>
      <c r="BB437">
        <v>4.2317837683755161E-2</v>
      </c>
      <c r="BF437">
        <v>8.4635675367510321E-2</v>
      </c>
      <c r="BG437">
        <v>4.2317837683755161E-2</v>
      </c>
      <c r="BH437">
        <v>0</v>
      </c>
      <c r="BI437" s="79" t="s">
        <v>1264</v>
      </c>
      <c r="BJ437" s="79">
        <v>1273</v>
      </c>
      <c r="BK437" s="79">
        <v>48</v>
      </c>
      <c r="BM437" s="79" t="s">
        <v>1268</v>
      </c>
      <c r="BN437" s="79" t="s">
        <v>863</v>
      </c>
      <c r="BO437" s="79">
        <v>0.1</v>
      </c>
      <c r="BQ437" s="79">
        <v>2.5</v>
      </c>
      <c r="BR437" s="79">
        <v>20</v>
      </c>
      <c r="BS437" s="79" t="s">
        <v>464</v>
      </c>
      <c r="BT437" s="79" t="s">
        <v>464</v>
      </c>
      <c r="BU437" s="79" t="s">
        <v>1271</v>
      </c>
      <c r="BV437" s="79">
        <v>300</v>
      </c>
      <c r="BW437" s="79">
        <v>400</v>
      </c>
      <c r="BX437" s="79" t="s">
        <v>1311</v>
      </c>
      <c r="BY437" s="79">
        <v>303</v>
      </c>
      <c r="BZ437" s="81">
        <v>26</v>
      </c>
      <c r="CA437">
        <f t="shared" si="65"/>
        <v>3.2580965380214821</v>
      </c>
    </row>
    <row r="438" spans="1:79" x14ac:dyDescent="0.3">
      <c r="A438" s="2" t="s">
        <v>1373</v>
      </c>
      <c r="B438" s="13"/>
      <c r="C438" s="13"/>
      <c r="D438" s="2">
        <v>2.29</v>
      </c>
      <c r="E438" s="2" t="s">
        <v>218</v>
      </c>
      <c r="F438" s="9">
        <v>-1</v>
      </c>
      <c r="G438">
        <v>-1</v>
      </c>
      <c r="I438" s="2">
        <v>1</v>
      </c>
      <c r="J438" s="25">
        <v>0</v>
      </c>
      <c r="K438">
        <v>0</v>
      </c>
      <c r="L438">
        <v>0</v>
      </c>
      <c r="M438" s="2">
        <v>3.93</v>
      </c>
      <c r="N438" s="2">
        <v>3.93</v>
      </c>
      <c r="O438" s="2">
        <v>15.3</v>
      </c>
      <c r="P438" s="2"/>
      <c r="Q438" s="2"/>
      <c r="R438" s="25">
        <v>0</v>
      </c>
      <c r="S438" s="25"/>
      <c r="T438" s="25"/>
      <c r="U438">
        <v>0</v>
      </c>
      <c r="X438">
        <v>0</v>
      </c>
      <c r="AA438" s="2"/>
      <c r="AB438">
        <v>20</v>
      </c>
      <c r="AC438" s="55">
        <f t="shared" si="91"/>
        <v>236.30697000000001</v>
      </c>
      <c r="AD438" s="57">
        <v>0</v>
      </c>
      <c r="AE438" s="55">
        <v>0</v>
      </c>
      <c r="AF438" s="55">
        <v>0</v>
      </c>
      <c r="AG438" s="52">
        <f t="shared" si="92"/>
        <v>8.4635675367510321E-2</v>
      </c>
      <c r="AH438" s="51"/>
      <c r="AI438" s="52"/>
      <c r="AJ438" s="52"/>
      <c r="AK438" s="28">
        <v>1.714285714285714</v>
      </c>
      <c r="AL438" s="28">
        <v>2.6190476190476191</v>
      </c>
      <c r="AM438" s="28">
        <v>1.9285714285714279</v>
      </c>
      <c r="AN438" s="28">
        <v>1.666666666666667</v>
      </c>
      <c r="AO438" s="28">
        <v>0.2162162162162162</v>
      </c>
      <c r="AP438" s="28">
        <v>0.33033033033033038</v>
      </c>
      <c r="AQ438" s="28">
        <v>0.2432432432432432</v>
      </c>
      <c r="AR438" s="28">
        <v>0.21021021021021019</v>
      </c>
      <c r="AS438" s="25">
        <v>1.6</v>
      </c>
      <c r="AT438" s="25">
        <v>3.44</v>
      </c>
      <c r="AU438" s="25">
        <v>1.84</v>
      </c>
      <c r="AV438" s="25">
        <v>2.847857142857142</v>
      </c>
      <c r="AW438">
        <v>2.8478571428571429</v>
      </c>
      <c r="AX438">
        <v>6.402055730936417</v>
      </c>
      <c r="AY438" s="75"/>
      <c r="AZ438" s="75"/>
      <c r="BA438" s="75"/>
      <c r="BB438">
        <v>4.2317837683755161E-2</v>
      </c>
      <c r="BF438">
        <v>8.4635675367510321E-2</v>
      </c>
      <c r="BG438">
        <v>4.2317837683755161E-2</v>
      </c>
      <c r="BH438">
        <v>0</v>
      </c>
      <c r="BI438" s="79" t="s">
        <v>1264</v>
      </c>
      <c r="BJ438" s="79">
        <v>1273</v>
      </c>
      <c r="BK438" s="79">
        <v>48</v>
      </c>
      <c r="BM438" s="79" t="s">
        <v>1268</v>
      </c>
      <c r="BN438" s="79" t="s">
        <v>863</v>
      </c>
      <c r="BO438" s="79">
        <v>0.1</v>
      </c>
      <c r="BQ438" s="79">
        <v>2.5</v>
      </c>
      <c r="BR438" s="79">
        <v>20</v>
      </c>
      <c r="BS438" s="79" t="s">
        <v>464</v>
      </c>
      <c r="BT438" s="79" t="s">
        <v>464</v>
      </c>
      <c r="BU438" s="79" t="s">
        <v>1271</v>
      </c>
      <c r="BV438" s="79">
        <v>300</v>
      </c>
      <c r="BW438" s="79">
        <v>400</v>
      </c>
      <c r="BX438" s="79" t="s">
        <v>1311</v>
      </c>
      <c r="BY438" s="79">
        <v>303</v>
      </c>
      <c r="BZ438" s="81">
        <v>23</v>
      </c>
      <c r="CA438">
        <f t="shared" si="65"/>
        <v>3.1354942159291497</v>
      </c>
    </row>
    <row r="439" spans="1:79" x14ac:dyDescent="0.3">
      <c r="A439" s="2" t="s">
        <v>1374</v>
      </c>
      <c r="B439" s="13"/>
      <c r="C439" s="13"/>
      <c r="D439" s="2">
        <v>2.29</v>
      </c>
      <c r="E439" s="2" t="s">
        <v>218</v>
      </c>
      <c r="F439" s="9">
        <v>-1</v>
      </c>
      <c r="G439">
        <v>-1</v>
      </c>
      <c r="I439" s="2">
        <v>1</v>
      </c>
      <c r="J439" s="25">
        <v>0</v>
      </c>
      <c r="K439">
        <v>0</v>
      </c>
      <c r="L439">
        <v>0</v>
      </c>
      <c r="M439" s="2">
        <v>3.93</v>
      </c>
      <c r="N439" s="2">
        <v>3.93</v>
      </c>
      <c r="O439" s="2">
        <v>15.3</v>
      </c>
      <c r="P439" s="2"/>
      <c r="Q439" s="2"/>
      <c r="R439" s="25">
        <v>0</v>
      </c>
      <c r="S439" s="25"/>
      <c r="T439" s="25"/>
      <c r="U439">
        <v>0</v>
      </c>
      <c r="X439">
        <v>0</v>
      </c>
      <c r="AA439" s="2"/>
      <c r="AB439">
        <v>20</v>
      </c>
      <c r="AC439" s="55">
        <f t="shared" si="91"/>
        <v>236.30697000000001</v>
      </c>
      <c r="AD439" s="57">
        <v>0</v>
      </c>
      <c r="AE439" s="55">
        <v>0</v>
      </c>
      <c r="AF439" s="55">
        <v>0</v>
      </c>
      <c r="AG439" s="52">
        <f t="shared" si="92"/>
        <v>8.4635675367510321E-2</v>
      </c>
      <c r="AH439" s="51"/>
      <c r="AI439" s="52"/>
      <c r="AJ439" s="52"/>
      <c r="AK439" s="28">
        <v>1.714285714285714</v>
      </c>
      <c r="AL439" s="28">
        <v>2.6190476190476191</v>
      </c>
      <c r="AM439" s="28">
        <v>1.9285714285714279</v>
      </c>
      <c r="AN439" s="28">
        <v>1.666666666666667</v>
      </c>
      <c r="AO439" s="28">
        <v>0.2162162162162162</v>
      </c>
      <c r="AP439" s="28">
        <v>0.33033033033033038</v>
      </c>
      <c r="AQ439" s="28">
        <v>0.2432432432432432</v>
      </c>
      <c r="AR439" s="28">
        <v>0.21021021021021019</v>
      </c>
      <c r="AS439" s="25">
        <v>1.6</v>
      </c>
      <c r="AT439" s="25">
        <v>3.44</v>
      </c>
      <c r="AU439" s="25">
        <v>1.84</v>
      </c>
      <c r="AV439" s="25">
        <v>2.847857142857142</v>
      </c>
      <c r="AW439">
        <v>2.8478571428571429</v>
      </c>
      <c r="AX439">
        <v>6.402055730936417</v>
      </c>
      <c r="AY439" s="75"/>
      <c r="AZ439" s="75"/>
      <c r="BA439" s="75"/>
      <c r="BB439">
        <v>4.2317837683755161E-2</v>
      </c>
      <c r="BF439">
        <v>8.4635675367510321E-2</v>
      </c>
      <c r="BG439">
        <v>4.2317837683755161E-2</v>
      </c>
      <c r="BH439">
        <v>0</v>
      </c>
      <c r="BI439" s="79" t="s">
        <v>1264</v>
      </c>
      <c r="BJ439" s="79">
        <v>1273</v>
      </c>
      <c r="BK439" s="79">
        <v>48</v>
      </c>
      <c r="BM439" s="79" t="s">
        <v>1268</v>
      </c>
      <c r="BN439" s="79" t="s">
        <v>863</v>
      </c>
      <c r="BO439" s="79">
        <v>0.1</v>
      </c>
      <c r="BQ439" s="79">
        <v>2.5</v>
      </c>
      <c r="BR439" s="79">
        <v>20</v>
      </c>
      <c r="BS439" s="79" t="s">
        <v>464</v>
      </c>
      <c r="BT439" s="79" t="s">
        <v>464</v>
      </c>
      <c r="BU439" s="79" t="s">
        <v>1271</v>
      </c>
      <c r="BV439" s="79">
        <v>300</v>
      </c>
      <c r="BW439" s="79">
        <v>400</v>
      </c>
      <c r="BX439" s="79" t="s">
        <v>1311</v>
      </c>
      <c r="BY439" s="79">
        <v>303</v>
      </c>
      <c r="BZ439" s="81">
        <v>22</v>
      </c>
      <c r="CA439">
        <f t="shared" si="65"/>
        <v>3.0910424533583161</v>
      </c>
    </row>
    <row r="440" spans="1:79" x14ac:dyDescent="0.3">
      <c r="A440" s="2" t="s">
        <v>1375</v>
      </c>
      <c r="B440" s="13"/>
      <c r="C440" s="13"/>
      <c r="D440" s="2">
        <v>2.29</v>
      </c>
      <c r="E440" s="2" t="s">
        <v>218</v>
      </c>
      <c r="F440" s="9">
        <v>-1</v>
      </c>
      <c r="G440">
        <v>-1</v>
      </c>
      <c r="I440" s="2">
        <v>1</v>
      </c>
      <c r="J440" s="25">
        <v>0</v>
      </c>
      <c r="K440">
        <v>0</v>
      </c>
      <c r="L440">
        <v>0</v>
      </c>
      <c r="M440" s="2">
        <v>3.93</v>
      </c>
      <c r="N440" s="2">
        <v>3.93</v>
      </c>
      <c r="O440" s="2">
        <v>15.3</v>
      </c>
      <c r="P440" s="2"/>
      <c r="Q440" s="2"/>
      <c r="R440" s="25">
        <v>0</v>
      </c>
      <c r="S440" s="25"/>
      <c r="T440" s="25"/>
      <c r="U440">
        <v>0</v>
      </c>
      <c r="X440">
        <v>0</v>
      </c>
      <c r="AA440" s="2"/>
      <c r="AB440">
        <v>20</v>
      </c>
      <c r="AC440" s="55">
        <f t="shared" ref="AC440" si="93">M440*N440*O440</f>
        <v>236.30697000000001</v>
      </c>
      <c r="AD440" s="57">
        <v>0</v>
      </c>
      <c r="AE440" s="55">
        <v>0</v>
      </c>
      <c r="AF440" s="55">
        <v>0</v>
      </c>
      <c r="AG440" s="52">
        <f t="shared" ref="AG440" si="94">I440*AB440/AC440</f>
        <v>8.4635675367510321E-2</v>
      </c>
      <c r="AH440" s="51"/>
      <c r="AI440" s="52"/>
      <c r="AJ440" s="52"/>
      <c r="AK440" s="28">
        <v>1.714285714285714</v>
      </c>
      <c r="AL440" s="28">
        <v>2.6190476190476191</v>
      </c>
      <c r="AM440" s="28">
        <v>1.9285714285714279</v>
      </c>
      <c r="AN440" s="28">
        <v>1.666666666666667</v>
      </c>
      <c r="AO440" s="28">
        <v>0.2162162162162162</v>
      </c>
      <c r="AP440" s="28">
        <v>0.33033033033033038</v>
      </c>
      <c r="AQ440" s="28">
        <v>0.2432432432432432</v>
      </c>
      <c r="AR440" s="28">
        <v>0.21021021021021019</v>
      </c>
      <c r="AS440" s="25">
        <v>1.6</v>
      </c>
      <c r="AT440" s="25">
        <v>3.44</v>
      </c>
      <c r="AU440" s="25">
        <v>1.84</v>
      </c>
      <c r="AV440" s="25">
        <v>2.847857142857142</v>
      </c>
      <c r="AW440">
        <v>2.8478571428571429</v>
      </c>
      <c r="AX440">
        <v>6.402055730936417</v>
      </c>
      <c r="AY440" s="75"/>
      <c r="AZ440" s="75"/>
      <c r="BA440" s="75"/>
      <c r="BB440">
        <v>4.2317837683755161E-2</v>
      </c>
      <c r="BF440">
        <v>8.4635675367510321E-2</v>
      </c>
      <c r="BG440">
        <v>4.2317837683755161E-2</v>
      </c>
      <c r="BH440">
        <v>0</v>
      </c>
      <c r="BI440" s="79" t="s">
        <v>1264</v>
      </c>
      <c r="BJ440" s="79">
        <v>1273</v>
      </c>
      <c r="BK440" s="79">
        <v>48</v>
      </c>
      <c r="BM440" s="79" t="s">
        <v>1268</v>
      </c>
      <c r="BN440" s="79" t="s">
        <v>863</v>
      </c>
      <c r="BO440" s="79">
        <v>0.1</v>
      </c>
      <c r="BQ440" s="79">
        <v>2.5</v>
      </c>
      <c r="BR440" s="79">
        <v>20</v>
      </c>
      <c r="BS440" s="79" t="s">
        <v>464</v>
      </c>
      <c r="BT440" s="79" t="s">
        <v>464</v>
      </c>
      <c r="BU440" s="79" t="s">
        <v>1271</v>
      </c>
      <c r="BV440" s="79">
        <v>300</v>
      </c>
      <c r="BW440" s="79">
        <v>400</v>
      </c>
      <c r="BX440" s="79" t="s">
        <v>1311</v>
      </c>
      <c r="BY440" s="79">
        <v>303</v>
      </c>
      <c r="BZ440" s="81">
        <v>10</v>
      </c>
      <c r="CA440">
        <f t="shared" si="65"/>
        <v>2.3025850929940459</v>
      </c>
    </row>
    <row r="441" spans="1:79" x14ac:dyDescent="0.3">
      <c r="A441" s="2" t="s">
        <v>220</v>
      </c>
      <c r="B441" s="13" t="s">
        <v>807</v>
      </c>
      <c r="C441" s="13"/>
      <c r="D441" s="2">
        <v>4.05</v>
      </c>
      <c r="E441" s="2" t="s">
        <v>219</v>
      </c>
      <c r="F441" s="9" t="s">
        <v>588</v>
      </c>
      <c r="G441" t="s">
        <v>661</v>
      </c>
      <c r="I441" s="2"/>
      <c r="J441" s="25">
        <v>1</v>
      </c>
      <c r="K441">
        <v>1</v>
      </c>
      <c r="L441">
        <v>0</v>
      </c>
      <c r="M441" s="2"/>
      <c r="N441" s="2"/>
      <c r="O441" s="2"/>
      <c r="P441" s="2"/>
      <c r="Q441" s="2"/>
      <c r="R441" s="25">
        <v>5.81978595</v>
      </c>
      <c r="S441" s="25">
        <v>5.81978595</v>
      </c>
      <c r="T441" s="25">
        <v>11.88463337</v>
      </c>
      <c r="U441">
        <v>5.7759999999999998</v>
      </c>
      <c r="V441">
        <v>5.7759999999999998</v>
      </c>
      <c r="W441">
        <v>11.82</v>
      </c>
      <c r="X441">
        <v>0</v>
      </c>
      <c r="AA441" s="2"/>
      <c r="AB441">
        <v>30</v>
      </c>
      <c r="AC441" s="55">
        <f t="shared" si="70"/>
        <v>0</v>
      </c>
      <c r="AD441" s="57">
        <v>348.60249769877402</v>
      </c>
      <c r="AE441" s="55">
        <v>341.5092547488552</v>
      </c>
      <c r="AF441" s="55">
        <v>0</v>
      </c>
      <c r="AG441" s="52"/>
      <c r="AH441" s="51">
        <v>8.6057903193576313E-2</v>
      </c>
      <c r="AI441" s="52">
        <v>8.7845349965879851E-2</v>
      </c>
      <c r="AJ441" s="52"/>
      <c r="AK441" s="28">
        <v>2</v>
      </c>
      <c r="AL441" s="28">
        <v>2.5</v>
      </c>
      <c r="AM441" s="28">
        <v>0.5</v>
      </c>
      <c r="AN441" s="28">
        <v>2.333333333333333</v>
      </c>
      <c r="AO441" s="28">
        <v>0.27272727272727282</v>
      </c>
      <c r="AP441" s="28">
        <v>0.34090909090909088</v>
      </c>
      <c r="AQ441" s="28">
        <v>6.8181818181818191E-2</v>
      </c>
      <c r="AR441" s="28">
        <v>0.31818181818181818</v>
      </c>
      <c r="AS441" s="25">
        <v>0.89</v>
      </c>
      <c r="AT441" s="25">
        <v>3.44</v>
      </c>
      <c r="AU441" s="25">
        <v>2.5499999999999998</v>
      </c>
      <c r="AV441" s="25">
        <v>2.5854166666666671</v>
      </c>
      <c r="AW441">
        <v>2.5854166666666671</v>
      </c>
      <c r="AX441">
        <v>5.9262421145833333</v>
      </c>
      <c r="AY441" s="75">
        <v>0.58209579444379334</v>
      </c>
      <c r="AZ441" s="75">
        <v>0.59418608726221844</v>
      </c>
      <c r="BA441" s="75"/>
      <c r="BC441">
        <v>4.3028951596788149E-2</v>
      </c>
      <c r="BD441">
        <v>4.3922674982939933E-2</v>
      </c>
      <c r="BF441">
        <v>8.6951626579728075E-2</v>
      </c>
      <c r="BG441">
        <v>4.3475813289864038E-2</v>
      </c>
      <c r="BH441">
        <v>0.58814094085300583</v>
      </c>
      <c r="BI441" s="79" t="s">
        <v>1264</v>
      </c>
      <c r="BJ441" s="79">
        <v>1173</v>
      </c>
      <c r="BM441" s="79" t="s">
        <v>1268</v>
      </c>
      <c r="BN441" s="79" t="s">
        <v>863</v>
      </c>
      <c r="BO441" s="79">
        <v>0.1</v>
      </c>
      <c r="BQ441" s="79">
        <v>10</v>
      </c>
      <c r="BR441" s="79">
        <v>20</v>
      </c>
      <c r="BS441" s="79" t="s">
        <v>464</v>
      </c>
      <c r="BT441" s="79" t="s">
        <v>464</v>
      </c>
      <c r="BU441" s="79" t="s">
        <v>1377</v>
      </c>
      <c r="BX441" s="79" t="s">
        <v>1287</v>
      </c>
      <c r="BZ441" s="81">
        <v>3050</v>
      </c>
      <c r="CA441">
        <f t="shared" si="65"/>
        <v>8.0228968696014569</v>
      </c>
    </row>
    <row r="442" spans="1:79" x14ac:dyDescent="0.3">
      <c r="A442" s="2" t="s">
        <v>1376</v>
      </c>
      <c r="B442" s="13" t="s">
        <v>807</v>
      </c>
      <c r="C442" s="13"/>
      <c r="D442" s="2">
        <v>1.75</v>
      </c>
      <c r="E442" s="2" t="s">
        <v>219</v>
      </c>
      <c r="F442" s="9" t="s">
        <v>588</v>
      </c>
      <c r="G442" t="s">
        <v>661</v>
      </c>
      <c r="I442" s="2"/>
      <c r="J442" s="25">
        <v>1</v>
      </c>
      <c r="K442">
        <v>1</v>
      </c>
      <c r="L442">
        <v>0</v>
      </c>
      <c r="M442" s="2"/>
      <c r="N442" s="2"/>
      <c r="O442" s="2"/>
      <c r="P442" s="2"/>
      <c r="Q442" s="2"/>
      <c r="R442" s="25">
        <v>5.81978595</v>
      </c>
      <c r="S442" s="25">
        <v>5.81978595</v>
      </c>
      <c r="T442" s="25">
        <v>11.88463337</v>
      </c>
      <c r="U442">
        <v>5.7759999999999998</v>
      </c>
      <c r="V442">
        <v>5.7759999999999998</v>
      </c>
      <c r="W442">
        <v>11.82</v>
      </c>
      <c r="X442">
        <v>0</v>
      </c>
      <c r="AA442" s="2"/>
      <c r="AB442">
        <v>30</v>
      </c>
      <c r="AC442" s="55">
        <f t="shared" si="70"/>
        <v>0</v>
      </c>
      <c r="AD442" s="57">
        <v>348.60249769877402</v>
      </c>
      <c r="AE442" s="55">
        <v>341.5092547488552</v>
      </c>
      <c r="AF442" s="55">
        <v>0</v>
      </c>
      <c r="AG442" s="52"/>
      <c r="AH442" s="51">
        <v>8.6057903193576313E-2</v>
      </c>
      <c r="AI442" s="52">
        <v>8.7845349965879851E-2</v>
      </c>
      <c r="AJ442" s="52"/>
      <c r="AK442" s="28">
        <v>2</v>
      </c>
      <c r="AL442" s="28">
        <v>2.5</v>
      </c>
      <c r="AM442" s="28">
        <v>0.5</v>
      </c>
      <c r="AN442" s="28">
        <v>2.333333333333333</v>
      </c>
      <c r="AO442" s="28">
        <v>0.27272727272727282</v>
      </c>
      <c r="AP442" s="28">
        <v>0.34090909090909088</v>
      </c>
      <c r="AQ442" s="28">
        <v>6.8181818181818191E-2</v>
      </c>
      <c r="AR442" s="28">
        <v>0.31818181818181818</v>
      </c>
      <c r="AS442" s="25">
        <v>0.89</v>
      </c>
      <c r="AT442" s="25">
        <v>3.44</v>
      </c>
      <c r="AU442" s="25">
        <v>2.5499999999999998</v>
      </c>
      <c r="AV442" s="25">
        <v>2.5854166666666671</v>
      </c>
      <c r="AW442">
        <v>2.5854166666666671</v>
      </c>
      <c r="AX442">
        <v>5.9262421145833333</v>
      </c>
      <c r="AY442" s="75">
        <v>0.58209579444379334</v>
      </c>
      <c r="AZ442" s="75">
        <v>0.59418608726221844</v>
      </c>
      <c r="BA442" s="75"/>
      <c r="BC442">
        <v>4.3028951596788149E-2</v>
      </c>
      <c r="BD442">
        <v>4.3922674982939933E-2</v>
      </c>
      <c r="BF442">
        <v>8.6951626579728075E-2</v>
      </c>
      <c r="BG442">
        <v>4.3475813289864038E-2</v>
      </c>
      <c r="BH442">
        <v>0.58814094085300583</v>
      </c>
      <c r="BI442" s="79" t="s">
        <v>1264</v>
      </c>
      <c r="BJ442" s="79">
        <v>1173</v>
      </c>
      <c r="BL442" s="79" t="s">
        <v>1308</v>
      </c>
      <c r="BM442" s="79" t="s">
        <v>1268</v>
      </c>
      <c r="BN442" s="79" t="s">
        <v>863</v>
      </c>
      <c r="BO442" s="79">
        <v>0.1</v>
      </c>
      <c r="BQ442" s="79">
        <v>10</v>
      </c>
      <c r="BR442" s="79">
        <v>20</v>
      </c>
      <c r="BS442" s="79" t="s">
        <v>464</v>
      </c>
      <c r="BT442" s="79" t="s">
        <v>464</v>
      </c>
      <c r="BU442" s="79" t="s">
        <v>1377</v>
      </c>
      <c r="BX442" s="79" t="s">
        <v>1287</v>
      </c>
      <c r="BZ442" s="81">
        <v>4950</v>
      </c>
      <c r="CA442">
        <f t="shared" si="65"/>
        <v>8.5071428555627353</v>
      </c>
    </row>
    <row r="443" spans="1:79" x14ac:dyDescent="0.3">
      <c r="A443" s="2" t="s">
        <v>220</v>
      </c>
      <c r="B443" s="13" t="s">
        <v>807</v>
      </c>
      <c r="C443" s="13"/>
      <c r="D443" s="2">
        <v>4.05</v>
      </c>
      <c r="E443" s="2" t="s">
        <v>219</v>
      </c>
      <c r="F443" s="9" t="s">
        <v>588</v>
      </c>
      <c r="G443" t="s">
        <v>661</v>
      </c>
      <c r="I443" s="2"/>
      <c r="J443" s="25">
        <v>1</v>
      </c>
      <c r="K443">
        <v>1</v>
      </c>
      <c r="L443">
        <v>0</v>
      </c>
      <c r="M443" s="2"/>
      <c r="N443" s="2"/>
      <c r="O443" s="2"/>
      <c r="P443" s="2"/>
      <c r="Q443" s="2"/>
      <c r="R443" s="25">
        <v>5.81978595</v>
      </c>
      <c r="S443" s="25">
        <v>5.81978595</v>
      </c>
      <c r="T443" s="25">
        <v>11.88463337</v>
      </c>
      <c r="U443">
        <v>5.7759999999999998</v>
      </c>
      <c r="V443">
        <v>5.7759999999999998</v>
      </c>
      <c r="W443">
        <v>11.82</v>
      </c>
      <c r="X443">
        <v>0</v>
      </c>
      <c r="AA443" s="2"/>
      <c r="AB443">
        <v>30</v>
      </c>
      <c r="AC443" s="55">
        <f t="shared" ref="AC443:AC444" si="95">M443*N443*O443</f>
        <v>0</v>
      </c>
      <c r="AD443" s="57">
        <v>348.60249769877402</v>
      </c>
      <c r="AE443" s="55">
        <v>341.5092547488552</v>
      </c>
      <c r="AF443" s="55">
        <v>0</v>
      </c>
      <c r="AG443" s="52"/>
      <c r="AH443" s="51">
        <v>8.6057903193576313E-2</v>
      </c>
      <c r="AI443" s="52">
        <v>8.7845349965879851E-2</v>
      </c>
      <c r="AJ443" s="52"/>
      <c r="AK443" s="28">
        <v>2</v>
      </c>
      <c r="AL443" s="28">
        <v>2.5</v>
      </c>
      <c r="AM443" s="28">
        <v>0.5</v>
      </c>
      <c r="AN443" s="28">
        <v>2.333333333333333</v>
      </c>
      <c r="AO443" s="28">
        <v>0.27272727272727282</v>
      </c>
      <c r="AP443" s="28">
        <v>0.34090909090909088</v>
      </c>
      <c r="AQ443" s="28">
        <v>6.8181818181818191E-2</v>
      </c>
      <c r="AR443" s="28">
        <v>0.31818181818181818</v>
      </c>
      <c r="AS443" s="25">
        <v>0.89</v>
      </c>
      <c r="AT443" s="25">
        <v>3.44</v>
      </c>
      <c r="AU443" s="25">
        <v>2.5499999999999998</v>
      </c>
      <c r="AV443" s="25">
        <v>2.5854166666666671</v>
      </c>
      <c r="AW443">
        <v>2.5854166666666671</v>
      </c>
      <c r="AX443">
        <v>5.9262421145833333</v>
      </c>
      <c r="AY443" s="75">
        <v>0.58209579444379334</v>
      </c>
      <c r="AZ443" s="75">
        <v>0.59418608726221844</v>
      </c>
      <c r="BA443" s="75"/>
      <c r="BC443">
        <v>4.3028951596788149E-2</v>
      </c>
      <c r="BD443">
        <v>4.3922674982939933E-2</v>
      </c>
      <c r="BF443">
        <v>8.6951626579728075E-2</v>
      </c>
      <c r="BG443">
        <v>4.3475813289864038E-2</v>
      </c>
      <c r="BH443">
        <v>0.58814094085300583</v>
      </c>
      <c r="BI443" s="79" t="s">
        <v>1264</v>
      </c>
      <c r="BJ443" s="79">
        <v>1173</v>
      </c>
      <c r="BM443" s="79" t="s">
        <v>1268</v>
      </c>
      <c r="BN443" s="79" t="s">
        <v>863</v>
      </c>
      <c r="BO443" s="79">
        <v>0.1</v>
      </c>
      <c r="BQ443" s="79">
        <v>10</v>
      </c>
      <c r="BR443" s="79">
        <v>20</v>
      </c>
      <c r="BS443" s="79" t="s">
        <v>464</v>
      </c>
      <c r="BT443" s="79" t="s">
        <v>464</v>
      </c>
      <c r="BU443" s="79" t="s">
        <v>1377</v>
      </c>
      <c r="BW443" s="79">
        <v>420</v>
      </c>
      <c r="BX443" s="79" t="s">
        <v>1287</v>
      </c>
      <c r="BZ443" s="81">
        <v>0</v>
      </c>
      <c r="CA443" t="e">
        <f t="shared" si="65"/>
        <v>#NUM!</v>
      </c>
    </row>
    <row r="444" spans="1:79" x14ac:dyDescent="0.3">
      <c r="A444" s="2" t="s">
        <v>1376</v>
      </c>
      <c r="B444" s="13" t="s">
        <v>807</v>
      </c>
      <c r="C444" s="13"/>
      <c r="D444" s="2">
        <v>1.75</v>
      </c>
      <c r="E444" s="2" t="s">
        <v>219</v>
      </c>
      <c r="F444" s="9" t="s">
        <v>588</v>
      </c>
      <c r="G444" t="s">
        <v>661</v>
      </c>
      <c r="I444" s="2"/>
      <c r="J444" s="25">
        <v>1</v>
      </c>
      <c r="K444">
        <v>1</v>
      </c>
      <c r="L444">
        <v>0</v>
      </c>
      <c r="M444" s="2"/>
      <c r="N444" s="2"/>
      <c r="O444" s="2"/>
      <c r="P444" s="2"/>
      <c r="Q444" s="2"/>
      <c r="R444" s="25">
        <v>5.81978595</v>
      </c>
      <c r="S444" s="25">
        <v>5.81978595</v>
      </c>
      <c r="T444" s="25">
        <v>11.88463337</v>
      </c>
      <c r="U444">
        <v>5.7759999999999998</v>
      </c>
      <c r="V444">
        <v>5.7759999999999998</v>
      </c>
      <c r="W444">
        <v>11.82</v>
      </c>
      <c r="X444">
        <v>0</v>
      </c>
      <c r="AA444" s="2"/>
      <c r="AB444">
        <v>30</v>
      </c>
      <c r="AC444" s="55">
        <f t="shared" si="95"/>
        <v>0</v>
      </c>
      <c r="AD444" s="57">
        <v>348.60249769877402</v>
      </c>
      <c r="AE444" s="55">
        <v>341.5092547488552</v>
      </c>
      <c r="AF444" s="55">
        <v>0</v>
      </c>
      <c r="AG444" s="52"/>
      <c r="AH444" s="51">
        <v>8.6057903193576313E-2</v>
      </c>
      <c r="AI444" s="52">
        <v>8.7845349965879851E-2</v>
      </c>
      <c r="AJ444" s="52"/>
      <c r="AK444" s="28">
        <v>2</v>
      </c>
      <c r="AL444" s="28">
        <v>2.5</v>
      </c>
      <c r="AM444" s="28">
        <v>0.5</v>
      </c>
      <c r="AN444" s="28">
        <v>2.333333333333333</v>
      </c>
      <c r="AO444" s="28">
        <v>0.27272727272727282</v>
      </c>
      <c r="AP444" s="28">
        <v>0.34090909090909088</v>
      </c>
      <c r="AQ444" s="28">
        <v>6.8181818181818191E-2</v>
      </c>
      <c r="AR444" s="28">
        <v>0.31818181818181818</v>
      </c>
      <c r="AS444" s="25">
        <v>0.89</v>
      </c>
      <c r="AT444" s="25">
        <v>3.44</v>
      </c>
      <c r="AU444" s="25">
        <v>2.5499999999999998</v>
      </c>
      <c r="AV444" s="25">
        <v>2.5854166666666671</v>
      </c>
      <c r="AW444">
        <v>2.5854166666666671</v>
      </c>
      <c r="AX444">
        <v>5.9262421145833333</v>
      </c>
      <c r="AY444" s="75">
        <v>0.58209579444379334</v>
      </c>
      <c r="AZ444" s="75">
        <v>0.59418608726221844</v>
      </c>
      <c r="BA444" s="75"/>
      <c r="BC444">
        <v>4.3028951596788149E-2</v>
      </c>
      <c r="BD444">
        <v>4.3922674982939933E-2</v>
      </c>
      <c r="BF444">
        <v>8.6951626579728075E-2</v>
      </c>
      <c r="BG444">
        <v>4.3475813289864038E-2</v>
      </c>
      <c r="BH444">
        <v>0.58814094085300583</v>
      </c>
      <c r="BI444" s="79" t="s">
        <v>1264</v>
      </c>
      <c r="BJ444" s="79">
        <v>1173</v>
      </c>
      <c r="BL444" s="79" t="s">
        <v>1308</v>
      </c>
      <c r="BM444" s="79" t="s">
        <v>1268</v>
      </c>
      <c r="BN444" s="79" t="s">
        <v>863</v>
      </c>
      <c r="BO444" s="79">
        <v>0.1</v>
      </c>
      <c r="BQ444" s="79">
        <v>10</v>
      </c>
      <c r="BR444" s="79">
        <v>20</v>
      </c>
      <c r="BS444" s="79" t="s">
        <v>464</v>
      </c>
      <c r="BT444" s="79" t="s">
        <v>464</v>
      </c>
      <c r="BU444" s="79" t="s">
        <v>1377</v>
      </c>
      <c r="BW444" s="79">
        <v>420</v>
      </c>
      <c r="BX444" s="79" t="s">
        <v>1287</v>
      </c>
      <c r="BZ444" s="81">
        <v>420</v>
      </c>
      <c r="CA444">
        <f t="shared" si="65"/>
        <v>6.0402547112774139</v>
      </c>
    </row>
    <row r="445" spans="1:79" x14ac:dyDescent="0.3">
      <c r="A445" s="2" t="s">
        <v>221</v>
      </c>
      <c r="B445" s="13" t="s">
        <v>808</v>
      </c>
      <c r="C445" s="13"/>
      <c r="D445" s="2">
        <v>4.51</v>
      </c>
      <c r="E445" s="2" t="s">
        <v>222</v>
      </c>
      <c r="F445" s="9" t="s">
        <v>589</v>
      </c>
      <c r="G445">
        <v>-1</v>
      </c>
      <c r="I445" s="2"/>
      <c r="J445" s="25">
        <v>1</v>
      </c>
      <c r="K445">
        <v>0</v>
      </c>
      <c r="L445">
        <v>0</v>
      </c>
      <c r="M445" s="2"/>
      <c r="N445" s="2"/>
      <c r="O445" s="2"/>
      <c r="P445" s="2"/>
      <c r="Q445" s="2"/>
      <c r="R445" s="25">
        <v>5.6694849300000003</v>
      </c>
      <c r="S445" s="25">
        <v>5.6694842000000003</v>
      </c>
      <c r="T445" s="25">
        <v>11.54266629</v>
      </c>
      <c r="U445">
        <v>0</v>
      </c>
      <c r="X445">
        <v>0</v>
      </c>
      <c r="AA445" s="2"/>
      <c r="AB445">
        <v>30</v>
      </c>
      <c r="AC445" s="55">
        <f t="shared" si="70"/>
        <v>0</v>
      </c>
      <c r="AD445" s="57">
        <v>321.30962315738361</v>
      </c>
      <c r="AE445" s="55">
        <v>0</v>
      </c>
      <c r="AF445" s="55">
        <v>0</v>
      </c>
      <c r="AG445" s="52"/>
      <c r="AH445" s="51">
        <v>9.3367885173191417E-2</v>
      </c>
      <c r="AI445" s="52"/>
      <c r="AJ445" s="52"/>
      <c r="AK445" s="28">
        <v>2</v>
      </c>
      <c r="AL445" s="28">
        <v>2.5</v>
      </c>
      <c r="AM445" s="28">
        <v>0.5</v>
      </c>
      <c r="AN445" s="28">
        <v>2.333333333333333</v>
      </c>
      <c r="AO445" s="28">
        <v>0.27272727272727282</v>
      </c>
      <c r="AP445" s="28">
        <v>0.34090909090909088</v>
      </c>
      <c r="AQ445" s="28">
        <v>6.8181818181818191E-2</v>
      </c>
      <c r="AR445" s="28">
        <v>0.31818181818181818</v>
      </c>
      <c r="AS445" s="25">
        <v>0.95</v>
      </c>
      <c r="AT445" s="25">
        <v>3.44</v>
      </c>
      <c r="AU445" s="25">
        <v>2.4900000000000002</v>
      </c>
      <c r="AV445" s="25">
        <v>2.5979166666666669</v>
      </c>
      <c r="AW445">
        <v>2.597916666666666</v>
      </c>
      <c r="AX445">
        <v>5.966934078125</v>
      </c>
      <c r="AY445" s="75">
        <v>0.56583721757051464</v>
      </c>
      <c r="AZ445" s="75"/>
      <c r="BA445" s="75"/>
      <c r="BC445">
        <v>4.6683942586595709E-2</v>
      </c>
      <c r="BF445">
        <v>9.3367885173191417E-2</v>
      </c>
      <c r="BG445">
        <v>4.6683942586595709E-2</v>
      </c>
      <c r="BH445">
        <v>0.56583721757051464</v>
      </c>
      <c r="BI445" s="79" t="s">
        <v>1305</v>
      </c>
      <c r="BJ445" s="79">
        <v>1273</v>
      </c>
      <c r="BK445" s="79">
        <v>60</v>
      </c>
      <c r="BP445" s="79">
        <v>5</v>
      </c>
      <c r="BQ445" s="79">
        <v>1</v>
      </c>
      <c r="BR445" s="79">
        <v>20</v>
      </c>
      <c r="BS445" s="79" t="s">
        <v>1378</v>
      </c>
      <c r="BT445" s="79" t="s">
        <v>464</v>
      </c>
      <c r="BU445" s="79" t="s">
        <v>1271</v>
      </c>
      <c r="BV445" s="79">
        <v>300</v>
      </c>
      <c r="BW445" s="79">
        <v>420</v>
      </c>
      <c r="BX445" s="79" t="s">
        <v>1311</v>
      </c>
      <c r="BY445" s="79">
        <v>298</v>
      </c>
      <c r="CA445" t="e">
        <f t="shared" si="65"/>
        <v>#NUM!</v>
      </c>
    </row>
    <row r="446" spans="1:79" x14ac:dyDescent="0.3">
      <c r="A446" s="2" t="s">
        <v>1381</v>
      </c>
      <c r="B446" s="13" t="s">
        <v>808</v>
      </c>
      <c r="C446" s="13"/>
      <c r="D446" s="2">
        <v>2.2000000000000002</v>
      </c>
      <c r="E446" s="2" t="s">
        <v>222</v>
      </c>
      <c r="F446" s="9" t="s">
        <v>589</v>
      </c>
      <c r="G446">
        <v>-1</v>
      </c>
      <c r="I446" s="2"/>
      <c r="J446" s="25">
        <v>1</v>
      </c>
      <c r="K446">
        <v>0</v>
      </c>
      <c r="L446">
        <v>0</v>
      </c>
      <c r="M446" s="2"/>
      <c r="N446" s="2"/>
      <c r="O446" s="2"/>
      <c r="P446" s="2"/>
      <c r="Q446" s="2"/>
      <c r="R446" s="25">
        <v>5.6694849300000003</v>
      </c>
      <c r="S446" s="25">
        <v>5.6694842000000003</v>
      </c>
      <c r="T446" s="25">
        <v>11.54266629</v>
      </c>
      <c r="U446">
        <v>0</v>
      </c>
      <c r="X446">
        <v>0</v>
      </c>
      <c r="AA446" s="2"/>
      <c r="AB446">
        <v>30</v>
      </c>
      <c r="AC446" s="55">
        <f t="shared" si="70"/>
        <v>0</v>
      </c>
      <c r="AD446" s="57">
        <v>321.30962315738361</v>
      </c>
      <c r="AE446" s="55">
        <v>0</v>
      </c>
      <c r="AF446" s="55">
        <v>0</v>
      </c>
      <c r="AG446" s="52"/>
      <c r="AH446" s="51">
        <v>9.3367885173191417E-2</v>
      </c>
      <c r="AI446" s="52"/>
      <c r="AJ446" s="52"/>
      <c r="AK446" s="28">
        <v>2</v>
      </c>
      <c r="AL446" s="28">
        <v>2.5</v>
      </c>
      <c r="AM446" s="28">
        <v>0.5</v>
      </c>
      <c r="AN446" s="28">
        <v>2.333333333333333</v>
      </c>
      <c r="AO446" s="28">
        <v>0.27272727272727282</v>
      </c>
      <c r="AP446" s="28">
        <v>0.34090909090909088</v>
      </c>
      <c r="AQ446" s="28">
        <v>6.8181818181818191E-2</v>
      </c>
      <c r="AR446" s="28">
        <v>0.31818181818181818</v>
      </c>
      <c r="AS446" s="25">
        <v>0.95</v>
      </c>
      <c r="AT446" s="25">
        <v>3.44</v>
      </c>
      <c r="AU446" s="25">
        <v>2.4900000000000002</v>
      </c>
      <c r="AV446" s="25">
        <v>2.5979166666666669</v>
      </c>
      <c r="AW446">
        <v>2.597916666666666</v>
      </c>
      <c r="AX446">
        <v>5.966934078125</v>
      </c>
      <c r="AY446" s="75">
        <v>0.56583721757051464</v>
      </c>
      <c r="AZ446" s="75"/>
      <c r="BA446" s="75"/>
      <c r="BC446">
        <v>4.6683942586595709E-2</v>
      </c>
      <c r="BF446">
        <v>9.3367885173191417E-2</v>
      </c>
      <c r="BG446">
        <v>4.6683942586595709E-2</v>
      </c>
      <c r="BH446">
        <v>0.56583721757051464</v>
      </c>
      <c r="BI446" s="79" t="s">
        <v>1305</v>
      </c>
      <c r="BJ446" s="79">
        <v>1273</v>
      </c>
      <c r="BK446" s="79">
        <v>60</v>
      </c>
      <c r="BL446" s="79" t="s">
        <v>1308</v>
      </c>
      <c r="BM446" s="79" t="s">
        <v>464</v>
      </c>
      <c r="BN446" s="79" t="s">
        <v>464</v>
      </c>
      <c r="BO446" s="79">
        <v>0</v>
      </c>
      <c r="BP446" s="79">
        <v>5</v>
      </c>
      <c r="BQ446" s="79">
        <v>1</v>
      </c>
      <c r="BR446" s="79">
        <v>20</v>
      </c>
      <c r="BS446" s="79" t="s">
        <v>1378</v>
      </c>
      <c r="BT446" s="79" t="s">
        <v>464</v>
      </c>
      <c r="BU446" s="79" t="s">
        <v>1271</v>
      </c>
      <c r="BV446" s="79">
        <v>300</v>
      </c>
      <c r="BW446" s="79">
        <v>420</v>
      </c>
      <c r="BX446" s="79" t="s">
        <v>1311</v>
      </c>
      <c r="BY446" s="79">
        <v>298</v>
      </c>
      <c r="BZ446" s="81">
        <v>0</v>
      </c>
      <c r="CA446" t="e">
        <f t="shared" si="65"/>
        <v>#NUM!</v>
      </c>
    </row>
    <row r="447" spans="1:79" x14ac:dyDescent="0.3">
      <c r="A447" s="2" t="s">
        <v>1379</v>
      </c>
      <c r="B447" s="13"/>
      <c r="C447" s="13"/>
      <c r="D447" s="2"/>
      <c r="E447" s="2" t="s">
        <v>222</v>
      </c>
      <c r="F447" s="9" t="s">
        <v>588</v>
      </c>
      <c r="G447" t="s">
        <v>661</v>
      </c>
      <c r="I447" s="2"/>
      <c r="J447" s="25"/>
      <c r="M447" s="2"/>
      <c r="N447" s="2"/>
      <c r="O447" s="2"/>
      <c r="P447" s="2"/>
      <c r="Q447" s="2"/>
      <c r="R447" s="25"/>
      <c r="S447" s="25"/>
      <c r="T447" s="25"/>
      <c r="AA447" s="2"/>
      <c r="AC447" s="55"/>
      <c r="AD447" s="57"/>
      <c r="AE447" s="55"/>
      <c r="AF447" s="55"/>
      <c r="AG447" s="52"/>
      <c r="AH447" s="51"/>
      <c r="AI447" s="52"/>
      <c r="AJ447" s="52"/>
      <c r="AK447" s="28"/>
      <c r="AL447" s="28"/>
      <c r="AM447" s="28"/>
      <c r="AN447" s="28"/>
      <c r="AO447" s="28"/>
      <c r="AP447" s="28"/>
      <c r="AQ447" s="28"/>
      <c r="AR447" s="28"/>
      <c r="AS447" s="25"/>
      <c r="AT447" s="25"/>
      <c r="AU447" s="25"/>
      <c r="AV447" s="25"/>
      <c r="AY447" s="75"/>
      <c r="AZ447" s="75"/>
      <c r="BA447" s="75"/>
      <c r="BI447" s="79" t="s">
        <v>1264</v>
      </c>
      <c r="BJ447" s="79">
        <v>1373</v>
      </c>
      <c r="BK447" s="79">
        <v>32</v>
      </c>
      <c r="BL447" s="79" t="s">
        <v>1308</v>
      </c>
      <c r="BM447" s="79" t="s">
        <v>464</v>
      </c>
      <c r="BN447" s="79" t="s">
        <v>464</v>
      </c>
      <c r="BO447" s="79">
        <v>0</v>
      </c>
      <c r="BP447" s="79">
        <v>5</v>
      </c>
      <c r="BQ447" s="79">
        <v>1</v>
      </c>
      <c r="BR447" s="79">
        <v>20</v>
      </c>
      <c r="BS447" s="79" t="s">
        <v>1378</v>
      </c>
      <c r="BT447" s="79" t="s">
        <v>464</v>
      </c>
      <c r="BU447" s="79" t="s">
        <v>1271</v>
      </c>
      <c r="BV447" s="79">
        <v>300</v>
      </c>
      <c r="BW447" s="79">
        <v>420</v>
      </c>
      <c r="BX447" s="79" t="s">
        <v>1311</v>
      </c>
      <c r="BY447" s="79">
        <v>298</v>
      </c>
      <c r="BZ447" s="81">
        <v>0</v>
      </c>
      <c r="CA447" t="e">
        <f t="shared" si="65"/>
        <v>#NUM!</v>
      </c>
    </row>
    <row r="448" spans="1:79" x14ac:dyDescent="0.3">
      <c r="A448" s="2" t="s">
        <v>1380</v>
      </c>
      <c r="B448" s="13"/>
      <c r="C448" s="13"/>
      <c r="D448" s="2"/>
      <c r="E448" s="2" t="s">
        <v>222</v>
      </c>
      <c r="F448" s="9" t="s">
        <v>556</v>
      </c>
      <c r="G448" t="s">
        <v>633</v>
      </c>
      <c r="I448" s="2"/>
      <c r="J448" s="25"/>
      <c r="M448" s="2"/>
      <c r="N448" s="2"/>
      <c r="O448" s="2"/>
      <c r="P448" s="2"/>
      <c r="Q448" s="2"/>
      <c r="R448" s="25"/>
      <c r="S448" s="25"/>
      <c r="T448" s="25"/>
      <c r="AA448" s="2"/>
      <c r="AC448" s="55"/>
      <c r="AD448" s="57"/>
      <c r="AE448" s="55"/>
      <c r="AF448" s="55"/>
      <c r="AG448" s="52"/>
      <c r="AH448" s="51"/>
      <c r="AI448" s="52"/>
      <c r="AJ448" s="52"/>
      <c r="AK448" s="28"/>
      <c r="AL448" s="28"/>
      <c r="AM448" s="28"/>
      <c r="AN448" s="28"/>
      <c r="AO448" s="28"/>
      <c r="AP448" s="28"/>
      <c r="AQ448" s="28"/>
      <c r="AR448" s="28"/>
      <c r="AS448" s="25"/>
      <c r="AT448" s="25"/>
      <c r="AU448" s="25"/>
      <c r="AV448" s="25"/>
      <c r="AY448" s="75"/>
      <c r="AZ448" s="75"/>
      <c r="BA448" s="75"/>
      <c r="BI448" s="79" t="s">
        <v>1264</v>
      </c>
      <c r="BJ448" s="79">
        <v>1373</v>
      </c>
      <c r="BK448" s="79">
        <v>32</v>
      </c>
      <c r="BL448" s="79" t="s">
        <v>1308</v>
      </c>
      <c r="BM448" s="79" t="s">
        <v>464</v>
      </c>
      <c r="BN448" s="79" t="s">
        <v>464</v>
      </c>
      <c r="BO448" s="79">
        <v>0</v>
      </c>
      <c r="BP448" s="79">
        <v>5</v>
      </c>
      <c r="BQ448" s="79">
        <v>1</v>
      </c>
      <c r="BR448" s="79">
        <v>20</v>
      </c>
      <c r="BS448" s="79" t="s">
        <v>1378</v>
      </c>
      <c r="BT448" s="79" t="s">
        <v>464</v>
      </c>
      <c r="BU448" s="79" t="s">
        <v>1271</v>
      </c>
      <c r="BV448" s="79">
        <v>300</v>
      </c>
      <c r="BW448" s="79">
        <v>420</v>
      </c>
      <c r="BX448" s="79" t="s">
        <v>1311</v>
      </c>
      <c r="BY448" s="79">
        <v>298</v>
      </c>
      <c r="BZ448" s="81">
        <v>0</v>
      </c>
      <c r="CA448" t="e">
        <f t="shared" si="65"/>
        <v>#NUM!</v>
      </c>
    </row>
    <row r="449" spans="1:79" x14ac:dyDescent="0.3">
      <c r="A449" s="2" t="s">
        <v>1381</v>
      </c>
      <c r="B449" s="13" t="s">
        <v>808</v>
      </c>
      <c r="C449" s="13"/>
      <c r="D449" s="2">
        <v>2.2000000000000002</v>
      </c>
      <c r="E449" s="2" t="s">
        <v>222</v>
      </c>
      <c r="F449" s="9" t="s">
        <v>589</v>
      </c>
      <c r="G449">
        <v>-1</v>
      </c>
      <c r="I449" s="2"/>
      <c r="J449" s="25">
        <v>1</v>
      </c>
      <c r="K449">
        <v>0</v>
      </c>
      <c r="L449">
        <v>0</v>
      </c>
      <c r="M449" s="2"/>
      <c r="N449" s="2"/>
      <c r="O449" s="2"/>
      <c r="P449" s="2"/>
      <c r="Q449" s="2"/>
      <c r="R449" s="25">
        <v>5.6694849300000003</v>
      </c>
      <c r="S449" s="25">
        <v>5.6694842000000003</v>
      </c>
      <c r="T449" s="25">
        <v>11.54266629</v>
      </c>
      <c r="U449">
        <v>0</v>
      </c>
      <c r="X449">
        <v>0</v>
      </c>
      <c r="AA449" s="2"/>
      <c r="AB449">
        <v>30</v>
      </c>
      <c r="AC449" s="55">
        <f t="shared" ref="AC449" si="96">M449*N449*O449</f>
        <v>0</v>
      </c>
      <c r="AD449" s="57">
        <v>321.30962315738361</v>
      </c>
      <c r="AE449" s="55">
        <v>0</v>
      </c>
      <c r="AF449" s="55">
        <v>0</v>
      </c>
      <c r="AG449" s="52"/>
      <c r="AH449" s="51">
        <v>9.3367885173191417E-2</v>
      </c>
      <c r="AI449" s="52"/>
      <c r="AJ449" s="52"/>
      <c r="AK449" s="28">
        <v>2</v>
      </c>
      <c r="AL449" s="28">
        <v>2.5</v>
      </c>
      <c r="AM449" s="28">
        <v>0.5</v>
      </c>
      <c r="AN449" s="28">
        <v>2.333333333333333</v>
      </c>
      <c r="AO449" s="28">
        <v>0.27272727272727282</v>
      </c>
      <c r="AP449" s="28">
        <v>0.34090909090909088</v>
      </c>
      <c r="AQ449" s="28">
        <v>6.8181818181818191E-2</v>
      </c>
      <c r="AR449" s="28">
        <v>0.31818181818181818</v>
      </c>
      <c r="AS449" s="25">
        <v>0.95</v>
      </c>
      <c r="AT449" s="25">
        <v>3.44</v>
      </c>
      <c r="AU449" s="25">
        <v>2.4900000000000002</v>
      </c>
      <c r="AV449" s="25">
        <v>2.5979166666666669</v>
      </c>
      <c r="AW449">
        <v>2.597916666666666</v>
      </c>
      <c r="AX449">
        <v>5.966934078125</v>
      </c>
      <c r="AY449" s="75">
        <v>0.56583721757051464</v>
      </c>
      <c r="AZ449" s="75"/>
      <c r="BA449" s="75"/>
      <c r="BC449">
        <v>4.6683942586595709E-2</v>
      </c>
      <c r="BF449">
        <v>9.3367885173191417E-2</v>
      </c>
      <c r="BG449">
        <v>4.6683942586595709E-2</v>
      </c>
      <c r="BH449">
        <v>0.56583721757051464</v>
      </c>
      <c r="BI449" s="79" t="s">
        <v>1305</v>
      </c>
      <c r="BJ449" s="79">
        <v>1273</v>
      </c>
      <c r="BK449" s="79">
        <v>60</v>
      </c>
      <c r="BL449" s="79" t="s">
        <v>1308</v>
      </c>
      <c r="BM449" s="79" t="s">
        <v>1275</v>
      </c>
      <c r="BN449" s="79" t="s">
        <v>863</v>
      </c>
      <c r="BO449" s="79">
        <v>0.3</v>
      </c>
      <c r="BP449" s="79">
        <v>5</v>
      </c>
      <c r="BQ449" s="79">
        <v>1</v>
      </c>
      <c r="BR449" s="79">
        <v>20</v>
      </c>
      <c r="BS449" s="79" t="s">
        <v>1378</v>
      </c>
      <c r="BT449" s="79" t="s">
        <v>464</v>
      </c>
      <c r="BU449" s="79" t="s">
        <v>1271</v>
      </c>
      <c r="BV449" s="79">
        <v>300</v>
      </c>
      <c r="BW449" s="79">
        <v>420</v>
      </c>
      <c r="BX449" s="79" t="s">
        <v>1311</v>
      </c>
      <c r="BY449" s="79">
        <v>298</v>
      </c>
      <c r="BZ449" s="81">
        <v>92.666666666666671</v>
      </c>
      <c r="CA449">
        <f t="shared" si="65"/>
        <v>4.5290088250225278</v>
      </c>
    </row>
    <row r="450" spans="1:79" x14ac:dyDescent="0.3">
      <c r="A450" s="2" t="s">
        <v>1379</v>
      </c>
      <c r="B450" s="13"/>
      <c r="C450" s="13"/>
      <c r="D450" s="2"/>
      <c r="E450" s="2" t="s">
        <v>222</v>
      </c>
      <c r="F450" s="9" t="s">
        <v>588</v>
      </c>
      <c r="G450" t="s">
        <v>661</v>
      </c>
      <c r="I450" s="2"/>
      <c r="J450" s="25"/>
      <c r="M450" s="2"/>
      <c r="N450" s="2"/>
      <c r="O450" s="2"/>
      <c r="P450" s="2"/>
      <c r="Q450" s="2"/>
      <c r="R450" s="25"/>
      <c r="S450" s="25"/>
      <c r="T450" s="25"/>
      <c r="AA450" s="2"/>
      <c r="AC450" s="55"/>
      <c r="AD450" s="57"/>
      <c r="AE450" s="55"/>
      <c r="AF450" s="55"/>
      <c r="AG450" s="52"/>
      <c r="AH450" s="51"/>
      <c r="AI450" s="52"/>
      <c r="AJ450" s="52"/>
      <c r="AK450" s="28"/>
      <c r="AL450" s="28"/>
      <c r="AM450" s="28"/>
      <c r="AN450" s="28"/>
      <c r="AO450" s="28"/>
      <c r="AP450" s="28"/>
      <c r="AQ450" s="28"/>
      <c r="AR450" s="28"/>
      <c r="AS450" s="25"/>
      <c r="AT450" s="25"/>
      <c r="AU450" s="25"/>
      <c r="AV450" s="25"/>
      <c r="AY450" s="75"/>
      <c r="AZ450" s="75"/>
      <c r="BA450" s="75"/>
      <c r="BI450" s="79" t="s">
        <v>1264</v>
      </c>
      <c r="BJ450" s="79">
        <v>1373</v>
      </c>
      <c r="BK450" s="79">
        <v>32</v>
      </c>
      <c r="BL450" s="79" t="s">
        <v>1308</v>
      </c>
      <c r="BM450" s="79" t="s">
        <v>1275</v>
      </c>
      <c r="BN450" s="79" t="s">
        <v>863</v>
      </c>
      <c r="BO450" s="79">
        <v>0.3</v>
      </c>
      <c r="BP450" s="79">
        <v>5</v>
      </c>
      <c r="BQ450" s="79">
        <v>1</v>
      </c>
      <c r="BR450" s="79">
        <v>20</v>
      </c>
      <c r="BS450" s="79" t="s">
        <v>1378</v>
      </c>
      <c r="BT450" s="79" t="s">
        <v>464</v>
      </c>
      <c r="BU450" s="79" t="s">
        <v>1271</v>
      </c>
      <c r="BV450" s="79">
        <v>300</v>
      </c>
      <c r="BW450" s="79">
        <v>420</v>
      </c>
      <c r="BX450" s="79" t="s">
        <v>1311</v>
      </c>
      <c r="BY450" s="79">
        <v>298</v>
      </c>
      <c r="BZ450" s="81">
        <v>84</v>
      </c>
      <c r="CA450">
        <f t="shared" si="65"/>
        <v>4.4308167988433134</v>
      </c>
    </row>
    <row r="451" spans="1:79" x14ac:dyDescent="0.3">
      <c r="A451" s="2" t="s">
        <v>1380</v>
      </c>
      <c r="B451" s="13"/>
      <c r="C451" s="13"/>
      <c r="D451" s="2"/>
      <c r="E451" s="2" t="s">
        <v>222</v>
      </c>
      <c r="F451" s="9" t="s">
        <v>556</v>
      </c>
      <c r="G451" t="s">
        <v>633</v>
      </c>
      <c r="I451" s="2"/>
      <c r="J451" s="25"/>
      <c r="M451" s="2"/>
      <c r="N451" s="2"/>
      <c r="O451" s="2"/>
      <c r="P451" s="2"/>
      <c r="Q451" s="2"/>
      <c r="R451" s="25"/>
      <c r="S451" s="25"/>
      <c r="T451" s="25"/>
      <c r="AA451" s="2"/>
      <c r="AC451" s="55"/>
      <c r="AD451" s="57"/>
      <c r="AE451" s="55"/>
      <c r="AF451" s="55"/>
      <c r="AG451" s="52"/>
      <c r="AH451" s="51"/>
      <c r="AI451" s="52"/>
      <c r="AJ451" s="52"/>
      <c r="AK451" s="28"/>
      <c r="AL451" s="28"/>
      <c r="AM451" s="28"/>
      <c r="AN451" s="28"/>
      <c r="AO451" s="28"/>
      <c r="AP451" s="28"/>
      <c r="AQ451" s="28"/>
      <c r="AR451" s="28"/>
      <c r="AS451" s="25"/>
      <c r="AT451" s="25"/>
      <c r="AU451" s="25"/>
      <c r="AV451" s="25"/>
      <c r="AY451" s="75"/>
      <c r="AZ451" s="75"/>
      <c r="BA451" s="75"/>
      <c r="BI451" s="79" t="s">
        <v>1264</v>
      </c>
      <c r="BJ451" s="79">
        <v>1373</v>
      </c>
      <c r="BK451" s="79">
        <v>32</v>
      </c>
      <c r="BL451" s="79" t="s">
        <v>1308</v>
      </c>
      <c r="BM451" s="79" t="s">
        <v>1275</v>
      </c>
      <c r="BN451" s="79" t="s">
        <v>863</v>
      </c>
      <c r="BO451" s="79">
        <v>0.3</v>
      </c>
      <c r="BP451" s="79">
        <v>5</v>
      </c>
      <c r="BQ451" s="79">
        <v>1</v>
      </c>
      <c r="BR451" s="79">
        <v>20</v>
      </c>
      <c r="BS451" s="79" t="s">
        <v>1378</v>
      </c>
      <c r="BT451" s="79" t="s">
        <v>464</v>
      </c>
      <c r="BU451" s="79" t="s">
        <v>1271</v>
      </c>
      <c r="BV451" s="79">
        <v>300</v>
      </c>
      <c r="BW451" s="79">
        <v>420</v>
      </c>
      <c r="BX451" s="79" t="s">
        <v>1311</v>
      </c>
      <c r="BY451" s="79">
        <v>298</v>
      </c>
      <c r="BZ451" s="81">
        <v>35.333333333333336</v>
      </c>
      <c r="CA451">
        <f t="shared" ref="CA451:CA514" si="97">LN(BZ451)</f>
        <v>3.5648268054439574</v>
      </c>
    </row>
    <row r="452" spans="1:79" x14ac:dyDescent="0.3">
      <c r="A452" s="2" t="s">
        <v>1381</v>
      </c>
      <c r="B452" s="13" t="s">
        <v>808</v>
      </c>
      <c r="C452" s="13"/>
      <c r="D452" s="2">
        <v>2.2000000000000002</v>
      </c>
      <c r="E452" s="2" t="s">
        <v>222</v>
      </c>
      <c r="F452" s="9" t="s">
        <v>589</v>
      </c>
      <c r="G452">
        <v>-1</v>
      </c>
      <c r="I452" s="2"/>
      <c r="J452" s="25">
        <v>1</v>
      </c>
      <c r="K452">
        <v>0</v>
      </c>
      <c r="L452">
        <v>0</v>
      </c>
      <c r="M452" s="2"/>
      <c r="N452" s="2"/>
      <c r="O452" s="2"/>
      <c r="P452" s="2"/>
      <c r="Q452" s="2"/>
      <c r="R452" s="25">
        <v>5.6694849300000003</v>
      </c>
      <c r="S452" s="25">
        <v>5.6694842000000003</v>
      </c>
      <c r="T452" s="25">
        <v>11.54266629</v>
      </c>
      <c r="U452">
        <v>0</v>
      </c>
      <c r="X452">
        <v>0</v>
      </c>
      <c r="AA452" s="2"/>
      <c r="AB452">
        <v>30</v>
      </c>
      <c r="AC452" s="55">
        <f t="shared" ref="AC452" si="98">M452*N452*O452</f>
        <v>0</v>
      </c>
      <c r="AD452" s="57">
        <v>321.30962315738361</v>
      </c>
      <c r="AE452" s="55">
        <v>0</v>
      </c>
      <c r="AF452" s="55">
        <v>0</v>
      </c>
      <c r="AG452" s="52"/>
      <c r="AH452" s="51">
        <v>9.3367885173191417E-2</v>
      </c>
      <c r="AI452" s="52"/>
      <c r="AJ452" s="52"/>
      <c r="AK452" s="28">
        <v>2</v>
      </c>
      <c r="AL452" s="28">
        <v>2.5</v>
      </c>
      <c r="AM452" s="28">
        <v>0.5</v>
      </c>
      <c r="AN452" s="28">
        <v>2.333333333333333</v>
      </c>
      <c r="AO452" s="28">
        <v>0.27272727272727282</v>
      </c>
      <c r="AP452" s="28">
        <v>0.34090909090909088</v>
      </c>
      <c r="AQ452" s="28">
        <v>6.8181818181818191E-2</v>
      </c>
      <c r="AR452" s="28">
        <v>0.31818181818181818</v>
      </c>
      <c r="AS452" s="25">
        <v>0.95</v>
      </c>
      <c r="AT452" s="25">
        <v>3.44</v>
      </c>
      <c r="AU452" s="25">
        <v>2.4900000000000002</v>
      </c>
      <c r="AV452" s="25">
        <v>2.5979166666666669</v>
      </c>
      <c r="AW452">
        <v>2.597916666666666</v>
      </c>
      <c r="AX452">
        <v>5.966934078125</v>
      </c>
      <c r="AY452" s="75">
        <v>0.56583721757051464</v>
      </c>
      <c r="AZ452" s="75"/>
      <c r="BA452" s="75"/>
      <c r="BC452">
        <v>4.6683942586595709E-2</v>
      </c>
      <c r="BF452">
        <v>9.3367885173191417E-2</v>
      </c>
      <c r="BG452">
        <v>4.6683942586595709E-2</v>
      </c>
      <c r="BH452">
        <v>0.56583721757051464</v>
      </c>
      <c r="BI452" s="79" t="s">
        <v>1305</v>
      </c>
      <c r="BJ452" s="79">
        <v>1273</v>
      </c>
      <c r="BK452" s="79">
        <v>60</v>
      </c>
      <c r="BL452" s="79" t="s">
        <v>1308</v>
      </c>
      <c r="BM452" s="79" t="s">
        <v>1275</v>
      </c>
      <c r="BN452" s="79" t="s">
        <v>890</v>
      </c>
      <c r="BO452" s="79">
        <v>0.3</v>
      </c>
      <c r="BP452" s="79">
        <v>5</v>
      </c>
      <c r="BQ452" s="79">
        <v>1</v>
      </c>
      <c r="BR452" s="79">
        <v>20</v>
      </c>
      <c r="BS452" s="79" t="s">
        <v>1378</v>
      </c>
      <c r="BT452" s="79" t="s">
        <v>464</v>
      </c>
      <c r="BU452" s="79" t="s">
        <v>1271</v>
      </c>
      <c r="BV452" s="79">
        <v>300</v>
      </c>
      <c r="BW452" s="79">
        <v>420</v>
      </c>
      <c r="BX452" s="79" t="s">
        <v>1311</v>
      </c>
      <c r="BY452" s="79">
        <v>298</v>
      </c>
      <c r="BZ452" s="81">
        <v>62.666666666666671</v>
      </c>
      <c r="CA452">
        <f t="shared" si="97"/>
        <v>4.1378296741618392</v>
      </c>
    </row>
    <row r="453" spans="1:79" x14ac:dyDescent="0.3">
      <c r="A453" s="2" t="s">
        <v>1381</v>
      </c>
      <c r="B453" s="13" t="s">
        <v>808</v>
      </c>
      <c r="C453" s="13"/>
      <c r="D453" s="2">
        <v>2.2000000000000002</v>
      </c>
      <c r="E453" s="2" t="s">
        <v>222</v>
      </c>
      <c r="F453" s="9" t="s">
        <v>589</v>
      </c>
      <c r="G453">
        <v>-1</v>
      </c>
      <c r="I453" s="2"/>
      <c r="J453" s="25">
        <v>1</v>
      </c>
      <c r="K453">
        <v>0</v>
      </c>
      <c r="L453">
        <v>0</v>
      </c>
      <c r="M453" s="2"/>
      <c r="N453" s="2"/>
      <c r="O453" s="2"/>
      <c r="P453" s="2"/>
      <c r="Q453" s="2"/>
      <c r="R453" s="25">
        <v>5.6694849300000003</v>
      </c>
      <c r="S453" s="25">
        <v>5.6694842000000003</v>
      </c>
      <c r="T453" s="25">
        <v>11.54266629</v>
      </c>
      <c r="U453">
        <v>0</v>
      </c>
      <c r="X453">
        <v>0</v>
      </c>
      <c r="AA453" s="2"/>
      <c r="AB453">
        <v>30</v>
      </c>
      <c r="AC453" s="55">
        <f t="shared" ref="AC453" si="99">M453*N453*O453</f>
        <v>0</v>
      </c>
      <c r="AD453" s="57">
        <v>321.30962315738361</v>
      </c>
      <c r="AE453" s="55">
        <v>0</v>
      </c>
      <c r="AF453" s="55">
        <v>0</v>
      </c>
      <c r="AG453" s="52"/>
      <c r="AH453" s="51">
        <v>9.3367885173191417E-2</v>
      </c>
      <c r="AI453" s="52"/>
      <c r="AJ453" s="52"/>
      <c r="AK453" s="28">
        <v>2</v>
      </c>
      <c r="AL453" s="28">
        <v>2.5</v>
      </c>
      <c r="AM453" s="28">
        <v>0.5</v>
      </c>
      <c r="AN453" s="28">
        <v>2.333333333333333</v>
      </c>
      <c r="AO453" s="28">
        <v>0.27272727272727282</v>
      </c>
      <c r="AP453" s="28">
        <v>0.34090909090909088</v>
      </c>
      <c r="AQ453" s="28">
        <v>6.8181818181818191E-2</v>
      </c>
      <c r="AR453" s="28">
        <v>0.31818181818181818</v>
      </c>
      <c r="AS453" s="25">
        <v>0.95</v>
      </c>
      <c r="AT453" s="25">
        <v>3.44</v>
      </c>
      <c r="AU453" s="25">
        <v>2.4900000000000002</v>
      </c>
      <c r="AV453" s="25">
        <v>2.5979166666666669</v>
      </c>
      <c r="AW453">
        <v>2.597916666666666</v>
      </c>
      <c r="AX453">
        <v>5.966934078125</v>
      </c>
      <c r="AY453" s="75">
        <v>0.56583721757051464</v>
      </c>
      <c r="AZ453" s="75"/>
      <c r="BA453" s="75"/>
      <c r="BC453">
        <v>4.6683942586595709E-2</v>
      </c>
      <c r="BF453">
        <v>9.3367885173191417E-2</v>
      </c>
      <c r="BG453">
        <v>4.6683942586595709E-2</v>
      </c>
      <c r="BH453">
        <v>0.56583721757051464</v>
      </c>
      <c r="BI453" s="79" t="s">
        <v>1305</v>
      </c>
      <c r="BJ453" s="79">
        <v>1273</v>
      </c>
      <c r="BK453" s="79">
        <v>60</v>
      </c>
      <c r="BL453" s="79" t="s">
        <v>1308</v>
      </c>
      <c r="BM453" s="79" t="s">
        <v>1275</v>
      </c>
      <c r="BN453" s="79" t="s">
        <v>1382</v>
      </c>
      <c r="BO453" s="79">
        <v>0.3</v>
      </c>
      <c r="BP453" s="79">
        <v>5</v>
      </c>
      <c r="BQ453" s="79">
        <v>1</v>
      </c>
      <c r="BR453" s="79">
        <v>20</v>
      </c>
      <c r="BS453" s="79" t="s">
        <v>1378</v>
      </c>
      <c r="BT453" s="79" t="s">
        <v>464</v>
      </c>
      <c r="BU453" s="79" t="s">
        <v>1271</v>
      </c>
      <c r="BV453" s="79">
        <v>300</v>
      </c>
      <c r="BW453" s="79">
        <v>420</v>
      </c>
      <c r="BX453" s="79" t="s">
        <v>1311</v>
      </c>
      <c r="BY453" s="79">
        <v>298</v>
      </c>
      <c r="BZ453" s="81">
        <v>46.000000000000007</v>
      </c>
      <c r="CA453">
        <f t="shared" si="97"/>
        <v>3.8286413964890951</v>
      </c>
    </row>
    <row r="454" spans="1:79" x14ac:dyDescent="0.3">
      <c r="A454" s="2" t="s">
        <v>1381</v>
      </c>
      <c r="B454" s="13" t="s">
        <v>808</v>
      </c>
      <c r="C454" s="13"/>
      <c r="D454" s="2">
        <v>2.2000000000000002</v>
      </c>
      <c r="E454" s="2" t="s">
        <v>222</v>
      </c>
      <c r="F454" s="9" t="s">
        <v>589</v>
      </c>
      <c r="G454">
        <v>-1</v>
      </c>
      <c r="I454" s="2"/>
      <c r="J454" s="25">
        <v>1</v>
      </c>
      <c r="K454">
        <v>0</v>
      </c>
      <c r="L454">
        <v>0</v>
      </c>
      <c r="M454" s="2"/>
      <c r="N454" s="2"/>
      <c r="O454" s="2"/>
      <c r="P454" s="2"/>
      <c r="Q454" s="2"/>
      <c r="R454" s="25">
        <v>5.6694849300000003</v>
      </c>
      <c r="S454" s="25">
        <v>5.6694842000000003</v>
      </c>
      <c r="T454" s="25">
        <v>11.54266629</v>
      </c>
      <c r="U454">
        <v>0</v>
      </c>
      <c r="X454">
        <v>0</v>
      </c>
      <c r="AA454" s="2"/>
      <c r="AB454">
        <v>30</v>
      </c>
      <c r="AC454" s="55">
        <f t="shared" ref="AC454" si="100">M454*N454*O454</f>
        <v>0</v>
      </c>
      <c r="AD454" s="57">
        <v>321.30962315738361</v>
      </c>
      <c r="AE454" s="55">
        <v>0</v>
      </c>
      <c r="AF454" s="55">
        <v>0</v>
      </c>
      <c r="AG454" s="52"/>
      <c r="AH454" s="51">
        <v>9.3367885173191417E-2</v>
      </c>
      <c r="AI454" s="52"/>
      <c r="AJ454" s="52"/>
      <c r="AK454" s="28">
        <v>2</v>
      </c>
      <c r="AL454" s="28">
        <v>2.5</v>
      </c>
      <c r="AM454" s="28">
        <v>0.5</v>
      </c>
      <c r="AN454" s="28">
        <v>2.333333333333333</v>
      </c>
      <c r="AO454" s="28">
        <v>0.27272727272727282</v>
      </c>
      <c r="AP454" s="28">
        <v>0.34090909090909088</v>
      </c>
      <c r="AQ454" s="28">
        <v>6.8181818181818191E-2</v>
      </c>
      <c r="AR454" s="28">
        <v>0.31818181818181818</v>
      </c>
      <c r="AS454" s="25">
        <v>0.95</v>
      </c>
      <c r="AT454" s="25">
        <v>3.44</v>
      </c>
      <c r="AU454" s="25">
        <v>2.4900000000000002</v>
      </c>
      <c r="AV454" s="25">
        <v>2.5979166666666669</v>
      </c>
      <c r="AW454">
        <v>2.597916666666666</v>
      </c>
      <c r="AX454">
        <v>5.966934078125</v>
      </c>
      <c r="AY454" s="75">
        <v>0.56583721757051464</v>
      </c>
      <c r="AZ454" s="75"/>
      <c r="BA454" s="75"/>
      <c r="BC454">
        <v>4.6683942586595709E-2</v>
      </c>
      <c r="BF454">
        <v>9.3367885173191417E-2</v>
      </c>
      <c r="BG454">
        <v>4.6683942586595709E-2</v>
      </c>
      <c r="BH454">
        <v>0.56583721757051464</v>
      </c>
      <c r="BI454" s="79" t="s">
        <v>1305</v>
      </c>
      <c r="BJ454" s="79">
        <v>1273</v>
      </c>
      <c r="BK454" s="79">
        <v>60</v>
      </c>
      <c r="BL454" s="79" t="s">
        <v>1308</v>
      </c>
      <c r="BM454" s="79" t="s">
        <v>1275</v>
      </c>
      <c r="BN454" s="79" t="s">
        <v>863</v>
      </c>
      <c r="BO454" s="79">
        <v>0.1</v>
      </c>
      <c r="BP454" s="79">
        <v>5</v>
      </c>
      <c r="BQ454" s="79">
        <v>1</v>
      </c>
      <c r="BR454" s="79">
        <v>20</v>
      </c>
      <c r="BS454" s="79" t="s">
        <v>1378</v>
      </c>
      <c r="BT454" s="79" t="s">
        <v>464</v>
      </c>
      <c r="BU454" s="79" t="s">
        <v>1271</v>
      </c>
      <c r="BV454" s="79">
        <v>300</v>
      </c>
      <c r="BW454" s="79">
        <v>420</v>
      </c>
      <c r="BX454" s="79" t="s">
        <v>1311</v>
      </c>
      <c r="BY454" s="79">
        <v>298</v>
      </c>
      <c r="BZ454" s="81">
        <v>10</v>
      </c>
      <c r="CA454">
        <f t="shared" si="97"/>
        <v>2.3025850929940459</v>
      </c>
    </row>
    <row r="455" spans="1:79" x14ac:dyDescent="0.3">
      <c r="A455" s="2" t="s">
        <v>1381</v>
      </c>
      <c r="B455" s="13" t="s">
        <v>808</v>
      </c>
      <c r="C455" s="13"/>
      <c r="D455" s="2">
        <v>2.2000000000000002</v>
      </c>
      <c r="E455" s="2" t="s">
        <v>222</v>
      </c>
      <c r="F455" s="9" t="s">
        <v>589</v>
      </c>
      <c r="G455">
        <v>-1</v>
      </c>
      <c r="I455" s="2"/>
      <c r="J455" s="25">
        <v>1</v>
      </c>
      <c r="K455">
        <v>0</v>
      </c>
      <c r="L455">
        <v>0</v>
      </c>
      <c r="M455" s="2"/>
      <c r="N455" s="2"/>
      <c r="O455" s="2"/>
      <c r="P455" s="2"/>
      <c r="Q455" s="2"/>
      <c r="R455" s="25">
        <v>5.6694849300000003</v>
      </c>
      <c r="S455" s="25">
        <v>5.6694842000000003</v>
      </c>
      <c r="T455" s="25">
        <v>11.54266629</v>
      </c>
      <c r="U455">
        <v>0</v>
      </c>
      <c r="X455">
        <v>0</v>
      </c>
      <c r="AA455" s="2"/>
      <c r="AB455">
        <v>30</v>
      </c>
      <c r="AC455" s="55">
        <f t="shared" ref="AC455:AC456" si="101">M455*N455*O455</f>
        <v>0</v>
      </c>
      <c r="AD455" s="57">
        <v>321.30962315738361</v>
      </c>
      <c r="AE455" s="55">
        <v>0</v>
      </c>
      <c r="AF455" s="55">
        <v>0</v>
      </c>
      <c r="AG455" s="52"/>
      <c r="AH455" s="51">
        <v>9.3367885173191417E-2</v>
      </c>
      <c r="AI455" s="52"/>
      <c r="AJ455" s="52"/>
      <c r="AK455" s="28">
        <v>2</v>
      </c>
      <c r="AL455" s="28">
        <v>2.5</v>
      </c>
      <c r="AM455" s="28">
        <v>0.5</v>
      </c>
      <c r="AN455" s="28">
        <v>2.333333333333333</v>
      </c>
      <c r="AO455" s="28">
        <v>0.27272727272727282</v>
      </c>
      <c r="AP455" s="28">
        <v>0.34090909090909088</v>
      </c>
      <c r="AQ455" s="28">
        <v>6.8181818181818191E-2</v>
      </c>
      <c r="AR455" s="28">
        <v>0.31818181818181818</v>
      </c>
      <c r="AS455" s="25">
        <v>0.95</v>
      </c>
      <c r="AT455" s="25">
        <v>3.44</v>
      </c>
      <c r="AU455" s="25">
        <v>2.4900000000000002</v>
      </c>
      <c r="AV455" s="25">
        <v>2.5979166666666669</v>
      </c>
      <c r="AW455">
        <v>2.597916666666666</v>
      </c>
      <c r="AX455">
        <v>5.966934078125</v>
      </c>
      <c r="AY455" s="75">
        <v>0.56583721757051464</v>
      </c>
      <c r="AZ455" s="75"/>
      <c r="BA455" s="75"/>
      <c r="BC455">
        <v>4.6683942586595709E-2</v>
      </c>
      <c r="BF455">
        <v>9.3367885173191417E-2</v>
      </c>
      <c r="BG455">
        <v>4.6683942586595709E-2</v>
      </c>
      <c r="BH455">
        <v>0.56583721757051464</v>
      </c>
      <c r="BI455" s="79" t="s">
        <v>1305</v>
      </c>
      <c r="BJ455" s="79">
        <v>1273</v>
      </c>
      <c r="BK455" s="79">
        <v>60</v>
      </c>
      <c r="BL455" s="79" t="s">
        <v>1308</v>
      </c>
      <c r="BM455" s="79" t="s">
        <v>1275</v>
      </c>
      <c r="BN455" s="79" t="s">
        <v>863</v>
      </c>
      <c r="BO455" s="79">
        <v>0.5</v>
      </c>
      <c r="BP455" s="79">
        <v>5</v>
      </c>
      <c r="BQ455" s="79">
        <v>1</v>
      </c>
      <c r="BR455" s="79">
        <v>20</v>
      </c>
      <c r="BS455" s="79" t="s">
        <v>1378</v>
      </c>
      <c r="BT455" s="79" t="s">
        <v>464</v>
      </c>
      <c r="BU455" s="79" t="s">
        <v>1271</v>
      </c>
      <c r="BV455" s="79">
        <v>300</v>
      </c>
      <c r="BW455" s="79">
        <v>420</v>
      </c>
      <c r="BX455" s="79" t="s">
        <v>1311</v>
      </c>
      <c r="BY455" s="79">
        <v>298</v>
      </c>
      <c r="BZ455" s="81">
        <v>83.333333333333343</v>
      </c>
      <c r="CA455">
        <f t="shared" si="97"/>
        <v>4.4228486291941369</v>
      </c>
    </row>
    <row r="456" spans="1:79" x14ac:dyDescent="0.3">
      <c r="A456" s="2" t="s">
        <v>1381</v>
      </c>
      <c r="B456" s="13" t="s">
        <v>808</v>
      </c>
      <c r="C456" s="13"/>
      <c r="D456" s="2">
        <v>2.2000000000000002</v>
      </c>
      <c r="E456" s="2" t="s">
        <v>222</v>
      </c>
      <c r="F456" s="9" t="s">
        <v>589</v>
      </c>
      <c r="G456">
        <v>-1</v>
      </c>
      <c r="I456" s="2"/>
      <c r="J456" s="25">
        <v>1</v>
      </c>
      <c r="K456">
        <v>0</v>
      </c>
      <c r="L456">
        <v>0</v>
      </c>
      <c r="M456" s="2"/>
      <c r="N456" s="2"/>
      <c r="O456" s="2"/>
      <c r="P456" s="2"/>
      <c r="Q456" s="2"/>
      <c r="R456" s="25">
        <v>5.6694849300000003</v>
      </c>
      <c r="S456" s="25">
        <v>5.6694842000000003</v>
      </c>
      <c r="T456" s="25">
        <v>11.54266629</v>
      </c>
      <c r="U456">
        <v>0</v>
      </c>
      <c r="X456">
        <v>0</v>
      </c>
      <c r="AA456" s="2"/>
      <c r="AB456">
        <v>30</v>
      </c>
      <c r="AC456" s="55">
        <f t="shared" si="101"/>
        <v>0</v>
      </c>
      <c r="AD456" s="57">
        <v>321.30962315738361</v>
      </c>
      <c r="AE456" s="55">
        <v>0</v>
      </c>
      <c r="AF456" s="55">
        <v>0</v>
      </c>
      <c r="AG456" s="52"/>
      <c r="AH456" s="51">
        <v>9.3367885173191417E-2</v>
      </c>
      <c r="AI456" s="52"/>
      <c r="AJ456" s="52"/>
      <c r="AK456" s="28">
        <v>2</v>
      </c>
      <c r="AL456" s="28">
        <v>2.5</v>
      </c>
      <c r="AM456" s="28">
        <v>0.5</v>
      </c>
      <c r="AN456" s="28">
        <v>2.333333333333333</v>
      </c>
      <c r="AO456" s="28">
        <v>0.27272727272727282</v>
      </c>
      <c r="AP456" s="28">
        <v>0.34090909090909088</v>
      </c>
      <c r="AQ456" s="28">
        <v>6.8181818181818191E-2</v>
      </c>
      <c r="AR456" s="28">
        <v>0.31818181818181818</v>
      </c>
      <c r="AS456" s="25">
        <v>0.95</v>
      </c>
      <c r="AT456" s="25">
        <v>3.44</v>
      </c>
      <c r="AU456" s="25">
        <v>2.4900000000000002</v>
      </c>
      <c r="AV456" s="25">
        <v>2.5979166666666669</v>
      </c>
      <c r="AW456">
        <v>2.597916666666666</v>
      </c>
      <c r="AX456">
        <v>5.966934078125</v>
      </c>
      <c r="AY456" s="75">
        <v>0.56583721757051464</v>
      </c>
      <c r="AZ456" s="75"/>
      <c r="BA456" s="75"/>
      <c r="BC456">
        <v>4.6683942586595709E-2</v>
      </c>
      <c r="BF456">
        <v>9.3367885173191417E-2</v>
      </c>
      <c r="BG456">
        <v>4.6683942586595709E-2</v>
      </c>
      <c r="BH456">
        <v>0.56583721757051464</v>
      </c>
      <c r="BI456" s="79" t="s">
        <v>1305</v>
      </c>
      <c r="BJ456" s="79">
        <v>1273</v>
      </c>
      <c r="BK456" s="79">
        <v>60</v>
      </c>
      <c r="BL456" s="79" t="s">
        <v>1308</v>
      </c>
      <c r="BM456" s="79" t="s">
        <v>1275</v>
      </c>
      <c r="BN456" s="79" t="s">
        <v>863</v>
      </c>
      <c r="BO456" s="79">
        <v>3</v>
      </c>
      <c r="BP456" s="79">
        <v>5</v>
      </c>
      <c r="BQ456" s="79">
        <v>1</v>
      </c>
      <c r="BR456" s="79">
        <v>20</v>
      </c>
      <c r="BS456" s="79" t="s">
        <v>1378</v>
      </c>
      <c r="BT456" s="79" t="s">
        <v>464</v>
      </c>
      <c r="BU456" s="79" t="s">
        <v>1271</v>
      </c>
      <c r="BV456" s="79">
        <v>300</v>
      </c>
      <c r="BW456" s="79">
        <v>420</v>
      </c>
      <c r="BX456" s="79" t="s">
        <v>1311</v>
      </c>
      <c r="BY456" s="79">
        <v>298</v>
      </c>
      <c r="BZ456" s="81">
        <v>30</v>
      </c>
      <c r="CA456">
        <f t="shared" si="97"/>
        <v>3.4011973816621555</v>
      </c>
    </row>
    <row r="457" spans="1:79" x14ac:dyDescent="0.3">
      <c r="A457" s="2" t="s">
        <v>1381</v>
      </c>
      <c r="B457" s="13" t="s">
        <v>808</v>
      </c>
      <c r="C457" s="13"/>
      <c r="D457" s="2">
        <v>2.2000000000000002</v>
      </c>
      <c r="E457" s="2" t="s">
        <v>222</v>
      </c>
      <c r="F457" s="9" t="s">
        <v>589</v>
      </c>
      <c r="G457">
        <v>-1</v>
      </c>
      <c r="I457" s="2"/>
      <c r="J457" s="25">
        <v>1</v>
      </c>
      <c r="K457">
        <v>0</v>
      </c>
      <c r="L457">
        <v>0</v>
      </c>
      <c r="M457" s="2"/>
      <c r="N457" s="2"/>
      <c r="O457" s="2"/>
      <c r="P457" s="2"/>
      <c r="Q457" s="2"/>
      <c r="R457" s="25">
        <v>5.6694849300000003</v>
      </c>
      <c r="S457" s="25">
        <v>5.6694842000000003</v>
      </c>
      <c r="T457" s="25">
        <v>11.54266629</v>
      </c>
      <c r="U457">
        <v>0</v>
      </c>
      <c r="X457">
        <v>0</v>
      </c>
      <c r="AA457" s="2"/>
      <c r="AB457">
        <v>30</v>
      </c>
      <c r="AC457" s="55">
        <f t="shared" ref="AC457" si="102">M457*N457*O457</f>
        <v>0</v>
      </c>
      <c r="AD457" s="57">
        <v>321.30962315738361</v>
      </c>
      <c r="AE457" s="55">
        <v>0</v>
      </c>
      <c r="AF457" s="55">
        <v>0</v>
      </c>
      <c r="AG457" s="52"/>
      <c r="AH457" s="51">
        <v>9.3367885173191417E-2</v>
      </c>
      <c r="AI457" s="52"/>
      <c r="AJ457" s="52"/>
      <c r="AK457" s="28">
        <v>2</v>
      </c>
      <c r="AL457" s="28">
        <v>2.5</v>
      </c>
      <c r="AM457" s="28">
        <v>0.5</v>
      </c>
      <c r="AN457" s="28">
        <v>2.333333333333333</v>
      </c>
      <c r="AO457" s="28">
        <v>0.27272727272727282</v>
      </c>
      <c r="AP457" s="28">
        <v>0.34090909090909088</v>
      </c>
      <c r="AQ457" s="28">
        <v>6.8181818181818191E-2</v>
      </c>
      <c r="AR457" s="28">
        <v>0.31818181818181818</v>
      </c>
      <c r="AS457" s="25">
        <v>0.95</v>
      </c>
      <c r="AT457" s="25">
        <v>3.44</v>
      </c>
      <c r="AU457" s="25">
        <v>2.4900000000000002</v>
      </c>
      <c r="AV457" s="25">
        <v>2.5979166666666669</v>
      </c>
      <c r="AW457">
        <v>2.597916666666666</v>
      </c>
      <c r="AX457">
        <v>5.966934078125</v>
      </c>
      <c r="AY457" s="75">
        <v>0.56583721757051464</v>
      </c>
      <c r="AZ457" s="75"/>
      <c r="BA457" s="75"/>
      <c r="BC457">
        <v>4.6683942586595709E-2</v>
      </c>
      <c r="BF457">
        <v>9.3367885173191417E-2</v>
      </c>
      <c r="BG457">
        <v>4.6683942586595709E-2</v>
      </c>
      <c r="BH457">
        <v>0.56583721757051464</v>
      </c>
      <c r="BI457" s="79" t="s">
        <v>1305</v>
      </c>
      <c r="BJ457" s="79">
        <v>1273</v>
      </c>
      <c r="BK457" s="79">
        <v>60</v>
      </c>
      <c r="BL457" s="79" t="s">
        <v>1308</v>
      </c>
      <c r="BM457" s="79" t="s">
        <v>1275</v>
      </c>
      <c r="BN457" s="79" t="s">
        <v>863</v>
      </c>
      <c r="BO457" s="79">
        <v>5</v>
      </c>
      <c r="BP457" s="79">
        <v>5</v>
      </c>
      <c r="BQ457" s="79">
        <v>1</v>
      </c>
      <c r="BR457" s="79">
        <v>20</v>
      </c>
      <c r="BS457" s="79" t="s">
        <v>1378</v>
      </c>
      <c r="BT457" s="79" t="s">
        <v>464</v>
      </c>
      <c r="BU457" s="79" t="s">
        <v>1271</v>
      </c>
      <c r="BV457" s="79">
        <v>300</v>
      </c>
      <c r="BW457" s="79">
        <v>420</v>
      </c>
      <c r="BX457" s="79" t="s">
        <v>1311</v>
      </c>
      <c r="BY457" s="79">
        <v>298</v>
      </c>
      <c r="BZ457" s="81">
        <v>20</v>
      </c>
      <c r="CA457">
        <f t="shared" si="97"/>
        <v>2.9957322735539909</v>
      </c>
    </row>
    <row r="458" spans="1:79" x14ac:dyDescent="0.3">
      <c r="A458" s="2" t="s">
        <v>185</v>
      </c>
      <c r="B458" s="13" t="s">
        <v>729</v>
      </c>
      <c r="C458" s="13"/>
      <c r="D458" s="2">
        <v>4.2</v>
      </c>
      <c r="E458" s="2" t="s">
        <v>223</v>
      </c>
      <c r="F458" s="9" t="s">
        <v>556</v>
      </c>
      <c r="G458" t="s">
        <v>633</v>
      </c>
      <c r="I458" s="2"/>
      <c r="J458" s="25">
        <v>2</v>
      </c>
      <c r="K458">
        <v>4</v>
      </c>
      <c r="L458">
        <v>0</v>
      </c>
      <c r="M458" s="2"/>
      <c r="N458" s="2"/>
      <c r="O458" s="2"/>
      <c r="P458" s="2"/>
      <c r="Q458" s="2"/>
      <c r="R458" s="25">
        <v>13.81974189</v>
      </c>
      <c r="S458" s="25">
        <v>13.81974189</v>
      </c>
      <c r="T458" s="25">
        <v>5.7110870199999999</v>
      </c>
      <c r="U458">
        <v>3.94</v>
      </c>
      <c r="V458">
        <v>27.15</v>
      </c>
      <c r="W458">
        <v>5.6920000000000002</v>
      </c>
      <c r="X458">
        <v>0</v>
      </c>
      <c r="AA458" s="2"/>
      <c r="AB458">
        <v>14</v>
      </c>
      <c r="AC458" s="55">
        <f t="shared" si="70"/>
        <v>0</v>
      </c>
      <c r="AD458" s="57">
        <v>309.44138863753989</v>
      </c>
      <c r="AE458" s="55">
        <v>608.87893199999996</v>
      </c>
      <c r="AF458" s="55">
        <v>0</v>
      </c>
      <c r="AG458" s="52"/>
      <c r="AH458" s="51">
        <v>9.0485633235046756E-2</v>
      </c>
      <c r="AI458" s="52">
        <v>9.1972306901891634E-2</v>
      </c>
      <c r="AJ458" s="52"/>
      <c r="AK458" s="28">
        <v>2</v>
      </c>
      <c r="AL458" s="28">
        <v>2.545454545454545</v>
      </c>
      <c r="AM458" s="28">
        <v>0.54545454545454541</v>
      </c>
      <c r="AN458" s="28">
        <v>2.545454545454545</v>
      </c>
      <c r="AO458" s="28">
        <v>0.26190476190476192</v>
      </c>
      <c r="AP458" s="28">
        <v>0.33333333333333331</v>
      </c>
      <c r="AQ458" s="28">
        <v>7.1428571428571425E-2</v>
      </c>
      <c r="AR458" s="28">
        <v>0.33333333333333331</v>
      </c>
      <c r="AS458" s="25">
        <v>0.95</v>
      </c>
      <c r="AT458" s="25">
        <v>3.44</v>
      </c>
      <c r="AU458" s="25">
        <v>2.4900000000000002</v>
      </c>
      <c r="AV458" s="25">
        <v>2.6345454545454539</v>
      </c>
      <c r="AW458">
        <v>2.6345454545454552</v>
      </c>
      <c r="AX458">
        <v>6.036062318181818</v>
      </c>
      <c r="AY458" s="75">
        <v>0.52932707238284982</v>
      </c>
      <c r="AZ458" s="75">
        <v>0.53802388525275069</v>
      </c>
      <c r="BA458" s="75"/>
      <c r="BC458">
        <v>4.5242816617523378E-2</v>
      </c>
      <c r="BD458">
        <v>4.5986153450945817E-2</v>
      </c>
      <c r="BF458">
        <v>9.1228970068469195E-2</v>
      </c>
      <c r="BG458">
        <v>4.5614485034234598E-2</v>
      </c>
      <c r="BH458">
        <v>0.5336754788178002</v>
      </c>
      <c r="BI458" s="79" t="s">
        <v>1264</v>
      </c>
      <c r="BJ458" s="79">
        <v>1373</v>
      </c>
      <c r="BK458" s="79">
        <v>32</v>
      </c>
      <c r="BM458" s="79" t="s">
        <v>1275</v>
      </c>
      <c r="BN458" s="79" t="s">
        <v>863</v>
      </c>
      <c r="BO458" s="79">
        <v>0.5</v>
      </c>
      <c r="BQ458" s="79">
        <v>1</v>
      </c>
      <c r="BR458" s="79">
        <v>20</v>
      </c>
      <c r="BS458" s="79" t="s">
        <v>464</v>
      </c>
      <c r="BT458" s="79" t="s">
        <v>464</v>
      </c>
      <c r="BU458" s="79" t="s">
        <v>1271</v>
      </c>
      <c r="BV458" s="79">
        <v>300</v>
      </c>
      <c r="BX458" s="79" t="s">
        <v>1287</v>
      </c>
      <c r="BZ458" s="81">
        <v>1100</v>
      </c>
      <c r="CA458">
        <f t="shared" si="97"/>
        <v>7.0030654587864616</v>
      </c>
    </row>
    <row r="459" spans="1:79" x14ac:dyDescent="0.3">
      <c r="A459" s="2" t="s">
        <v>1380</v>
      </c>
      <c r="B459" s="13" t="s">
        <v>729</v>
      </c>
      <c r="C459" s="13"/>
      <c r="D459" s="2">
        <v>2.2999999999999998</v>
      </c>
      <c r="E459" s="2" t="s">
        <v>223</v>
      </c>
      <c r="F459" s="9" t="s">
        <v>556</v>
      </c>
      <c r="G459" t="s">
        <v>633</v>
      </c>
      <c r="I459" s="2"/>
      <c r="J459" s="25">
        <v>2</v>
      </c>
      <c r="K459">
        <v>4</v>
      </c>
      <c r="L459">
        <v>0</v>
      </c>
      <c r="M459" s="2"/>
      <c r="N459" s="2"/>
      <c r="O459" s="2"/>
      <c r="P459" s="2"/>
      <c r="Q459" s="2"/>
      <c r="R459" s="25">
        <v>13.81974189</v>
      </c>
      <c r="S459" s="25">
        <v>13.81974189</v>
      </c>
      <c r="T459" s="25">
        <v>5.7110870199999999</v>
      </c>
      <c r="U459">
        <v>3.94</v>
      </c>
      <c r="V459">
        <v>27.15</v>
      </c>
      <c r="W459">
        <v>5.6920000000000002</v>
      </c>
      <c r="X459">
        <v>0</v>
      </c>
      <c r="AA459" s="2"/>
      <c r="AB459">
        <v>14</v>
      </c>
      <c r="AC459" s="55">
        <f t="shared" si="70"/>
        <v>0</v>
      </c>
      <c r="AD459" s="57">
        <v>309.44138863753989</v>
      </c>
      <c r="AE459" s="55">
        <v>608.87893199999996</v>
      </c>
      <c r="AF459" s="55">
        <v>0</v>
      </c>
      <c r="AG459" s="52"/>
      <c r="AH459" s="51">
        <v>9.0485633235046756E-2</v>
      </c>
      <c r="AI459" s="52">
        <v>9.1972306901891634E-2</v>
      </c>
      <c r="AJ459" s="52"/>
      <c r="AK459" s="28">
        <v>2</v>
      </c>
      <c r="AL459" s="28">
        <v>2.545454545454545</v>
      </c>
      <c r="AM459" s="28">
        <v>0.54545454545454541</v>
      </c>
      <c r="AN459" s="28">
        <v>2.545454545454545</v>
      </c>
      <c r="AO459" s="28">
        <v>0.26190476190476192</v>
      </c>
      <c r="AP459" s="28">
        <v>0.33333333333333331</v>
      </c>
      <c r="AQ459" s="28">
        <v>7.1428571428571425E-2</v>
      </c>
      <c r="AR459" s="28">
        <v>0.33333333333333331</v>
      </c>
      <c r="AS459" s="25">
        <v>0.95</v>
      </c>
      <c r="AT459" s="25">
        <v>3.44</v>
      </c>
      <c r="AU459" s="25">
        <v>2.4900000000000002</v>
      </c>
      <c r="AV459" s="25">
        <v>2.6345454545454539</v>
      </c>
      <c r="AW459">
        <v>2.6345454545454552</v>
      </c>
      <c r="AX459">
        <v>6.036062318181818</v>
      </c>
      <c r="AY459" s="75">
        <v>0.52932707238284982</v>
      </c>
      <c r="AZ459" s="75">
        <v>0.53802388525275069</v>
      </c>
      <c r="BA459" s="75"/>
      <c r="BC459">
        <v>4.5242816617523378E-2</v>
      </c>
      <c r="BD459">
        <v>4.5986153450945817E-2</v>
      </c>
      <c r="BF459">
        <v>9.1228970068469195E-2</v>
      </c>
      <c r="BG459">
        <v>4.5614485034234598E-2</v>
      </c>
      <c r="BH459">
        <v>0.5336754788178002</v>
      </c>
      <c r="BI459" s="79" t="s">
        <v>1264</v>
      </c>
      <c r="BJ459" s="79">
        <v>1373</v>
      </c>
      <c r="BK459" s="79">
        <v>32</v>
      </c>
      <c r="BL459" s="79" t="s">
        <v>1308</v>
      </c>
      <c r="BM459" s="79" t="s">
        <v>1275</v>
      </c>
      <c r="BN459" s="79" t="s">
        <v>863</v>
      </c>
      <c r="BO459" s="79">
        <v>0.5</v>
      </c>
      <c r="BQ459" s="79">
        <v>1</v>
      </c>
      <c r="BR459" s="79">
        <v>20</v>
      </c>
      <c r="BS459" s="79" t="s">
        <v>464</v>
      </c>
      <c r="BT459" s="79" t="s">
        <v>464</v>
      </c>
      <c r="BU459" s="79" t="s">
        <v>1271</v>
      </c>
      <c r="BV459" s="79">
        <v>300</v>
      </c>
      <c r="BX459" s="79" t="s">
        <v>1287</v>
      </c>
      <c r="BZ459" s="81">
        <v>1950</v>
      </c>
      <c r="CA459">
        <f t="shared" si="97"/>
        <v>7.5755846515577927</v>
      </c>
    </row>
    <row r="460" spans="1:79" x14ac:dyDescent="0.3">
      <c r="A460" s="2" t="s">
        <v>1383</v>
      </c>
      <c r="B460" s="13"/>
      <c r="C460" s="13"/>
      <c r="D460" s="2"/>
      <c r="E460" s="2" t="s">
        <v>224</v>
      </c>
      <c r="F460" s="9"/>
      <c r="H460" t="s">
        <v>1387</v>
      </c>
      <c r="I460" s="2"/>
      <c r="J460" s="25"/>
      <c r="M460" s="2"/>
      <c r="N460" s="2"/>
      <c r="O460" s="2"/>
      <c r="P460" s="2"/>
      <c r="Q460" s="2"/>
      <c r="R460" s="25"/>
      <c r="S460" s="25"/>
      <c r="T460" s="25"/>
      <c r="AA460" s="2"/>
      <c r="AC460" s="55"/>
      <c r="AD460" s="57"/>
      <c r="AE460" s="55"/>
      <c r="AF460" s="55"/>
      <c r="AG460" s="52"/>
      <c r="AH460" s="51"/>
      <c r="AI460" s="52"/>
      <c r="AJ460" s="52"/>
      <c r="AK460" s="28"/>
      <c r="AL460" s="28"/>
      <c r="AM460" s="28"/>
      <c r="AN460" s="28"/>
      <c r="AO460" s="28"/>
      <c r="AP460" s="28"/>
      <c r="AQ460" s="28"/>
      <c r="AR460" s="28"/>
      <c r="AS460" s="25"/>
      <c r="AT460" s="25"/>
      <c r="AU460" s="25"/>
      <c r="AV460" s="25"/>
      <c r="AY460" s="75"/>
      <c r="AZ460" s="75"/>
      <c r="BA460" s="75"/>
      <c r="BI460" s="79" t="s">
        <v>1264</v>
      </c>
      <c r="BJ460" s="79">
        <v>1273</v>
      </c>
      <c r="BK460" s="79">
        <v>10</v>
      </c>
      <c r="BM460" s="79" t="s">
        <v>1275</v>
      </c>
      <c r="BN460" s="79" t="s">
        <v>56</v>
      </c>
      <c r="BO460" s="79">
        <v>1</v>
      </c>
      <c r="BP460" s="79">
        <v>2</v>
      </c>
      <c r="BQ460" s="79">
        <v>2</v>
      </c>
      <c r="BR460" s="79">
        <v>0</v>
      </c>
      <c r="BS460" s="79" t="s">
        <v>464</v>
      </c>
      <c r="BT460" s="79" t="s">
        <v>464</v>
      </c>
      <c r="BU460" s="79" t="s">
        <v>1266</v>
      </c>
      <c r="BV460" s="79">
        <v>450</v>
      </c>
      <c r="BX460" s="79" t="s">
        <v>1287</v>
      </c>
      <c r="BZ460" s="81">
        <v>8</v>
      </c>
      <c r="CA460">
        <f t="shared" si="97"/>
        <v>2.0794415416798357</v>
      </c>
    </row>
    <row r="461" spans="1:79" x14ac:dyDescent="0.3">
      <c r="A461" s="2" t="s">
        <v>34</v>
      </c>
      <c r="B461" s="13"/>
      <c r="C461" s="13"/>
      <c r="D461" s="2">
        <v>3.31</v>
      </c>
      <c r="E461" s="2" t="s">
        <v>224</v>
      </c>
      <c r="F461" s="9" t="s">
        <v>542</v>
      </c>
      <c r="G461" t="s">
        <v>623</v>
      </c>
      <c r="I461" s="2"/>
      <c r="J461" s="25"/>
      <c r="M461" s="2"/>
      <c r="N461" s="2"/>
      <c r="O461" s="2"/>
      <c r="P461" s="2"/>
      <c r="Q461" s="2"/>
      <c r="R461" s="25"/>
      <c r="S461" s="25"/>
      <c r="T461" s="25"/>
      <c r="AA461" s="2"/>
      <c r="AC461" s="55"/>
      <c r="AD461" s="57"/>
      <c r="AE461" s="55"/>
      <c r="AF461" s="55"/>
      <c r="AG461" s="52"/>
      <c r="AH461" s="51"/>
      <c r="AI461" s="52"/>
      <c r="AJ461" s="52"/>
      <c r="AK461" s="28"/>
      <c r="AL461" s="28"/>
      <c r="AM461" s="28"/>
      <c r="AN461" s="28"/>
      <c r="AO461" s="28"/>
      <c r="AP461" s="28"/>
      <c r="AQ461" s="28"/>
      <c r="AR461" s="28"/>
      <c r="AS461" s="25"/>
      <c r="AT461" s="25"/>
      <c r="AU461" s="25"/>
      <c r="AV461" s="25"/>
      <c r="AY461" s="75"/>
      <c r="AZ461" s="75"/>
      <c r="BA461" s="75"/>
      <c r="BI461" s="79" t="s">
        <v>1264</v>
      </c>
      <c r="BJ461" s="79">
        <v>1273</v>
      </c>
      <c r="BK461" s="79">
        <v>10</v>
      </c>
      <c r="BM461" s="79" t="s">
        <v>1275</v>
      </c>
      <c r="BN461" s="79" t="s">
        <v>56</v>
      </c>
      <c r="BO461" s="79">
        <v>1</v>
      </c>
      <c r="BP461" s="79">
        <v>2</v>
      </c>
      <c r="BQ461" s="79">
        <v>2</v>
      </c>
      <c r="BR461" s="79">
        <v>0</v>
      </c>
      <c r="BS461" s="79" t="s">
        <v>464</v>
      </c>
      <c r="BT461" s="79" t="s">
        <v>464</v>
      </c>
      <c r="BU461" s="79" t="s">
        <v>1266</v>
      </c>
      <c r="BV461" s="79">
        <v>450</v>
      </c>
      <c r="BX461" s="79" t="s">
        <v>1287</v>
      </c>
      <c r="BZ461" s="81">
        <v>11</v>
      </c>
      <c r="CA461">
        <f t="shared" si="97"/>
        <v>2.3978952727983707</v>
      </c>
    </row>
    <row r="462" spans="1:79" x14ac:dyDescent="0.3">
      <c r="A462" s="2" t="s">
        <v>49</v>
      </c>
      <c r="B462" s="13"/>
      <c r="C462" s="13"/>
      <c r="D462" s="2"/>
      <c r="E462" s="2" t="s">
        <v>224</v>
      </c>
      <c r="F462" s="9"/>
      <c r="H462" t="s">
        <v>1385</v>
      </c>
      <c r="I462" s="2"/>
      <c r="J462" s="25"/>
      <c r="M462" s="2"/>
      <c r="N462" s="2"/>
      <c r="O462" s="2"/>
      <c r="P462" s="2"/>
      <c r="Q462" s="2"/>
      <c r="R462" s="25"/>
      <c r="S462" s="25"/>
      <c r="T462" s="25"/>
      <c r="AA462" s="2"/>
      <c r="AC462" s="55"/>
      <c r="AD462" s="57"/>
      <c r="AE462" s="55"/>
      <c r="AF462" s="55"/>
      <c r="AG462" s="52"/>
      <c r="AH462" s="51"/>
      <c r="AI462" s="52"/>
      <c r="AJ462" s="52"/>
      <c r="AK462" s="28"/>
      <c r="AL462" s="28"/>
      <c r="AM462" s="28"/>
      <c r="AN462" s="28"/>
      <c r="AO462" s="28"/>
      <c r="AP462" s="28"/>
      <c r="AQ462" s="28"/>
      <c r="AR462" s="28"/>
      <c r="AS462" s="25"/>
      <c r="AT462" s="25"/>
      <c r="AU462" s="25"/>
      <c r="AV462" s="25"/>
      <c r="AY462" s="75"/>
      <c r="AZ462" s="75"/>
      <c r="BA462" s="75"/>
      <c r="BI462" s="79" t="s">
        <v>1264</v>
      </c>
      <c r="BJ462" s="79">
        <v>1273</v>
      </c>
      <c r="BK462" s="79">
        <v>10</v>
      </c>
      <c r="BM462" s="79" t="s">
        <v>1275</v>
      </c>
      <c r="BN462" s="79" t="s">
        <v>56</v>
      </c>
      <c r="BO462" s="79">
        <v>1</v>
      </c>
      <c r="BP462" s="79">
        <v>2</v>
      </c>
      <c r="BQ462" s="79">
        <v>2</v>
      </c>
      <c r="BR462" s="79">
        <v>0</v>
      </c>
      <c r="BS462" s="79" t="s">
        <v>464</v>
      </c>
      <c r="BT462" s="79" t="s">
        <v>464</v>
      </c>
      <c r="BU462" s="79" t="s">
        <v>1266</v>
      </c>
      <c r="BV462" s="79">
        <v>450</v>
      </c>
      <c r="BX462" s="79" t="s">
        <v>1287</v>
      </c>
      <c r="BZ462" s="81">
        <v>402</v>
      </c>
      <c r="CA462">
        <f t="shared" si="97"/>
        <v>5.9964520886190211</v>
      </c>
    </row>
    <row r="463" spans="1:79" x14ac:dyDescent="0.3">
      <c r="A463" s="2" t="s">
        <v>185</v>
      </c>
      <c r="B463" s="13"/>
      <c r="C463" s="13"/>
      <c r="D463" s="2"/>
      <c r="E463" s="2" t="s">
        <v>224</v>
      </c>
      <c r="F463" s="9"/>
      <c r="H463" t="s">
        <v>1386</v>
      </c>
      <c r="I463" s="2"/>
      <c r="J463" s="25"/>
      <c r="M463" s="2"/>
      <c r="N463" s="2"/>
      <c r="O463" s="2"/>
      <c r="P463" s="2"/>
      <c r="Q463" s="2"/>
      <c r="R463" s="25"/>
      <c r="S463" s="25"/>
      <c r="T463" s="25"/>
      <c r="AA463" s="2"/>
      <c r="AC463" s="55"/>
      <c r="AD463" s="57"/>
      <c r="AE463" s="55"/>
      <c r="AF463" s="55"/>
      <c r="AG463" s="52"/>
      <c r="AH463" s="51"/>
      <c r="AI463" s="52"/>
      <c r="AJ463" s="52"/>
      <c r="AK463" s="28"/>
      <c r="AL463" s="28"/>
      <c r="AM463" s="28"/>
      <c r="AN463" s="28"/>
      <c r="AO463" s="28"/>
      <c r="AP463" s="28"/>
      <c r="AQ463" s="28"/>
      <c r="AR463" s="28"/>
      <c r="AS463" s="25"/>
      <c r="AT463" s="25"/>
      <c r="AU463" s="25"/>
      <c r="AV463" s="25"/>
      <c r="AY463" s="75"/>
      <c r="AZ463" s="75"/>
      <c r="BA463" s="75"/>
      <c r="BI463" s="79" t="s">
        <v>1264</v>
      </c>
      <c r="BJ463" s="79">
        <v>1273</v>
      </c>
      <c r="BK463" s="79">
        <v>10</v>
      </c>
      <c r="BM463" s="79" t="s">
        <v>1275</v>
      </c>
      <c r="BN463" s="79" t="s">
        <v>56</v>
      </c>
      <c r="BO463" s="79">
        <v>1</v>
      </c>
      <c r="BP463" s="79">
        <v>2</v>
      </c>
      <c r="BQ463" s="79">
        <v>2</v>
      </c>
      <c r="BR463" s="79">
        <v>0</v>
      </c>
      <c r="BS463" s="79" t="s">
        <v>464</v>
      </c>
      <c r="BT463" s="79" t="s">
        <v>464</v>
      </c>
      <c r="BU463" s="79" t="s">
        <v>1266</v>
      </c>
      <c r="BV463" s="79">
        <v>450</v>
      </c>
      <c r="BX463" s="79" t="s">
        <v>1287</v>
      </c>
      <c r="BZ463" s="81">
        <v>796</v>
      </c>
      <c r="CA463">
        <f t="shared" si="97"/>
        <v>6.6795991858443831</v>
      </c>
    </row>
    <row r="464" spans="1:79" x14ac:dyDescent="0.3">
      <c r="A464" s="2" t="s">
        <v>46</v>
      </c>
      <c r="B464" s="13" t="s">
        <v>722</v>
      </c>
      <c r="C464" s="13"/>
      <c r="D464" s="2">
        <v>3.82</v>
      </c>
      <c r="E464" s="2" t="s">
        <v>224</v>
      </c>
      <c r="F464" s="9" t="s">
        <v>551</v>
      </c>
      <c r="G464" t="s">
        <v>629</v>
      </c>
      <c r="I464" s="2"/>
      <c r="J464" s="25">
        <v>2</v>
      </c>
      <c r="K464">
        <v>4</v>
      </c>
      <c r="L464">
        <v>0</v>
      </c>
      <c r="M464" s="2"/>
      <c r="N464" s="2"/>
      <c r="O464" s="2"/>
      <c r="P464" s="2"/>
      <c r="Q464" s="2"/>
      <c r="R464" s="25">
        <v>7.41544296</v>
      </c>
      <c r="S464" s="25">
        <v>7.4154429599999991</v>
      </c>
      <c r="T464" s="25">
        <v>7.41544296</v>
      </c>
      <c r="U464">
        <v>7.8</v>
      </c>
      <c r="V464">
        <v>13.010999999999999</v>
      </c>
      <c r="W464">
        <v>5.5460000000000003</v>
      </c>
      <c r="X464">
        <v>0</v>
      </c>
      <c r="AA464" s="2"/>
      <c r="AB464">
        <v>14</v>
      </c>
      <c r="AC464" s="55">
        <f t="shared" si="70"/>
        <v>0</v>
      </c>
      <c r="AD464" s="57">
        <v>288.33429290182369</v>
      </c>
      <c r="AE464" s="55">
        <v>556.51188553357167</v>
      </c>
      <c r="AF464" s="55">
        <v>0</v>
      </c>
      <c r="AG464" s="52"/>
      <c r="AH464" s="51">
        <v>9.7109503410799117E-2</v>
      </c>
      <c r="AI464" s="52">
        <v>0.10062678166578309</v>
      </c>
      <c r="AJ464" s="52"/>
      <c r="AK464" s="28">
        <v>2</v>
      </c>
      <c r="AL464" s="28">
        <v>2.545454545454545</v>
      </c>
      <c r="AM464" s="28">
        <v>0.54545454545454541</v>
      </c>
      <c r="AN464" s="28">
        <v>0</v>
      </c>
      <c r="AO464" s="28">
        <v>0.39285714285714279</v>
      </c>
      <c r="AP464" s="28">
        <v>0.5</v>
      </c>
      <c r="AQ464" s="28">
        <v>0.1071428571428571</v>
      </c>
      <c r="AR464" s="28">
        <v>0</v>
      </c>
      <c r="AS464" s="25">
        <v>1.1000000000000001</v>
      </c>
      <c r="AT464" s="25">
        <v>3.44</v>
      </c>
      <c r="AU464" s="25">
        <v>2.34</v>
      </c>
      <c r="AV464" s="25">
        <v>2.669090909090909</v>
      </c>
      <c r="AW464">
        <v>2.669090909090909</v>
      </c>
      <c r="AX464">
        <v>5.9831974772727277</v>
      </c>
      <c r="AY464" s="75">
        <v>0.52442413903612473</v>
      </c>
      <c r="AZ464" s="75">
        <v>0.54341863036636606</v>
      </c>
      <c r="BA464" s="75"/>
      <c r="BC464">
        <v>4.8554751705399558E-2</v>
      </c>
      <c r="BD464">
        <v>5.0313390832891547E-2</v>
      </c>
      <c r="BF464">
        <v>9.8868142538291098E-2</v>
      </c>
      <c r="BG464">
        <v>4.9434071269145549E-2</v>
      </c>
      <c r="BH464">
        <v>0.53392138470124539</v>
      </c>
      <c r="BI464" s="79" t="s">
        <v>1264</v>
      </c>
      <c r="BJ464" s="79">
        <v>1273</v>
      </c>
      <c r="BK464" s="79">
        <v>10</v>
      </c>
      <c r="BM464" s="79" t="s">
        <v>1275</v>
      </c>
      <c r="BN464" s="79" t="s">
        <v>56</v>
      </c>
      <c r="BO464" s="79">
        <v>1</v>
      </c>
      <c r="BP464" s="79">
        <v>2</v>
      </c>
      <c r="BQ464" s="79">
        <v>2</v>
      </c>
      <c r="BR464" s="79">
        <v>0</v>
      </c>
      <c r="BS464" s="79" t="s">
        <v>464</v>
      </c>
      <c r="BT464" s="79" t="s">
        <v>464</v>
      </c>
      <c r="BU464" s="79" t="s">
        <v>1266</v>
      </c>
      <c r="BV464" s="79">
        <v>450</v>
      </c>
      <c r="BX464" s="79" t="s">
        <v>1287</v>
      </c>
      <c r="BZ464" s="81">
        <v>474</v>
      </c>
      <c r="CA464">
        <f t="shared" si="97"/>
        <v>6.1612073216950769</v>
      </c>
    </row>
    <row r="465" spans="1:79" ht="15" customHeight="1" x14ac:dyDescent="0.3">
      <c r="A465" s="2" t="s">
        <v>1384</v>
      </c>
      <c r="B465" s="13"/>
      <c r="C465" s="13"/>
      <c r="D465" s="2"/>
      <c r="E465" s="2" t="s">
        <v>224</v>
      </c>
      <c r="F465" s="9"/>
      <c r="H465" t="s">
        <v>1388</v>
      </c>
      <c r="I465" s="2"/>
      <c r="J465" s="25"/>
      <c r="M465" s="2"/>
      <c r="N465" s="2"/>
      <c r="O465" s="2"/>
      <c r="P465" s="2"/>
      <c r="Q465" s="2"/>
      <c r="R465" s="25"/>
      <c r="S465" s="25"/>
      <c r="T465" s="25"/>
      <c r="AA465" s="2"/>
      <c r="AC465" s="55"/>
      <c r="AD465" s="57"/>
      <c r="AE465" s="55"/>
      <c r="AF465" s="55"/>
      <c r="AG465" s="52"/>
      <c r="AH465" s="51"/>
      <c r="AI465" s="52"/>
      <c r="AJ465" s="52"/>
      <c r="AK465" s="28"/>
      <c r="AL465" s="28"/>
      <c r="AM465" s="28"/>
      <c r="AN465" s="28"/>
      <c r="AO465" s="28"/>
      <c r="AP465" s="28"/>
      <c r="AQ465" s="28"/>
      <c r="AR465" s="28"/>
      <c r="AS465" s="25"/>
      <c r="AT465" s="25"/>
      <c r="AU465" s="25"/>
      <c r="AV465" s="25"/>
      <c r="AY465" s="75"/>
      <c r="AZ465" s="75"/>
      <c r="BA465" s="75"/>
      <c r="BI465" s="79" t="s">
        <v>1264</v>
      </c>
      <c r="BJ465" s="79">
        <v>1273</v>
      </c>
      <c r="BK465" s="79">
        <v>10</v>
      </c>
      <c r="BM465" s="79" t="s">
        <v>1275</v>
      </c>
      <c r="BN465" s="79" t="s">
        <v>56</v>
      </c>
      <c r="BO465" s="79">
        <v>1</v>
      </c>
      <c r="BP465" s="79">
        <v>2</v>
      </c>
      <c r="BQ465" s="79">
        <v>2</v>
      </c>
      <c r="BR465" s="79">
        <v>0</v>
      </c>
      <c r="BS465" s="79" t="s">
        <v>464</v>
      </c>
      <c r="BT465" s="79" t="s">
        <v>464</v>
      </c>
      <c r="BU465" s="79" t="s">
        <v>1266</v>
      </c>
      <c r="BV465" s="79">
        <v>450</v>
      </c>
      <c r="BX465" s="79" t="s">
        <v>1287</v>
      </c>
      <c r="BZ465" s="81">
        <v>137</v>
      </c>
      <c r="CA465">
        <f t="shared" si="97"/>
        <v>4.9199809258281251</v>
      </c>
    </row>
    <row r="466" spans="1:79" x14ac:dyDescent="0.3">
      <c r="A466" s="2" t="s">
        <v>46</v>
      </c>
      <c r="B466" s="13" t="s">
        <v>722</v>
      </c>
      <c r="C466" s="13"/>
      <c r="D466" s="2">
        <v>3.82</v>
      </c>
      <c r="E466" s="2" t="s">
        <v>225</v>
      </c>
      <c r="F466" s="9" t="s">
        <v>551</v>
      </c>
      <c r="G466" t="s">
        <v>629</v>
      </c>
      <c r="I466" s="2"/>
      <c r="J466" s="25">
        <v>2</v>
      </c>
      <c r="K466">
        <v>4</v>
      </c>
      <c r="L466">
        <v>0</v>
      </c>
      <c r="M466" s="2"/>
      <c r="N466" s="2"/>
      <c r="O466" s="2"/>
      <c r="P466" s="2"/>
      <c r="Q466" s="2"/>
      <c r="R466" s="25">
        <v>7.41544296</v>
      </c>
      <c r="S466" s="25">
        <v>7.4154429599999991</v>
      </c>
      <c r="T466" s="25">
        <v>7.41544296</v>
      </c>
      <c r="U466">
        <v>7.8</v>
      </c>
      <c r="V466">
        <v>13.010999999999999</v>
      </c>
      <c r="W466">
        <v>5.5460000000000003</v>
      </c>
      <c r="X466">
        <v>0</v>
      </c>
      <c r="AA466" s="2"/>
      <c r="AB466">
        <v>14</v>
      </c>
      <c r="AC466" s="55">
        <f t="shared" si="70"/>
        <v>0</v>
      </c>
      <c r="AD466" s="57">
        <v>288.33429290182369</v>
      </c>
      <c r="AE466" s="55">
        <v>556.51188553357167</v>
      </c>
      <c r="AF466" s="55">
        <v>0</v>
      </c>
      <c r="AG466" s="52"/>
      <c r="AH466" s="51">
        <v>9.7109503410799117E-2</v>
      </c>
      <c r="AI466" s="52">
        <v>0.10062678166578309</v>
      </c>
      <c r="AJ466" s="52"/>
      <c r="AK466" s="28">
        <v>2</v>
      </c>
      <c r="AL466" s="28">
        <v>2.545454545454545</v>
      </c>
      <c r="AM466" s="28">
        <v>0.54545454545454541</v>
      </c>
      <c r="AN466" s="28">
        <v>0</v>
      </c>
      <c r="AO466" s="28">
        <v>0.39285714285714279</v>
      </c>
      <c r="AP466" s="28">
        <v>0.5</v>
      </c>
      <c r="AQ466" s="28">
        <v>0.1071428571428571</v>
      </c>
      <c r="AR466" s="28">
        <v>0</v>
      </c>
      <c r="AS466" s="25">
        <v>1.1000000000000001</v>
      </c>
      <c r="AT466" s="25">
        <v>3.44</v>
      </c>
      <c r="AU466" s="25">
        <v>2.34</v>
      </c>
      <c r="AV466" s="25">
        <v>2.669090909090909</v>
      </c>
      <c r="AW466">
        <v>2.669090909090909</v>
      </c>
      <c r="AX466">
        <v>5.9831974772727277</v>
      </c>
      <c r="AY466" s="75">
        <v>0.52442413903612473</v>
      </c>
      <c r="AZ466" s="75">
        <v>0.54341863036636606</v>
      </c>
      <c r="BA466" s="75"/>
      <c r="BC466">
        <v>4.8554751705399558E-2</v>
      </c>
      <c r="BD466">
        <v>5.0313390832891547E-2</v>
      </c>
      <c r="BF466">
        <v>9.8868142538291098E-2</v>
      </c>
      <c r="BG466">
        <v>4.9434071269145549E-2</v>
      </c>
      <c r="BH466">
        <v>0.53392138470124539</v>
      </c>
      <c r="BI466" s="81" t="s">
        <v>1305</v>
      </c>
      <c r="BJ466" s="81">
        <f t="shared" ref="BJ466:BJ481" si="103">1250+273</f>
        <v>1523</v>
      </c>
      <c r="BK466" s="81">
        <v>2</v>
      </c>
      <c r="BM466" s="79" t="s">
        <v>1268</v>
      </c>
      <c r="BN466" s="79" t="s">
        <v>863</v>
      </c>
      <c r="BO466" s="79">
        <v>1</v>
      </c>
      <c r="BQ466" s="79">
        <v>2</v>
      </c>
      <c r="BR466" s="79">
        <v>0</v>
      </c>
      <c r="BS466" s="79" t="s">
        <v>464</v>
      </c>
      <c r="BT466" s="79" t="s">
        <v>464</v>
      </c>
      <c r="BU466" s="79" t="s">
        <v>1266</v>
      </c>
      <c r="BV466" s="79">
        <v>450</v>
      </c>
      <c r="BW466" s="79">
        <v>200</v>
      </c>
      <c r="BX466" s="79" t="s">
        <v>1287</v>
      </c>
      <c r="BZ466" s="81">
        <v>120</v>
      </c>
      <c r="CA466">
        <f t="shared" si="97"/>
        <v>4.7874917427820458</v>
      </c>
    </row>
    <row r="467" spans="1:79" x14ac:dyDescent="0.3">
      <c r="A467" s="2" t="s">
        <v>1389</v>
      </c>
      <c r="B467" s="13"/>
      <c r="C467" s="13"/>
      <c r="D467" s="2">
        <v>2.2000000000000002</v>
      </c>
      <c r="E467" s="2" t="s">
        <v>225</v>
      </c>
      <c r="F467" s="9" t="s">
        <v>551</v>
      </c>
      <c r="G467" t="s">
        <v>629</v>
      </c>
      <c r="I467" s="2"/>
      <c r="J467" s="25">
        <v>2</v>
      </c>
      <c r="K467">
        <v>4</v>
      </c>
      <c r="L467">
        <v>0</v>
      </c>
      <c r="M467" s="2"/>
      <c r="N467" s="2"/>
      <c r="O467" s="2"/>
      <c r="P467" s="2"/>
      <c r="Q467" s="2"/>
      <c r="R467" s="25">
        <v>7.41544296</v>
      </c>
      <c r="S467" s="25">
        <v>7.4154429599999991</v>
      </c>
      <c r="T467" s="25">
        <v>7.41544296</v>
      </c>
      <c r="U467">
        <v>7.8</v>
      </c>
      <c r="V467">
        <v>13.010999999999999</v>
      </c>
      <c r="W467">
        <v>5.5460000000000003</v>
      </c>
      <c r="X467">
        <v>0</v>
      </c>
      <c r="AA467" s="2"/>
      <c r="AB467">
        <v>14</v>
      </c>
      <c r="AC467" s="55">
        <f t="shared" si="70"/>
        <v>0</v>
      </c>
      <c r="AD467" s="57">
        <v>288.33429290182369</v>
      </c>
      <c r="AE467" s="55">
        <v>556.51188553357167</v>
      </c>
      <c r="AF467" s="55">
        <v>0</v>
      </c>
      <c r="AG467" s="52"/>
      <c r="AH467" s="51">
        <v>9.7109503410799117E-2</v>
      </c>
      <c r="AI467" s="52">
        <v>0.10062678166578309</v>
      </c>
      <c r="AJ467" s="52"/>
      <c r="AK467" s="28">
        <v>2</v>
      </c>
      <c r="AL467" s="28">
        <v>2.545454545454545</v>
      </c>
      <c r="AM467" s="28">
        <v>0.54545454545454541</v>
      </c>
      <c r="AN467" s="28">
        <v>0</v>
      </c>
      <c r="AO467" s="28">
        <v>0.39285714285714279</v>
      </c>
      <c r="AP467" s="28">
        <v>0.5</v>
      </c>
      <c r="AQ467" s="28">
        <v>0.1071428571428571</v>
      </c>
      <c r="AR467" s="28">
        <v>0</v>
      </c>
      <c r="AS467" s="25">
        <v>1.1000000000000001</v>
      </c>
      <c r="AT467" s="25">
        <v>3.44</v>
      </c>
      <c r="AU467" s="25">
        <v>2.34</v>
      </c>
      <c r="AV467" s="25">
        <v>2.669090909090909</v>
      </c>
      <c r="AW467">
        <v>2.669090909090909</v>
      </c>
      <c r="AX467">
        <v>5.9831974772727277</v>
      </c>
      <c r="AY467" s="75">
        <v>0.52442413903612473</v>
      </c>
      <c r="AZ467" s="75">
        <v>0.54341863036636606</v>
      </c>
      <c r="BA467" s="75"/>
      <c r="BC467">
        <v>4.8554751705399558E-2</v>
      </c>
      <c r="BD467">
        <v>5.0313390832891547E-2</v>
      </c>
      <c r="BF467">
        <v>9.8868142538291098E-2</v>
      </c>
      <c r="BG467">
        <v>4.9434071269145549E-2</v>
      </c>
      <c r="BH467">
        <v>0.53392138470124539</v>
      </c>
      <c r="BI467" s="81" t="s">
        <v>1305</v>
      </c>
      <c r="BJ467" s="81">
        <f t="shared" si="103"/>
        <v>1523</v>
      </c>
      <c r="BK467" s="81">
        <v>2</v>
      </c>
      <c r="BM467" s="79" t="s">
        <v>1268</v>
      </c>
      <c r="BN467" s="79" t="s">
        <v>863</v>
      </c>
      <c r="BO467" s="79">
        <v>1</v>
      </c>
      <c r="BQ467" s="79">
        <v>2</v>
      </c>
      <c r="BR467" s="79">
        <v>0</v>
      </c>
      <c r="BS467" s="79" t="s">
        <v>464</v>
      </c>
      <c r="BT467" s="79" t="s">
        <v>464</v>
      </c>
      <c r="BU467" s="79" t="s">
        <v>1266</v>
      </c>
      <c r="BV467" s="79">
        <v>450</v>
      </c>
      <c r="BW467" s="79">
        <v>200</v>
      </c>
      <c r="BX467" s="79" t="s">
        <v>1287</v>
      </c>
      <c r="BZ467" s="81">
        <v>90</v>
      </c>
      <c r="CA467">
        <f t="shared" si="97"/>
        <v>4.499809670330265</v>
      </c>
    </row>
    <row r="468" spans="1:79" x14ac:dyDescent="0.3">
      <c r="A468" s="2" t="s">
        <v>1390</v>
      </c>
      <c r="B468" s="13"/>
      <c r="C468" s="13"/>
      <c r="D468" s="2">
        <v>2.2000000000000002</v>
      </c>
      <c r="E468" s="2" t="s">
        <v>225</v>
      </c>
      <c r="F468" s="9" t="s">
        <v>551</v>
      </c>
      <c r="G468" t="s">
        <v>629</v>
      </c>
      <c r="I468" s="2"/>
      <c r="J468" s="25">
        <v>2</v>
      </c>
      <c r="K468">
        <v>4</v>
      </c>
      <c r="L468">
        <v>0</v>
      </c>
      <c r="M468" s="2"/>
      <c r="N468" s="2"/>
      <c r="O468" s="2"/>
      <c r="P468" s="2"/>
      <c r="Q468" s="2"/>
      <c r="R468" s="25">
        <v>7.41544296</v>
      </c>
      <c r="S468" s="25">
        <v>7.4154429599999991</v>
      </c>
      <c r="T468" s="25">
        <v>7.41544296</v>
      </c>
      <c r="U468">
        <v>7.8</v>
      </c>
      <c r="V468">
        <v>13.010999999999999</v>
      </c>
      <c r="W468">
        <v>5.5460000000000003</v>
      </c>
      <c r="X468">
        <v>0</v>
      </c>
      <c r="AA468" s="2"/>
      <c r="AB468">
        <v>14</v>
      </c>
      <c r="AC468" s="55">
        <f t="shared" ref="AC468:AC469" si="104">M468*N468*O468</f>
        <v>0</v>
      </c>
      <c r="AD468" s="57">
        <v>288.33429290182369</v>
      </c>
      <c r="AE468" s="55">
        <v>556.51188553357167</v>
      </c>
      <c r="AF468" s="55">
        <v>0</v>
      </c>
      <c r="AG468" s="52"/>
      <c r="AH468" s="51">
        <v>9.7109503410799117E-2</v>
      </c>
      <c r="AI468" s="52">
        <v>0.10062678166578309</v>
      </c>
      <c r="AJ468" s="52"/>
      <c r="AK468" s="28">
        <v>2</v>
      </c>
      <c r="AL468" s="28">
        <v>2.545454545454545</v>
      </c>
      <c r="AM468" s="28">
        <v>0.54545454545454541</v>
      </c>
      <c r="AN468" s="28">
        <v>0</v>
      </c>
      <c r="AO468" s="28">
        <v>0.39285714285714279</v>
      </c>
      <c r="AP468" s="28">
        <v>0.5</v>
      </c>
      <c r="AQ468" s="28">
        <v>0.1071428571428571</v>
      </c>
      <c r="AR468" s="28">
        <v>0</v>
      </c>
      <c r="AS468" s="25">
        <v>1.1000000000000001</v>
      </c>
      <c r="AT468" s="25">
        <v>3.44</v>
      </c>
      <c r="AU468" s="25">
        <v>2.34</v>
      </c>
      <c r="AV468" s="25">
        <v>2.669090909090909</v>
      </c>
      <c r="AW468">
        <v>2.669090909090909</v>
      </c>
      <c r="AX468">
        <v>5.9831974772727277</v>
      </c>
      <c r="AY468" s="75">
        <v>0.52442413903612473</v>
      </c>
      <c r="AZ468" s="75">
        <v>0.54341863036636606</v>
      </c>
      <c r="BA468" s="75"/>
      <c r="BC468">
        <v>4.8554751705399558E-2</v>
      </c>
      <c r="BD468">
        <v>5.0313390832891547E-2</v>
      </c>
      <c r="BF468">
        <v>9.8868142538291098E-2</v>
      </c>
      <c r="BG468">
        <v>4.9434071269145549E-2</v>
      </c>
      <c r="BH468">
        <v>0.53392138470124539</v>
      </c>
      <c r="BI468" s="81" t="s">
        <v>1305</v>
      </c>
      <c r="BJ468" s="81">
        <f t="shared" si="103"/>
        <v>1523</v>
      </c>
      <c r="BK468" s="81">
        <v>2</v>
      </c>
      <c r="BM468" s="79" t="s">
        <v>1268</v>
      </c>
      <c r="BN468" s="79" t="s">
        <v>863</v>
      </c>
      <c r="BO468" s="79">
        <v>1</v>
      </c>
      <c r="BQ468" s="79">
        <v>2</v>
      </c>
      <c r="BR468" s="79">
        <v>0</v>
      </c>
      <c r="BS468" s="79" t="s">
        <v>464</v>
      </c>
      <c r="BT468" s="79" t="s">
        <v>464</v>
      </c>
      <c r="BU468" s="79" t="s">
        <v>1266</v>
      </c>
      <c r="BV468" s="79">
        <v>450</v>
      </c>
      <c r="BW468" s="79">
        <v>200</v>
      </c>
      <c r="BX468" s="79" t="s">
        <v>1287</v>
      </c>
      <c r="BZ468" s="81">
        <v>50</v>
      </c>
      <c r="CA468">
        <f t="shared" si="97"/>
        <v>3.912023005428146</v>
      </c>
    </row>
    <row r="469" spans="1:79" x14ac:dyDescent="0.3">
      <c r="A469" s="2" t="s">
        <v>1391</v>
      </c>
      <c r="B469" s="13"/>
      <c r="C469" s="13"/>
      <c r="D469" s="2">
        <v>2.6</v>
      </c>
      <c r="E469" s="2" t="s">
        <v>225</v>
      </c>
      <c r="F469" s="9" t="s">
        <v>551</v>
      </c>
      <c r="G469" t="s">
        <v>629</v>
      </c>
      <c r="I469" s="2"/>
      <c r="J469" s="25">
        <v>2</v>
      </c>
      <c r="K469">
        <v>4</v>
      </c>
      <c r="L469">
        <v>0</v>
      </c>
      <c r="M469" s="2"/>
      <c r="N469" s="2"/>
      <c r="O469" s="2"/>
      <c r="P469" s="2"/>
      <c r="Q469" s="2"/>
      <c r="R469" s="25">
        <v>7.41544296</v>
      </c>
      <c r="S469" s="25">
        <v>7.4154429599999991</v>
      </c>
      <c r="T469" s="25">
        <v>7.41544296</v>
      </c>
      <c r="U469">
        <v>7.8</v>
      </c>
      <c r="V469">
        <v>13.010999999999999</v>
      </c>
      <c r="W469">
        <v>5.5460000000000003</v>
      </c>
      <c r="X469">
        <v>0</v>
      </c>
      <c r="AA469" s="2"/>
      <c r="AB469">
        <v>14</v>
      </c>
      <c r="AC469" s="55">
        <f t="shared" si="104"/>
        <v>0</v>
      </c>
      <c r="AD469" s="57">
        <v>288.33429290182369</v>
      </c>
      <c r="AE469" s="55">
        <v>556.51188553357167</v>
      </c>
      <c r="AF469" s="55">
        <v>0</v>
      </c>
      <c r="AG469" s="52"/>
      <c r="AH469" s="51">
        <v>9.7109503410799117E-2</v>
      </c>
      <c r="AI469" s="52">
        <v>0.10062678166578309</v>
      </c>
      <c r="AJ469" s="52"/>
      <c r="AK469" s="28">
        <v>2</v>
      </c>
      <c r="AL469" s="28">
        <v>2.545454545454545</v>
      </c>
      <c r="AM469" s="28">
        <v>0.54545454545454541</v>
      </c>
      <c r="AN469" s="28">
        <v>0</v>
      </c>
      <c r="AO469" s="28">
        <v>0.39285714285714279</v>
      </c>
      <c r="AP469" s="28">
        <v>0.5</v>
      </c>
      <c r="AQ469" s="28">
        <v>0.1071428571428571</v>
      </c>
      <c r="AR469" s="28">
        <v>0</v>
      </c>
      <c r="AS469" s="25">
        <v>1.1000000000000001</v>
      </c>
      <c r="AT469" s="25">
        <v>3.44</v>
      </c>
      <c r="AU469" s="25">
        <v>2.34</v>
      </c>
      <c r="AV469" s="25">
        <v>2.669090909090909</v>
      </c>
      <c r="AW469">
        <v>2.669090909090909</v>
      </c>
      <c r="AX469">
        <v>5.9831974772727277</v>
      </c>
      <c r="AY469" s="75">
        <v>0.52442413903612473</v>
      </c>
      <c r="AZ469" s="75">
        <v>0.54341863036636606</v>
      </c>
      <c r="BA469" s="75"/>
      <c r="BC469">
        <v>4.8554751705399558E-2</v>
      </c>
      <c r="BD469">
        <v>5.0313390832891547E-2</v>
      </c>
      <c r="BF469">
        <v>9.8868142538291098E-2</v>
      </c>
      <c r="BG469">
        <v>4.9434071269145549E-2</v>
      </c>
      <c r="BH469">
        <v>0.53392138470124539</v>
      </c>
      <c r="BI469" s="81" t="s">
        <v>1305</v>
      </c>
      <c r="BJ469" s="81">
        <f t="shared" si="103"/>
        <v>1523</v>
      </c>
      <c r="BK469" s="81">
        <v>2</v>
      </c>
      <c r="BM469" s="79" t="s">
        <v>1268</v>
      </c>
      <c r="BN469" s="79" t="s">
        <v>863</v>
      </c>
      <c r="BO469" s="79">
        <v>1</v>
      </c>
      <c r="BQ469" s="79">
        <v>2</v>
      </c>
      <c r="BR469" s="79">
        <v>0</v>
      </c>
      <c r="BS469" s="79" t="s">
        <v>464</v>
      </c>
      <c r="BT469" s="79" t="s">
        <v>464</v>
      </c>
      <c r="BU469" s="79" t="s">
        <v>1266</v>
      </c>
      <c r="BV469" s="79">
        <v>450</v>
      </c>
      <c r="BW469" s="79">
        <v>200</v>
      </c>
      <c r="BX469" s="79" t="s">
        <v>1287</v>
      </c>
      <c r="BZ469" s="81">
        <v>45</v>
      </c>
      <c r="CA469">
        <f t="shared" si="97"/>
        <v>3.8066624897703196</v>
      </c>
    </row>
    <row r="470" spans="1:79" x14ac:dyDescent="0.3">
      <c r="A470" s="2" t="s">
        <v>1392</v>
      </c>
      <c r="B470" s="13"/>
      <c r="C470" s="13"/>
      <c r="D470" s="2">
        <v>2.6</v>
      </c>
      <c r="E470" s="2" t="s">
        <v>225</v>
      </c>
      <c r="F470" s="9" t="s">
        <v>551</v>
      </c>
      <c r="G470" t="s">
        <v>629</v>
      </c>
      <c r="I470" s="2"/>
      <c r="J470" s="25">
        <v>2</v>
      </c>
      <c r="K470">
        <v>4</v>
      </c>
      <c r="L470">
        <v>0</v>
      </c>
      <c r="M470" s="2"/>
      <c r="N470" s="2"/>
      <c r="O470" s="2"/>
      <c r="P470" s="2"/>
      <c r="Q470" s="2"/>
      <c r="R470" s="25">
        <v>7.41544296</v>
      </c>
      <c r="S470" s="25">
        <v>7.4154429599999991</v>
      </c>
      <c r="T470" s="25">
        <v>7.41544296</v>
      </c>
      <c r="U470">
        <v>7.8</v>
      </c>
      <c r="V470">
        <v>13.010999999999999</v>
      </c>
      <c r="W470">
        <v>5.5460000000000003</v>
      </c>
      <c r="X470">
        <v>0</v>
      </c>
      <c r="AA470" s="2"/>
      <c r="AB470">
        <v>14</v>
      </c>
      <c r="AC470" s="55">
        <f t="shared" ref="AC470:AC477" si="105">M470*N470*O470</f>
        <v>0</v>
      </c>
      <c r="AD470" s="57">
        <v>288.33429290182369</v>
      </c>
      <c r="AE470" s="55">
        <v>556.51188553357167</v>
      </c>
      <c r="AF470" s="55">
        <v>0</v>
      </c>
      <c r="AG470" s="52"/>
      <c r="AH470" s="51">
        <v>9.7109503410799117E-2</v>
      </c>
      <c r="AI470" s="52">
        <v>0.10062678166578309</v>
      </c>
      <c r="AJ470" s="52"/>
      <c r="AK470" s="28">
        <v>2</v>
      </c>
      <c r="AL470" s="28">
        <v>2.545454545454545</v>
      </c>
      <c r="AM470" s="28">
        <v>0.54545454545454541</v>
      </c>
      <c r="AN470" s="28">
        <v>0</v>
      </c>
      <c r="AO470" s="28">
        <v>0.39285714285714279</v>
      </c>
      <c r="AP470" s="28">
        <v>0.5</v>
      </c>
      <c r="AQ470" s="28">
        <v>0.1071428571428571</v>
      </c>
      <c r="AR470" s="28">
        <v>0</v>
      </c>
      <c r="AS470" s="25">
        <v>1.1000000000000001</v>
      </c>
      <c r="AT470" s="25">
        <v>3.44</v>
      </c>
      <c r="AU470" s="25">
        <v>2.34</v>
      </c>
      <c r="AV470" s="25">
        <v>2.669090909090909</v>
      </c>
      <c r="AW470">
        <v>2.669090909090909</v>
      </c>
      <c r="AX470">
        <v>5.9831974772727277</v>
      </c>
      <c r="AY470" s="75">
        <v>0.52442413903612473</v>
      </c>
      <c r="AZ470" s="75">
        <v>0.54341863036636606</v>
      </c>
      <c r="BA470" s="75"/>
      <c r="BC470">
        <v>4.8554751705399558E-2</v>
      </c>
      <c r="BD470">
        <v>5.0313390832891547E-2</v>
      </c>
      <c r="BF470">
        <v>9.8868142538291098E-2</v>
      </c>
      <c r="BG470">
        <v>4.9434071269145549E-2</v>
      </c>
      <c r="BH470">
        <v>0.53392138470124539</v>
      </c>
      <c r="BI470" s="81" t="s">
        <v>1305</v>
      </c>
      <c r="BJ470" s="81">
        <f t="shared" si="103"/>
        <v>1523</v>
      </c>
      <c r="BK470" s="81">
        <v>2</v>
      </c>
      <c r="BM470" s="79" t="s">
        <v>1268</v>
      </c>
      <c r="BN470" s="79" t="s">
        <v>863</v>
      </c>
      <c r="BO470" s="79">
        <v>1</v>
      </c>
      <c r="BQ470" s="79">
        <v>2</v>
      </c>
      <c r="BR470" s="79">
        <v>0</v>
      </c>
      <c r="BS470" s="79" t="s">
        <v>464</v>
      </c>
      <c r="BT470" s="79" t="s">
        <v>464</v>
      </c>
      <c r="BU470" s="79" t="s">
        <v>1266</v>
      </c>
      <c r="BV470" s="79">
        <v>450</v>
      </c>
      <c r="BW470" s="79">
        <v>200</v>
      </c>
      <c r="BX470" s="79" t="s">
        <v>1287</v>
      </c>
      <c r="BZ470" s="81">
        <v>32</v>
      </c>
      <c r="CA470">
        <f t="shared" si="97"/>
        <v>3.4657359027997265</v>
      </c>
    </row>
    <row r="471" spans="1:79" x14ac:dyDescent="0.3">
      <c r="A471" s="2" t="s">
        <v>46</v>
      </c>
      <c r="B471" s="13" t="s">
        <v>722</v>
      </c>
      <c r="C471" s="13"/>
      <c r="D471" s="2">
        <v>3.82</v>
      </c>
      <c r="E471" s="2" t="s">
        <v>225</v>
      </c>
      <c r="F471" s="9" t="s">
        <v>551</v>
      </c>
      <c r="G471" t="s">
        <v>629</v>
      </c>
      <c r="I471" s="2"/>
      <c r="J471" s="25">
        <v>2</v>
      </c>
      <c r="K471">
        <v>4</v>
      </c>
      <c r="L471">
        <v>0</v>
      </c>
      <c r="M471" s="2"/>
      <c r="N471" s="2"/>
      <c r="O471" s="2"/>
      <c r="P471" s="2"/>
      <c r="Q471" s="2"/>
      <c r="R471" s="25">
        <v>7.41544296</v>
      </c>
      <c r="S471" s="25">
        <v>7.4154429599999991</v>
      </c>
      <c r="T471" s="25">
        <v>7.41544296</v>
      </c>
      <c r="U471">
        <v>7.8</v>
      </c>
      <c r="V471">
        <v>13.010999999999999</v>
      </c>
      <c r="W471">
        <v>5.5460000000000003</v>
      </c>
      <c r="X471">
        <v>0</v>
      </c>
      <c r="AA471" s="2"/>
      <c r="AB471">
        <v>14</v>
      </c>
      <c r="AC471" s="55">
        <f t="shared" si="105"/>
        <v>0</v>
      </c>
      <c r="AD471" s="57">
        <v>288.33429290182369</v>
      </c>
      <c r="AE471" s="55">
        <v>556.51188553357167</v>
      </c>
      <c r="AF471" s="55">
        <v>0</v>
      </c>
      <c r="AG471" s="52"/>
      <c r="AH471" s="51">
        <v>9.7109503410799117E-2</v>
      </c>
      <c r="AI471" s="52">
        <v>0.10062678166578309</v>
      </c>
      <c r="AJ471" s="52"/>
      <c r="AK471" s="28">
        <v>2</v>
      </c>
      <c r="AL471" s="28">
        <v>2.545454545454545</v>
      </c>
      <c r="AM471" s="28">
        <v>0.54545454545454541</v>
      </c>
      <c r="AN471" s="28">
        <v>0</v>
      </c>
      <c r="AO471" s="28">
        <v>0.39285714285714279</v>
      </c>
      <c r="AP471" s="28">
        <v>0.5</v>
      </c>
      <c r="AQ471" s="28">
        <v>0.1071428571428571</v>
      </c>
      <c r="AR471" s="28">
        <v>0</v>
      </c>
      <c r="AS471" s="25">
        <v>1.1000000000000001</v>
      </c>
      <c r="AT471" s="25">
        <v>3.44</v>
      </c>
      <c r="AU471" s="25">
        <v>2.34</v>
      </c>
      <c r="AV471" s="25">
        <v>2.669090909090909</v>
      </c>
      <c r="AW471">
        <v>2.669090909090909</v>
      </c>
      <c r="AX471">
        <v>5.9831974772727277</v>
      </c>
      <c r="AY471" s="75">
        <v>0.52442413903612473</v>
      </c>
      <c r="AZ471" s="75">
        <v>0.54341863036636606</v>
      </c>
      <c r="BA471" s="75"/>
      <c r="BC471">
        <v>4.8554751705399558E-2</v>
      </c>
      <c r="BD471">
        <v>5.0313390832891547E-2</v>
      </c>
      <c r="BF471">
        <v>9.8868142538291098E-2</v>
      </c>
      <c r="BG471">
        <v>4.9434071269145549E-2</v>
      </c>
      <c r="BH471">
        <v>0.53392138470124539</v>
      </c>
      <c r="BI471" s="81" t="s">
        <v>1305</v>
      </c>
      <c r="BJ471" s="81">
        <f t="shared" si="103"/>
        <v>1523</v>
      </c>
      <c r="BK471" s="81">
        <v>2</v>
      </c>
      <c r="BM471" s="79" t="s">
        <v>1275</v>
      </c>
      <c r="BN471" s="79" t="s">
        <v>56</v>
      </c>
      <c r="BO471" s="79">
        <v>1</v>
      </c>
      <c r="BQ471" s="79">
        <v>2</v>
      </c>
      <c r="BR471" s="79">
        <v>0</v>
      </c>
      <c r="BS471" s="79" t="s">
        <v>464</v>
      </c>
      <c r="BT471" s="79" t="s">
        <v>464</v>
      </c>
      <c r="BU471" s="79" t="s">
        <v>1266</v>
      </c>
      <c r="BV471" s="79">
        <v>450</v>
      </c>
      <c r="BW471" s="79">
        <v>200</v>
      </c>
      <c r="BX471" s="79" t="s">
        <v>1287</v>
      </c>
      <c r="BZ471" s="81">
        <v>400</v>
      </c>
      <c r="CA471">
        <f t="shared" si="97"/>
        <v>5.9914645471079817</v>
      </c>
    </row>
    <row r="472" spans="1:79" x14ac:dyDescent="0.3">
      <c r="A472" s="2" t="s">
        <v>1389</v>
      </c>
      <c r="B472" s="13"/>
      <c r="C472" s="13"/>
      <c r="D472" s="2">
        <v>2.2000000000000002</v>
      </c>
      <c r="E472" s="2" t="s">
        <v>225</v>
      </c>
      <c r="F472" s="9" t="s">
        <v>551</v>
      </c>
      <c r="G472" t="s">
        <v>629</v>
      </c>
      <c r="I472" s="2"/>
      <c r="J472" s="25">
        <v>2</v>
      </c>
      <c r="K472">
        <v>4</v>
      </c>
      <c r="L472">
        <v>0</v>
      </c>
      <c r="M472" s="2"/>
      <c r="N472" s="2"/>
      <c r="O472" s="2"/>
      <c r="P472" s="2"/>
      <c r="Q472" s="2"/>
      <c r="R472" s="25">
        <v>7.41544296</v>
      </c>
      <c r="S472" s="25">
        <v>7.4154429599999991</v>
      </c>
      <c r="T472" s="25">
        <v>7.41544296</v>
      </c>
      <c r="U472">
        <v>7.8</v>
      </c>
      <c r="V472">
        <v>13.010999999999999</v>
      </c>
      <c r="W472">
        <v>5.5460000000000003</v>
      </c>
      <c r="X472">
        <v>0</v>
      </c>
      <c r="AA472" s="2"/>
      <c r="AB472">
        <v>14</v>
      </c>
      <c r="AC472" s="55">
        <f t="shared" si="105"/>
        <v>0</v>
      </c>
      <c r="AD472" s="57">
        <v>288.33429290182369</v>
      </c>
      <c r="AE472" s="55">
        <v>556.51188553357167</v>
      </c>
      <c r="AF472" s="55">
        <v>0</v>
      </c>
      <c r="AG472" s="52"/>
      <c r="AH472" s="51">
        <v>9.7109503410799117E-2</v>
      </c>
      <c r="AI472" s="52">
        <v>0.10062678166578309</v>
      </c>
      <c r="AJ472" s="52"/>
      <c r="AK472" s="28">
        <v>2</v>
      </c>
      <c r="AL472" s="28">
        <v>2.545454545454545</v>
      </c>
      <c r="AM472" s="28">
        <v>0.54545454545454541</v>
      </c>
      <c r="AN472" s="28">
        <v>0</v>
      </c>
      <c r="AO472" s="28">
        <v>0.39285714285714279</v>
      </c>
      <c r="AP472" s="28">
        <v>0.5</v>
      </c>
      <c r="AQ472" s="28">
        <v>0.1071428571428571</v>
      </c>
      <c r="AR472" s="28">
        <v>0</v>
      </c>
      <c r="AS472" s="25">
        <v>1.1000000000000001</v>
      </c>
      <c r="AT472" s="25">
        <v>3.44</v>
      </c>
      <c r="AU472" s="25">
        <v>2.34</v>
      </c>
      <c r="AV472" s="25">
        <v>2.669090909090909</v>
      </c>
      <c r="AW472">
        <v>2.669090909090909</v>
      </c>
      <c r="AX472">
        <v>5.9831974772727277</v>
      </c>
      <c r="AY472" s="75">
        <v>0.52442413903612473</v>
      </c>
      <c r="AZ472" s="75">
        <v>0.54341863036636606</v>
      </c>
      <c r="BA472" s="75"/>
      <c r="BC472">
        <v>4.8554751705399558E-2</v>
      </c>
      <c r="BD472">
        <v>5.0313390832891547E-2</v>
      </c>
      <c r="BF472">
        <v>9.8868142538291098E-2</v>
      </c>
      <c r="BG472">
        <v>4.9434071269145549E-2</v>
      </c>
      <c r="BH472">
        <v>0.53392138470124539</v>
      </c>
      <c r="BI472" s="81" t="s">
        <v>1305</v>
      </c>
      <c r="BJ472" s="81">
        <f t="shared" si="103"/>
        <v>1523</v>
      </c>
      <c r="BK472" s="81">
        <v>2</v>
      </c>
      <c r="BM472" s="79" t="s">
        <v>1275</v>
      </c>
      <c r="BN472" s="79" t="s">
        <v>56</v>
      </c>
      <c r="BO472" s="79">
        <v>1</v>
      </c>
      <c r="BQ472" s="79">
        <v>2</v>
      </c>
      <c r="BR472" s="79">
        <v>0</v>
      </c>
      <c r="BS472" s="79" t="s">
        <v>464</v>
      </c>
      <c r="BT472" s="79" t="s">
        <v>464</v>
      </c>
      <c r="BU472" s="79" t="s">
        <v>1266</v>
      </c>
      <c r="BV472" s="79">
        <v>450</v>
      </c>
      <c r="BW472" s="79">
        <v>200</v>
      </c>
      <c r="BX472" s="79" t="s">
        <v>1287</v>
      </c>
      <c r="BZ472" s="81">
        <v>275</v>
      </c>
      <c r="CA472">
        <f t="shared" si="97"/>
        <v>5.6167710976665717</v>
      </c>
    </row>
    <row r="473" spans="1:79" x14ac:dyDescent="0.3">
      <c r="A473" s="2" t="s">
        <v>1391</v>
      </c>
      <c r="B473" s="13"/>
      <c r="C473" s="13"/>
      <c r="D473" s="2">
        <v>2.6</v>
      </c>
      <c r="E473" s="2" t="s">
        <v>225</v>
      </c>
      <c r="F473" s="9" t="s">
        <v>551</v>
      </c>
      <c r="G473" t="s">
        <v>629</v>
      </c>
      <c r="I473" s="2"/>
      <c r="J473" s="25">
        <v>2</v>
      </c>
      <c r="K473">
        <v>4</v>
      </c>
      <c r="L473">
        <v>0</v>
      </c>
      <c r="M473" s="2"/>
      <c r="N473" s="2"/>
      <c r="O473" s="2"/>
      <c r="P473" s="2"/>
      <c r="Q473" s="2"/>
      <c r="R473" s="25">
        <v>7.41544296</v>
      </c>
      <c r="S473" s="25">
        <v>7.4154429599999991</v>
      </c>
      <c r="T473" s="25">
        <v>7.41544296</v>
      </c>
      <c r="U473">
        <v>7.8</v>
      </c>
      <c r="V473">
        <v>13.010999999999999</v>
      </c>
      <c r="W473">
        <v>5.5460000000000003</v>
      </c>
      <c r="X473">
        <v>0</v>
      </c>
      <c r="AA473" s="2"/>
      <c r="AB473">
        <v>14</v>
      </c>
      <c r="AC473" s="55">
        <f t="shared" si="105"/>
        <v>0</v>
      </c>
      <c r="AD473" s="57">
        <v>288.33429290182369</v>
      </c>
      <c r="AE473" s="55">
        <v>556.51188553357167</v>
      </c>
      <c r="AF473" s="55">
        <v>0</v>
      </c>
      <c r="AG473" s="52"/>
      <c r="AH473" s="51">
        <v>9.7109503410799117E-2</v>
      </c>
      <c r="AI473" s="52">
        <v>0.10062678166578309</v>
      </c>
      <c r="AJ473" s="52"/>
      <c r="AK473" s="28">
        <v>2</v>
      </c>
      <c r="AL473" s="28">
        <v>2.545454545454545</v>
      </c>
      <c r="AM473" s="28">
        <v>0.54545454545454541</v>
      </c>
      <c r="AN473" s="28">
        <v>0</v>
      </c>
      <c r="AO473" s="28">
        <v>0.39285714285714279</v>
      </c>
      <c r="AP473" s="28">
        <v>0.5</v>
      </c>
      <c r="AQ473" s="28">
        <v>0.1071428571428571</v>
      </c>
      <c r="AR473" s="28">
        <v>0</v>
      </c>
      <c r="AS473" s="25">
        <v>1.1000000000000001</v>
      </c>
      <c r="AT473" s="25">
        <v>3.44</v>
      </c>
      <c r="AU473" s="25">
        <v>2.34</v>
      </c>
      <c r="AV473" s="25">
        <v>2.669090909090909</v>
      </c>
      <c r="AW473">
        <v>2.669090909090909</v>
      </c>
      <c r="AX473">
        <v>5.9831974772727277</v>
      </c>
      <c r="AY473" s="75">
        <v>0.52442413903612473</v>
      </c>
      <c r="AZ473" s="75">
        <v>0.54341863036636606</v>
      </c>
      <c r="BA473" s="75"/>
      <c r="BC473">
        <v>4.8554751705399558E-2</v>
      </c>
      <c r="BD473">
        <v>5.0313390832891547E-2</v>
      </c>
      <c r="BF473">
        <v>9.8868142538291098E-2</v>
      </c>
      <c r="BG473">
        <v>4.9434071269145549E-2</v>
      </c>
      <c r="BH473">
        <v>0.53392138470124539</v>
      </c>
      <c r="BI473" s="81" t="s">
        <v>1305</v>
      </c>
      <c r="BJ473" s="81">
        <f t="shared" si="103"/>
        <v>1523</v>
      </c>
      <c r="BK473" s="81">
        <v>2</v>
      </c>
      <c r="BM473" s="79" t="s">
        <v>1275</v>
      </c>
      <c r="BN473" s="79" t="s">
        <v>56</v>
      </c>
      <c r="BO473" s="79">
        <v>1</v>
      </c>
      <c r="BQ473" s="79">
        <v>2</v>
      </c>
      <c r="BR473" s="79">
        <v>0</v>
      </c>
      <c r="BS473" s="79" t="s">
        <v>464</v>
      </c>
      <c r="BT473" s="79" t="s">
        <v>464</v>
      </c>
      <c r="BU473" s="79" t="s">
        <v>1266</v>
      </c>
      <c r="BV473" s="79">
        <v>450</v>
      </c>
      <c r="BW473" s="79">
        <v>200</v>
      </c>
      <c r="BX473" s="79" t="s">
        <v>1287</v>
      </c>
      <c r="BZ473" s="81">
        <v>269</v>
      </c>
      <c r="CA473">
        <f t="shared" si="97"/>
        <v>5.5947113796018391</v>
      </c>
    </row>
    <row r="474" spans="1:79" x14ac:dyDescent="0.3">
      <c r="A474" s="2" t="s">
        <v>46</v>
      </c>
      <c r="B474" s="13" t="s">
        <v>722</v>
      </c>
      <c r="C474" s="13"/>
      <c r="D474" s="2">
        <v>3.82</v>
      </c>
      <c r="E474" s="2" t="s">
        <v>225</v>
      </c>
      <c r="F474" s="9" t="s">
        <v>551</v>
      </c>
      <c r="G474" t="s">
        <v>629</v>
      </c>
      <c r="I474" s="2"/>
      <c r="J474" s="25">
        <v>2</v>
      </c>
      <c r="K474">
        <v>4</v>
      </c>
      <c r="L474">
        <v>0</v>
      </c>
      <c r="M474" s="2"/>
      <c r="N474" s="2"/>
      <c r="O474" s="2"/>
      <c r="P474" s="2"/>
      <c r="Q474" s="2"/>
      <c r="R474" s="25">
        <v>7.41544296</v>
      </c>
      <c r="S474" s="25">
        <v>7.4154429599999991</v>
      </c>
      <c r="T474" s="25">
        <v>7.41544296</v>
      </c>
      <c r="U474">
        <v>7.8</v>
      </c>
      <c r="V474">
        <v>13.010999999999999</v>
      </c>
      <c r="W474">
        <v>5.5460000000000003</v>
      </c>
      <c r="X474">
        <v>0</v>
      </c>
      <c r="AA474" s="2"/>
      <c r="AB474">
        <v>14</v>
      </c>
      <c r="AC474" s="55">
        <f t="shared" si="105"/>
        <v>0</v>
      </c>
      <c r="AD474" s="57">
        <v>288.33429290182369</v>
      </c>
      <c r="AE474" s="55">
        <v>556.51188553357167</v>
      </c>
      <c r="AF474" s="55">
        <v>0</v>
      </c>
      <c r="AG474" s="52"/>
      <c r="AH474" s="51">
        <v>9.7109503410799117E-2</v>
      </c>
      <c r="AI474" s="52">
        <v>0.10062678166578309</v>
      </c>
      <c r="AJ474" s="52"/>
      <c r="AK474" s="28">
        <v>2</v>
      </c>
      <c r="AL474" s="28">
        <v>2.545454545454545</v>
      </c>
      <c r="AM474" s="28">
        <v>0.54545454545454541</v>
      </c>
      <c r="AN474" s="28">
        <v>0</v>
      </c>
      <c r="AO474" s="28">
        <v>0.39285714285714279</v>
      </c>
      <c r="AP474" s="28">
        <v>0.5</v>
      </c>
      <c r="AQ474" s="28">
        <v>0.1071428571428571</v>
      </c>
      <c r="AR474" s="28">
        <v>0</v>
      </c>
      <c r="AS474" s="25">
        <v>1.1000000000000001</v>
      </c>
      <c r="AT474" s="25">
        <v>3.44</v>
      </c>
      <c r="AU474" s="25">
        <v>2.34</v>
      </c>
      <c r="AV474" s="25">
        <v>2.669090909090909</v>
      </c>
      <c r="AW474">
        <v>2.669090909090909</v>
      </c>
      <c r="AX474">
        <v>5.9831974772727277</v>
      </c>
      <c r="AY474" s="75">
        <v>0.52442413903612473</v>
      </c>
      <c r="AZ474" s="75">
        <v>0.54341863036636606</v>
      </c>
      <c r="BA474" s="75"/>
      <c r="BC474">
        <v>4.8554751705399558E-2</v>
      </c>
      <c r="BD474">
        <v>5.0313390832891547E-2</v>
      </c>
      <c r="BF474">
        <v>9.8868142538291098E-2</v>
      </c>
      <c r="BG474">
        <v>4.9434071269145549E-2</v>
      </c>
      <c r="BH474">
        <v>0.53392138470124539</v>
      </c>
      <c r="BI474" s="81" t="s">
        <v>1305</v>
      </c>
      <c r="BJ474" s="81">
        <f t="shared" si="103"/>
        <v>1523</v>
      </c>
      <c r="BK474" s="81">
        <v>2</v>
      </c>
      <c r="BM474" s="79" t="s">
        <v>1268</v>
      </c>
      <c r="BN474" s="79" t="s">
        <v>863</v>
      </c>
      <c r="BO474" s="79">
        <v>1</v>
      </c>
      <c r="BQ474" s="79">
        <v>3.33</v>
      </c>
      <c r="BR474" s="79">
        <v>33.299999999999997</v>
      </c>
      <c r="BS474" s="79" t="s">
        <v>464</v>
      </c>
      <c r="BT474" s="79" t="s">
        <v>464</v>
      </c>
      <c r="BU474" s="79" t="s">
        <v>1266</v>
      </c>
      <c r="BV474" s="79">
        <v>500</v>
      </c>
      <c r="BW474" s="79">
        <v>420</v>
      </c>
      <c r="BX474" s="79" t="s">
        <v>1311</v>
      </c>
      <c r="BZ474" s="81">
        <v>0</v>
      </c>
      <c r="CA474" t="e">
        <f t="shared" si="97"/>
        <v>#NUM!</v>
      </c>
    </row>
    <row r="475" spans="1:79" x14ac:dyDescent="0.3">
      <c r="A475" s="2" t="s">
        <v>1389</v>
      </c>
      <c r="B475" s="13"/>
      <c r="C475" s="13"/>
      <c r="D475" s="2">
        <v>2.2000000000000002</v>
      </c>
      <c r="E475" s="2" t="s">
        <v>225</v>
      </c>
      <c r="F475" s="9" t="s">
        <v>551</v>
      </c>
      <c r="G475" t="s">
        <v>629</v>
      </c>
      <c r="I475" s="2"/>
      <c r="J475" s="25">
        <v>2</v>
      </c>
      <c r="K475">
        <v>4</v>
      </c>
      <c r="L475">
        <v>0</v>
      </c>
      <c r="M475" s="2"/>
      <c r="N475" s="2"/>
      <c r="O475" s="2"/>
      <c r="P475" s="2"/>
      <c r="Q475" s="2"/>
      <c r="R475" s="25">
        <v>7.41544296</v>
      </c>
      <c r="S475" s="25">
        <v>7.4154429599999991</v>
      </c>
      <c r="T475" s="25">
        <v>7.41544296</v>
      </c>
      <c r="U475">
        <v>7.8</v>
      </c>
      <c r="V475">
        <v>13.010999999999999</v>
      </c>
      <c r="W475">
        <v>5.5460000000000003</v>
      </c>
      <c r="X475">
        <v>0</v>
      </c>
      <c r="AA475" s="2"/>
      <c r="AB475">
        <v>14</v>
      </c>
      <c r="AC475" s="55">
        <f t="shared" si="105"/>
        <v>0</v>
      </c>
      <c r="AD475" s="57">
        <v>288.33429290182369</v>
      </c>
      <c r="AE475" s="55">
        <v>556.51188553357167</v>
      </c>
      <c r="AF475" s="55">
        <v>0</v>
      </c>
      <c r="AG475" s="52"/>
      <c r="AH475" s="51">
        <v>9.7109503410799117E-2</v>
      </c>
      <c r="AI475" s="52">
        <v>0.10062678166578309</v>
      </c>
      <c r="AJ475" s="52"/>
      <c r="AK475" s="28">
        <v>2</v>
      </c>
      <c r="AL475" s="28">
        <v>2.545454545454545</v>
      </c>
      <c r="AM475" s="28">
        <v>0.54545454545454541</v>
      </c>
      <c r="AN475" s="28">
        <v>0</v>
      </c>
      <c r="AO475" s="28">
        <v>0.39285714285714279</v>
      </c>
      <c r="AP475" s="28">
        <v>0.5</v>
      </c>
      <c r="AQ475" s="28">
        <v>0.1071428571428571</v>
      </c>
      <c r="AR475" s="28">
        <v>0</v>
      </c>
      <c r="AS475" s="25">
        <v>1.1000000000000001</v>
      </c>
      <c r="AT475" s="25">
        <v>3.44</v>
      </c>
      <c r="AU475" s="25">
        <v>2.34</v>
      </c>
      <c r="AV475" s="25">
        <v>2.669090909090909</v>
      </c>
      <c r="AW475">
        <v>2.669090909090909</v>
      </c>
      <c r="AX475">
        <v>5.9831974772727277</v>
      </c>
      <c r="AY475" s="75">
        <v>0.52442413903612473</v>
      </c>
      <c r="AZ475" s="75">
        <v>0.54341863036636606</v>
      </c>
      <c r="BA475" s="75"/>
      <c r="BC475">
        <v>4.8554751705399558E-2</v>
      </c>
      <c r="BD475">
        <v>5.0313390832891547E-2</v>
      </c>
      <c r="BF475">
        <v>9.8868142538291098E-2</v>
      </c>
      <c r="BG475">
        <v>4.9434071269145549E-2</v>
      </c>
      <c r="BH475">
        <v>0.53392138470124539</v>
      </c>
      <c r="BI475" s="81" t="s">
        <v>1305</v>
      </c>
      <c r="BJ475" s="81">
        <f t="shared" si="103"/>
        <v>1523</v>
      </c>
      <c r="BK475" s="81">
        <v>2</v>
      </c>
      <c r="BM475" s="79" t="s">
        <v>1268</v>
      </c>
      <c r="BN475" s="79" t="s">
        <v>863</v>
      </c>
      <c r="BO475" s="79">
        <v>1</v>
      </c>
      <c r="BQ475" s="79">
        <v>3.33</v>
      </c>
      <c r="BR475" s="79">
        <v>33.299999999999997</v>
      </c>
      <c r="BS475" s="79" t="s">
        <v>464</v>
      </c>
      <c r="BT475" s="79" t="s">
        <v>464</v>
      </c>
      <c r="BU475" s="79" t="s">
        <v>1266</v>
      </c>
      <c r="BV475" s="79">
        <v>500</v>
      </c>
      <c r="BW475" s="79">
        <v>420</v>
      </c>
      <c r="BX475" s="79" t="s">
        <v>1311</v>
      </c>
      <c r="BZ475" s="81">
        <v>30</v>
      </c>
      <c r="CA475">
        <f t="shared" si="97"/>
        <v>3.4011973816621555</v>
      </c>
    </row>
    <row r="476" spans="1:79" x14ac:dyDescent="0.3">
      <c r="A476" s="2" t="s">
        <v>1390</v>
      </c>
      <c r="B476" s="13"/>
      <c r="C476" s="13"/>
      <c r="D476" s="2">
        <v>2.2000000000000002</v>
      </c>
      <c r="E476" s="2" t="s">
        <v>225</v>
      </c>
      <c r="F476" s="9" t="s">
        <v>551</v>
      </c>
      <c r="G476" t="s">
        <v>629</v>
      </c>
      <c r="I476" s="2"/>
      <c r="J476" s="25">
        <v>2</v>
      </c>
      <c r="K476">
        <v>4</v>
      </c>
      <c r="L476">
        <v>0</v>
      </c>
      <c r="M476" s="2"/>
      <c r="N476" s="2"/>
      <c r="O476" s="2"/>
      <c r="P476" s="2"/>
      <c r="Q476" s="2"/>
      <c r="R476" s="25">
        <v>7.41544296</v>
      </c>
      <c r="S476" s="25">
        <v>7.4154429599999991</v>
      </c>
      <c r="T476" s="25">
        <v>7.41544296</v>
      </c>
      <c r="U476">
        <v>7.8</v>
      </c>
      <c r="V476">
        <v>13.010999999999999</v>
      </c>
      <c r="W476">
        <v>5.5460000000000003</v>
      </c>
      <c r="X476">
        <v>0</v>
      </c>
      <c r="AA476" s="2"/>
      <c r="AB476">
        <v>14</v>
      </c>
      <c r="AC476" s="55">
        <f t="shared" si="105"/>
        <v>0</v>
      </c>
      <c r="AD476" s="57">
        <v>288.33429290182369</v>
      </c>
      <c r="AE476" s="55">
        <v>556.51188553357167</v>
      </c>
      <c r="AF476" s="55">
        <v>0</v>
      </c>
      <c r="AG476" s="52"/>
      <c r="AH476" s="51">
        <v>9.7109503410799117E-2</v>
      </c>
      <c r="AI476" s="52">
        <v>0.10062678166578309</v>
      </c>
      <c r="AJ476" s="52"/>
      <c r="AK476" s="28">
        <v>2</v>
      </c>
      <c r="AL476" s="28">
        <v>2.545454545454545</v>
      </c>
      <c r="AM476" s="28">
        <v>0.54545454545454541</v>
      </c>
      <c r="AN476" s="28">
        <v>0</v>
      </c>
      <c r="AO476" s="28">
        <v>0.39285714285714279</v>
      </c>
      <c r="AP476" s="28">
        <v>0.5</v>
      </c>
      <c r="AQ476" s="28">
        <v>0.1071428571428571</v>
      </c>
      <c r="AR476" s="28">
        <v>0</v>
      </c>
      <c r="AS476" s="25">
        <v>1.1000000000000001</v>
      </c>
      <c r="AT476" s="25">
        <v>3.44</v>
      </c>
      <c r="AU476" s="25">
        <v>2.34</v>
      </c>
      <c r="AV476" s="25">
        <v>2.669090909090909</v>
      </c>
      <c r="AW476">
        <v>2.669090909090909</v>
      </c>
      <c r="AX476">
        <v>5.9831974772727277</v>
      </c>
      <c r="AY476" s="75">
        <v>0.52442413903612473</v>
      </c>
      <c r="AZ476" s="75">
        <v>0.54341863036636606</v>
      </c>
      <c r="BA476" s="75"/>
      <c r="BC476">
        <v>4.8554751705399558E-2</v>
      </c>
      <c r="BD476">
        <v>5.0313390832891547E-2</v>
      </c>
      <c r="BF476">
        <v>9.8868142538291098E-2</v>
      </c>
      <c r="BG476">
        <v>4.9434071269145549E-2</v>
      </c>
      <c r="BH476">
        <v>0.53392138470124539</v>
      </c>
      <c r="BI476" s="81" t="s">
        <v>1305</v>
      </c>
      <c r="BJ476" s="81">
        <f t="shared" si="103"/>
        <v>1523</v>
      </c>
      <c r="BK476" s="81">
        <v>2</v>
      </c>
      <c r="BM476" s="79" t="s">
        <v>1268</v>
      </c>
      <c r="BN476" s="79" t="s">
        <v>863</v>
      </c>
      <c r="BO476" s="79">
        <v>1</v>
      </c>
      <c r="BQ476" s="79">
        <v>3.33</v>
      </c>
      <c r="BR476" s="79">
        <v>33.299999999999997</v>
      </c>
      <c r="BS476" s="79" t="s">
        <v>464</v>
      </c>
      <c r="BT476" s="79" t="s">
        <v>464</v>
      </c>
      <c r="BU476" s="79" t="s">
        <v>1266</v>
      </c>
      <c r="BV476" s="79">
        <v>500</v>
      </c>
      <c r="BW476" s="79">
        <v>420</v>
      </c>
      <c r="BX476" s="79" t="s">
        <v>1311</v>
      </c>
      <c r="BZ476" s="81">
        <v>16</v>
      </c>
      <c r="CA476">
        <f t="shared" si="97"/>
        <v>2.7725887222397811</v>
      </c>
    </row>
    <row r="477" spans="1:79" x14ac:dyDescent="0.3">
      <c r="A477" s="2" t="s">
        <v>1391</v>
      </c>
      <c r="B477" s="13"/>
      <c r="C477" s="13"/>
      <c r="D477" s="2">
        <v>2.6</v>
      </c>
      <c r="E477" s="2" t="s">
        <v>225</v>
      </c>
      <c r="F477" s="9" t="s">
        <v>551</v>
      </c>
      <c r="G477" t="s">
        <v>629</v>
      </c>
      <c r="I477" s="2"/>
      <c r="J477" s="25">
        <v>2</v>
      </c>
      <c r="K477">
        <v>4</v>
      </c>
      <c r="L477">
        <v>0</v>
      </c>
      <c r="M477" s="2"/>
      <c r="N477" s="2"/>
      <c r="O477" s="2"/>
      <c r="P477" s="2"/>
      <c r="Q477" s="2"/>
      <c r="R477" s="25">
        <v>7.41544296</v>
      </c>
      <c r="S477" s="25">
        <v>7.4154429599999991</v>
      </c>
      <c r="T477" s="25">
        <v>7.41544296</v>
      </c>
      <c r="U477">
        <v>7.8</v>
      </c>
      <c r="V477">
        <v>13.010999999999999</v>
      </c>
      <c r="W477">
        <v>5.5460000000000003</v>
      </c>
      <c r="X477">
        <v>0</v>
      </c>
      <c r="AA477" s="2"/>
      <c r="AB477">
        <v>14</v>
      </c>
      <c r="AC477" s="55">
        <f t="shared" si="105"/>
        <v>0</v>
      </c>
      <c r="AD477" s="57">
        <v>288.33429290182369</v>
      </c>
      <c r="AE477" s="55">
        <v>556.51188553357167</v>
      </c>
      <c r="AF477" s="55">
        <v>0</v>
      </c>
      <c r="AG477" s="52"/>
      <c r="AH477" s="51">
        <v>9.7109503410799117E-2</v>
      </c>
      <c r="AI477" s="52">
        <v>0.10062678166578309</v>
      </c>
      <c r="AJ477" s="52"/>
      <c r="AK477" s="28">
        <v>2</v>
      </c>
      <c r="AL477" s="28">
        <v>2.545454545454545</v>
      </c>
      <c r="AM477" s="28">
        <v>0.54545454545454541</v>
      </c>
      <c r="AN477" s="28">
        <v>0</v>
      </c>
      <c r="AO477" s="28">
        <v>0.39285714285714279</v>
      </c>
      <c r="AP477" s="28">
        <v>0.5</v>
      </c>
      <c r="AQ477" s="28">
        <v>0.1071428571428571</v>
      </c>
      <c r="AR477" s="28">
        <v>0</v>
      </c>
      <c r="AS477" s="25">
        <v>1.1000000000000001</v>
      </c>
      <c r="AT477" s="25">
        <v>3.44</v>
      </c>
      <c r="AU477" s="25">
        <v>2.34</v>
      </c>
      <c r="AV477" s="25">
        <v>2.669090909090909</v>
      </c>
      <c r="AW477">
        <v>2.669090909090909</v>
      </c>
      <c r="AX477">
        <v>5.9831974772727277</v>
      </c>
      <c r="AY477" s="75">
        <v>0.52442413903612473</v>
      </c>
      <c r="AZ477" s="75">
        <v>0.54341863036636606</v>
      </c>
      <c r="BA477" s="75"/>
      <c r="BC477">
        <v>4.8554751705399558E-2</v>
      </c>
      <c r="BD477">
        <v>5.0313390832891547E-2</v>
      </c>
      <c r="BF477">
        <v>9.8868142538291098E-2</v>
      </c>
      <c r="BG477">
        <v>4.9434071269145549E-2</v>
      </c>
      <c r="BH477">
        <v>0.53392138470124539</v>
      </c>
      <c r="BI477" s="81" t="s">
        <v>1305</v>
      </c>
      <c r="BJ477" s="81">
        <f t="shared" si="103"/>
        <v>1523</v>
      </c>
      <c r="BK477" s="81">
        <v>2</v>
      </c>
      <c r="BM477" s="79" t="s">
        <v>1268</v>
      </c>
      <c r="BN477" s="79" t="s">
        <v>863</v>
      </c>
      <c r="BO477" s="79">
        <v>1</v>
      </c>
      <c r="BQ477" s="79">
        <v>3.33</v>
      </c>
      <c r="BR477" s="79">
        <v>33.299999999999997</v>
      </c>
      <c r="BS477" s="79" t="s">
        <v>464</v>
      </c>
      <c r="BT477" s="79" t="s">
        <v>464</v>
      </c>
      <c r="BU477" s="79" t="s">
        <v>1266</v>
      </c>
      <c r="BV477" s="79">
        <v>500</v>
      </c>
      <c r="BW477" s="79">
        <v>420</v>
      </c>
      <c r="BX477" s="79" t="s">
        <v>1311</v>
      </c>
      <c r="BZ477" s="81">
        <v>20</v>
      </c>
      <c r="CA477">
        <f t="shared" si="97"/>
        <v>2.9957322735539909</v>
      </c>
    </row>
    <row r="478" spans="1:79" x14ac:dyDescent="0.3">
      <c r="A478" s="2" t="s">
        <v>1392</v>
      </c>
      <c r="B478" s="13"/>
      <c r="C478" s="13"/>
      <c r="D478" s="2">
        <v>2.6</v>
      </c>
      <c r="E478" s="2" t="s">
        <v>225</v>
      </c>
      <c r="F478" s="9" t="s">
        <v>551</v>
      </c>
      <c r="G478" t="s">
        <v>629</v>
      </c>
      <c r="I478" s="2"/>
      <c r="J478" s="25">
        <v>2</v>
      </c>
      <c r="K478">
        <v>4</v>
      </c>
      <c r="L478">
        <v>0</v>
      </c>
      <c r="M478" s="2"/>
      <c r="N478" s="2"/>
      <c r="O478" s="2"/>
      <c r="P478" s="2"/>
      <c r="Q478" s="2"/>
      <c r="R478" s="25">
        <v>7.41544296</v>
      </c>
      <c r="S478" s="25">
        <v>7.4154429599999991</v>
      </c>
      <c r="T478" s="25">
        <v>7.41544296</v>
      </c>
      <c r="U478">
        <v>7.8</v>
      </c>
      <c r="V478">
        <v>13.010999999999999</v>
      </c>
      <c r="W478">
        <v>5.5460000000000003</v>
      </c>
      <c r="X478">
        <v>0</v>
      </c>
      <c r="AA478" s="2"/>
      <c r="AB478">
        <v>14</v>
      </c>
      <c r="AC478" s="55">
        <f t="shared" ref="AC478:AC481" si="106">M478*N478*O478</f>
        <v>0</v>
      </c>
      <c r="AD478" s="57">
        <v>288.33429290182369</v>
      </c>
      <c r="AE478" s="55">
        <v>556.51188553357167</v>
      </c>
      <c r="AF478" s="55">
        <v>0</v>
      </c>
      <c r="AG478" s="52"/>
      <c r="AH478" s="51">
        <v>9.7109503410799117E-2</v>
      </c>
      <c r="AI478" s="52">
        <v>0.10062678166578309</v>
      </c>
      <c r="AJ478" s="52"/>
      <c r="AK478" s="28">
        <v>2</v>
      </c>
      <c r="AL478" s="28">
        <v>2.545454545454545</v>
      </c>
      <c r="AM478" s="28">
        <v>0.54545454545454541</v>
      </c>
      <c r="AN478" s="28">
        <v>0</v>
      </c>
      <c r="AO478" s="28">
        <v>0.39285714285714279</v>
      </c>
      <c r="AP478" s="28">
        <v>0.5</v>
      </c>
      <c r="AQ478" s="28">
        <v>0.1071428571428571</v>
      </c>
      <c r="AR478" s="28">
        <v>0</v>
      </c>
      <c r="AS478" s="25">
        <v>1.1000000000000001</v>
      </c>
      <c r="AT478" s="25">
        <v>3.44</v>
      </c>
      <c r="AU478" s="25">
        <v>2.34</v>
      </c>
      <c r="AV478" s="25">
        <v>2.669090909090909</v>
      </c>
      <c r="AW478">
        <v>2.669090909090909</v>
      </c>
      <c r="AX478">
        <v>5.9831974772727277</v>
      </c>
      <c r="AY478" s="75">
        <v>0.52442413903612473</v>
      </c>
      <c r="AZ478" s="75">
        <v>0.54341863036636606</v>
      </c>
      <c r="BA478" s="75"/>
      <c r="BC478">
        <v>4.8554751705399558E-2</v>
      </c>
      <c r="BD478">
        <v>5.0313390832891547E-2</v>
      </c>
      <c r="BF478">
        <v>9.8868142538291098E-2</v>
      </c>
      <c r="BG478">
        <v>4.9434071269145549E-2</v>
      </c>
      <c r="BH478">
        <v>0.53392138470124539</v>
      </c>
      <c r="BI478" s="81" t="s">
        <v>1305</v>
      </c>
      <c r="BJ478" s="81">
        <f t="shared" si="103"/>
        <v>1523</v>
      </c>
      <c r="BK478" s="81">
        <v>2</v>
      </c>
      <c r="BM478" s="79" t="s">
        <v>1268</v>
      </c>
      <c r="BN478" s="79" t="s">
        <v>863</v>
      </c>
      <c r="BO478" s="79">
        <v>1</v>
      </c>
      <c r="BQ478" s="79">
        <v>3.33</v>
      </c>
      <c r="BR478" s="79">
        <v>33.299999999999997</v>
      </c>
      <c r="BS478" s="79" t="s">
        <v>464</v>
      </c>
      <c r="BT478" s="79" t="s">
        <v>464</v>
      </c>
      <c r="BU478" s="79" t="s">
        <v>1266</v>
      </c>
      <c r="BV478" s="79">
        <v>500</v>
      </c>
      <c r="BW478" s="79">
        <v>420</v>
      </c>
      <c r="BX478" s="79" t="s">
        <v>1311</v>
      </c>
      <c r="BZ478" s="81">
        <v>10</v>
      </c>
      <c r="CA478">
        <f t="shared" si="97"/>
        <v>2.3025850929940459</v>
      </c>
    </row>
    <row r="479" spans="1:79" x14ac:dyDescent="0.3">
      <c r="A479" s="2" t="s">
        <v>46</v>
      </c>
      <c r="B479" s="13" t="s">
        <v>722</v>
      </c>
      <c r="C479" s="13"/>
      <c r="D479" s="2">
        <v>3.82</v>
      </c>
      <c r="E479" s="2" t="s">
        <v>225</v>
      </c>
      <c r="F479" s="9" t="s">
        <v>551</v>
      </c>
      <c r="G479" t="s">
        <v>629</v>
      </c>
      <c r="I479" s="2"/>
      <c r="J479" s="25">
        <v>2</v>
      </c>
      <c r="K479">
        <v>4</v>
      </c>
      <c r="L479">
        <v>0</v>
      </c>
      <c r="M479" s="2"/>
      <c r="N479" s="2"/>
      <c r="O479" s="2"/>
      <c r="P479" s="2"/>
      <c r="Q479" s="2"/>
      <c r="R479" s="25">
        <v>7.41544296</v>
      </c>
      <c r="S479" s="25">
        <v>7.4154429599999991</v>
      </c>
      <c r="T479" s="25">
        <v>7.41544296</v>
      </c>
      <c r="U479">
        <v>7.8</v>
      </c>
      <c r="V479">
        <v>13.010999999999999</v>
      </c>
      <c r="W479">
        <v>5.5460000000000003</v>
      </c>
      <c r="X479">
        <v>0</v>
      </c>
      <c r="AA479" s="2"/>
      <c r="AB479">
        <v>14</v>
      </c>
      <c r="AC479" s="55">
        <f t="shared" si="106"/>
        <v>0</v>
      </c>
      <c r="AD479" s="57">
        <v>288.33429290182369</v>
      </c>
      <c r="AE479" s="55">
        <v>556.51188553357167</v>
      </c>
      <c r="AF479" s="55">
        <v>0</v>
      </c>
      <c r="AG479" s="52"/>
      <c r="AH479" s="51">
        <v>9.7109503410799117E-2</v>
      </c>
      <c r="AI479" s="52">
        <v>0.10062678166578309</v>
      </c>
      <c r="AJ479" s="52"/>
      <c r="AK479" s="28">
        <v>2</v>
      </c>
      <c r="AL479" s="28">
        <v>2.545454545454545</v>
      </c>
      <c r="AM479" s="28">
        <v>0.54545454545454541</v>
      </c>
      <c r="AN479" s="28">
        <v>0</v>
      </c>
      <c r="AO479" s="28">
        <v>0.39285714285714279</v>
      </c>
      <c r="AP479" s="28">
        <v>0.5</v>
      </c>
      <c r="AQ479" s="28">
        <v>0.1071428571428571</v>
      </c>
      <c r="AR479" s="28">
        <v>0</v>
      </c>
      <c r="AS479" s="25">
        <v>1.1000000000000001</v>
      </c>
      <c r="AT479" s="25">
        <v>3.44</v>
      </c>
      <c r="AU479" s="25">
        <v>2.34</v>
      </c>
      <c r="AV479" s="25">
        <v>2.669090909090909</v>
      </c>
      <c r="AW479">
        <v>2.669090909090909</v>
      </c>
      <c r="AX479">
        <v>5.9831974772727277</v>
      </c>
      <c r="AY479" s="75">
        <v>0.52442413903612473</v>
      </c>
      <c r="AZ479" s="75">
        <v>0.54341863036636606</v>
      </c>
      <c r="BA479" s="75"/>
      <c r="BC479">
        <v>4.8554751705399558E-2</v>
      </c>
      <c r="BD479">
        <v>5.0313390832891547E-2</v>
      </c>
      <c r="BF479">
        <v>9.8868142538291098E-2</v>
      </c>
      <c r="BG479">
        <v>4.9434071269145549E-2</v>
      </c>
      <c r="BH479">
        <v>0.53392138470124539</v>
      </c>
      <c r="BI479" s="81" t="s">
        <v>1305</v>
      </c>
      <c r="BJ479" s="81">
        <f t="shared" si="103"/>
        <v>1523</v>
      </c>
      <c r="BK479" s="81">
        <v>2</v>
      </c>
      <c r="BM479" s="79" t="s">
        <v>1275</v>
      </c>
      <c r="BN479" s="79" t="s">
        <v>56</v>
      </c>
      <c r="BO479" s="79">
        <v>1</v>
      </c>
      <c r="BQ479" s="79">
        <v>3.33</v>
      </c>
      <c r="BR479" s="79">
        <v>33.299999999999997</v>
      </c>
      <c r="BS479" s="79" t="s">
        <v>464</v>
      </c>
      <c r="BT479" s="79" t="s">
        <v>464</v>
      </c>
      <c r="BU479" s="79" t="s">
        <v>1266</v>
      </c>
      <c r="BV479" s="79">
        <v>500</v>
      </c>
      <c r="BW479" s="79">
        <v>420</v>
      </c>
      <c r="BX479" s="79" t="s">
        <v>1311</v>
      </c>
      <c r="BZ479" s="81">
        <v>0</v>
      </c>
      <c r="CA479" t="e">
        <f t="shared" si="97"/>
        <v>#NUM!</v>
      </c>
    </row>
    <row r="480" spans="1:79" x14ac:dyDescent="0.3">
      <c r="A480" s="2" t="s">
        <v>1389</v>
      </c>
      <c r="B480" s="13"/>
      <c r="C480" s="13"/>
      <c r="D480" s="2">
        <v>2.2000000000000002</v>
      </c>
      <c r="E480" s="2" t="s">
        <v>225</v>
      </c>
      <c r="F480" s="9" t="s">
        <v>551</v>
      </c>
      <c r="G480" t="s">
        <v>629</v>
      </c>
      <c r="I480" s="2"/>
      <c r="J480" s="25">
        <v>2</v>
      </c>
      <c r="K480">
        <v>4</v>
      </c>
      <c r="L480">
        <v>0</v>
      </c>
      <c r="M480" s="2"/>
      <c r="N480" s="2"/>
      <c r="O480" s="2"/>
      <c r="P480" s="2"/>
      <c r="Q480" s="2"/>
      <c r="R480" s="25">
        <v>7.41544296</v>
      </c>
      <c r="S480" s="25">
        <v>7.4154429599999991</v>
      </c>
      <c r="T480" s="25">
        <v>7.41544296</v>
      </c>
      <c r="U480">
        <v>7.8</v>
      </c>
      <c r="V480">
        <v>13.010999999999999</v>
      </c>
      <c r="W480">
        <v>5.5460000000000003</v>
      </c>
      <c r="X480">
        <v>0</v>
      </c>
      <c r="AA480" s="2"/>
      <c r="AB480">
        <v>14</v>
      </c>
      <c r="AC480" s="55">
        <f t="shared" si="106"/>
        <v>0</v>
      </c>
      <c r="AD480" s="57">
        <v>288.33429290182369</v>
      </c>
      <c r="AE480" s="55">
        <v>556.51188553357167</v>
      </c>
      <c r="AF480" s="55">
        <v>0</v>
      </c>
      <c r="AG480" s="52"/>
      <c r="AH480" s="51">
        <v>9.7109503410799117E-2</v>
      </c>
      <c r="AI480" s="52">
        <v>0.10062678166578309</v>
      </c>
      <c r="AJ480" s="52"/>
      <c r="AK480" s="28">
        <v>2</v>
      </c>
      <c r="AL480" s="28">
        <v>2.545454545454545</v>
      </c>
      <c r="AM480" s="28">
        <v>0.54545454545454541</v>
      </c>
      <c r="AN480" s="28">
        <v>0</v>
      </c>
      <c r="AO480" s="28">
        <v>0.39285714285714279</v>
      </c>
      <c r="AP480" s="28">
        <v>0.5</v>
      </c>
      <c r="AQ480" s="28">
        <v>0.1071428571428571</v>
      </c>
      <c r="AR480" s="28">
        <v>0</v>
      </c>
      <c r="AS480" s="25">
        <v>1.1000000000000001</v>
      </c>
      <c r="AT480" s="25">
        <v>3.44</v>
      </c>
      <c r="AU480" s="25">
        <v>2.34</v>
      </c>
      <c r="AV480" s="25">
        <v>2.669090909090909</v>
      </c>
      <c r="AW480">
        <v>2.669090909090909</v>
      </c>
      <c r="AX480">
        <v>5.9831974772727277</v>
      </c>
      <c r="AY480" s="75">
        <v>0.52442413903612473</v>
      </c>
      <c r="AZ480" s="75">
        <v>0.54341863036636606</v>
      </c>
      <c r="BA480" s="75"/>
      <c r="BC480">
        <v>4.8554751705399558E-2</v>
      </c>
      <c r="BD480">
        <v>5.0313390832891547E-2</v>
      </c>
      <c r="BF480">
        <v>9.8868142538291098E-2</v>
      </c>
      <c r="BG480">
        <v>4.9434071269145549E-2</v>
      </c>
      <c r="BH480">
        <v>0.53392138470124539</v>
      </c>
      <c r="BI480" s="81" t="s">
        <v>1305</v>
      </c>
      <c r="BJ480" s="81">
        <f t="shared" si="103"/>
        <v>1523</v>
      </c>
      <c r="BK480" s="81">
        <v>2</v>
      </c>
      <c r="BM480" s="79" t="s">
        <v>1275</v>
      </c>
      <c r="BN480" s="79" t="s">
        <v>56</v>
      </c>
      <c r="BO480" s="79">
        <v>1</v>
      </c>
      <c r="BQ480" s="79">
        <v>3.33</v>
      </c>
      <c r="BR480" s="79">
        <v>33.299999999999997</v>
      </c>
      <c r="BS480" s="79" t="s">
        <v>464</v>
      </c>
      <c r="BT480" s="79" t="s">
        <v>464</v>
      </c>
      <c r="BU480" s="79" t="s">
        <v>1266</v>
      </c>
      <c r="BV480" s="79">
        <v>500</v>
      </c>
      <c r="BW480" s="79">
        <v>420</v>
      </c>
      <c r="BX480" s="79" t="s">
        <v>1311</v>
      </c>
      <c r="BZ480" s="81">
        <v>0</v>
      </c>
      <c r="CA480" t="e">
        <f t="shared" si="97"/>
        <v>#NUM!</v>
      </c>
    </row>
    <row r="481" spans="1:79" x14ac:dyDescent="0.3">
      <c r="A481" s="2" t="s">
        <v>1391</v>
      </c>
      <c r="B481" s="13"/>
      <c r="C481" s="13"/>
      <c r="D481" s="2">
        <v>2.6</v>
      </c>
      <c r="E481" s="2" t="s">
        <v>225</v>
      </c>
      <c r="F481" s="9" t="s">
        <v>551</v>
      </c>
      <c r="G481" t="s">
        <v>629</v>
      </c>
      <c r="I481" s="2"/>
      <c r="J481" s="25">
        <v>2</v>
      </c>
      <c r="K481">
        <v>4</v>
      </c>
      <c r="L481">
        <v>0</v>
      </c>
      <c r="M481" s="2"/>
      <c r="N481" s="2"/>
      <c r="O481" s="2"/>
      <c r="P481" s="2"/>
      <c r="Q481" s="2"/>
      <c r="R481" s="25">
        <v>7.41544296</v>
      </c>
      <c r="S481" s="25">
        <v>7.4154429599999991</v>
      </c>
      <c r="T481" s="25">
        <v>7.41544296</v>
      </c>
      <c r="U481">
        <v>7.8</v>
      </c>
      <c r="V481">
        <v>13.010999999999999</v>
      </c>
      <c r="W481">
        <v>5.5460000000000003</v>
      </c>
      <c r="X481">
        <v>0</v>
      </c>
      <c r="AA481" s="2"/>
      <c r="AB481">
        <v>14</v>
      </c>
      <c r="AC481" s="55">
        <f t="shared" si="106"/>
        <v>0</v>
      </c>
      <c r="AD481" s="57">
        <v>288.33429290182369</v>
      </c>
      <c r="AE481" s="55">
        <v>556.51188553357167</v>
      </c>
      <c r="AF481" s="55">
        <v>0</v>
      </c>
      <c r="AG481" s="52"/>
      <c r="AH481" s="51">
        <v>9.7109503410799117E-2</v>
      </c>
      <c r="AI481" s="52">
        <v>0.10062678166578309</v>
      </c>
      <c r="AJ481" s="52"/>
      <c r="AK481" s="28">
        <v>2</v>
      </c>
      <c r="AL481" s="28">
        <v>2.545454545454545</v>
      </c>
      <c r="AM481" s="28">
        <v>0.54545454545454541</v>
      </c>
      <c r="AN481" s="28">
        <v>0</v>
      </c>
      <c r="AO481" s="28">
        <v>0.39285714285714279</v>
      </c>
      <c r="AP481" s="28">
        <v>0.5</v>
      </c>
      <c r="AQ481" s="28">
        <v>0.1071428571428571</v>
      </c>
      <c r="AR481" s="28">
        <v>0</v>
      </c>
      <c r="AS481" s="25">
        <v>1.1000000000000001</v>
      </c>
      <c r="AT481" s="25">
        <v>3.44</v>
      </c>
      <c r="AU481" s="25">
        <v>2.34</v>
      </c>
      <c r="AV481" s="25">
        <v>2.669090909090909</v>
      </c>
      <c r="AW481">
        <v>2.669090909090909</v>
      </c>
      <c r="AX481">
        <v>5.9831974772727277</v>
      </c>
      <c r="AY481" s="75">
        <v>0.52442413903612473</v>
      </c>
      <c r="AZ481" s="75">
        <v>0.54341863036636606</v>
      </c>
      <c r="BA481" s="75"/>
      <c r="BC481">
        <v>4.8554751705399558E-2</v>
      </c>
      <c r="BD481">
        <v>5.0313390832891547E-2</v>
      </c>
      <c r="BF481">
        <v>9.8868142538291098E-2</v>
      </c>
      <c r="BG481">
        <v>4.9434071269145549E-2</v>
      </c>
      <c r="BH481">
        <v>0.53392138470124539</v>
      </c>
      <c r="BI481" s="81" t="s">
        <v>1305</v>
      </c>
      <c r="BJ481" s="81">
        <f t="shared" si="103"/>
        <v>1523</v>
      </c>
      <c r="BK481" s="81">
        <v>2</v>
      </c>
      <c r="BM481" s="79" t="s">
        <v>1275</v>
      </c>
      <c r="BN481" s="79" t="s">
        <v>56</v>
      </c>
      <c r="BO481" s="79">
        <v>1</v>
      </c>
      <c r="BQ481" s="79">
        <v>3.33</v>
      </c>
      <c r="BR481" s="79">
        <v>33.299999999999997</v>
      </c>
      <c r="BS481" s="79" t="s">
        <v>464</v>
      </c>
      <c r="BT481" s="79" t="s">
        <v>464</v>
      </c>
      <c r="BU481" s="79" t="s">
        <v>1266</v>
      </c>
      <c r="BV481" s="79">
        <v>500</v>
      </c>
      <c r="BW481" s="79">
        <v>420</v>
      </c>
      <c r="BX481" s="79" t="s">
        <v>1311</v>
      </c>
      <c r="BZ481" s="81">
        <v>0</v>
      </c>
      <c r="CA481" t="e">
        <f t="shared" si="97"/>
        <v>#NUM!</v>
      </c>
    </row>
    <row r="482" spans="1:79" x14ac:dyDescent="0.3">
      <c r="A482" s="2" t="s">
        <v>49</v>
      </c>
      <c r="B482" s="13" t="s">
        <v>725</v>
      </c>
      <c r="C482" s="13"/>
      <c r="D482" s="2">
        <v>4</v>
      </c>
      <c r="E482" s="2" t="s">
        <v>228</v>
      </c>
      <c r="F482" s="9" t="s">
        <v>553</v>
      </c>
      <c r="G482" t="s">
        <v>631</v>
      </c>
      <c r="I482" s="2"/>
      <c r="J482" s="25">
        <v>8</v>
      </c>
      <c r="K482">
        <v>8</v>
      </c>
      <c r="L482">
        <v>0</v>
      </c>
      <c r="M482" s="2">
        <v>3.93</v>
      </c>
      <c r="N482" s="2">
        <v>26.725999999999999</v>
      </c>
      <c r="O482">
        <v>5.6829999999999998</v>
      </c>
      <c r="P482" s="2" t="s">
        <v>1393</v>
      </c>
      <c r="Q482" s="2"/>
      <c r="R482" s="25">
        <v>5.8017180100000001</v>
      </c>
      <c r="S482" s="25">
        <v>7.9756520899999996</v>
      </c>
      <c r="T482" s="25">
        <v>27.352093400000001</v>
      </c>
      <c r="U482">
        <v>26.646989999999999</v>
      </c>
      <c r="V482">
        <v>7.9359999999999999</v>
      </c>
      <c r="W482">
        <v>5.7050000000000001</v>
      </c>
      <c r="X482">
        <v>0</v>
      </c>
      <c r="AA482" s="2"/>
      <c r="AB482">
        <v>14</v>
      </c>
      <c r="AC482" s="55">
        <f t="shared" si="70"/>
        <v>596.90356194000003</v>
      </c>
      <c r="AD482" s="57">
        <v>1265.6493143942739</v>
      </c>
      <c r="AE482" s="55">
        <v>1206.4392746112001</v>
      </c>
      <c r="AF482" s="55">
        <v>0</v>
      </c>
      <c r="AG482" s="52"/>
      <c r="AH482" s="51">
        <v>8.8492127105210025E-2</v>
      </c>
      <c r="AI482" s="52">
        <v>9.2835174017436004E-2</v>
      </c>
      <c r="AJ482" s="52"/>
      <c r="AK482" s="28">
        <v>1.8181818181818179</v>
      </c>
      <c r="AL482" s="28">
        <v>2.545454545454545</v>
      </c>
      <c r="AM482" s="28">
        <v>0.72727272727272729</v>
      </c>
      <c r="AN482" s="28">
        <v>0</v>
      </c>
      <c r="AO482" s="28">
        <v>0.35714285714285721</v>
      </c>
      <c r="AP482" s="28">
        <v>0.5</v>
      </c>
      <c r="AQ482" s="28">
        <v>0.1428571428571429</v>
      </c>
      <c r="AR482" s="28">
        <v>0</v>
      </c>
      <c r="AS482" s="25">
        <v>0.95</v>
      </c>
      <c r="AT482" s="25">
        <v>3.44</v>
      </c>
      <c r="AU482" s="25">
        <v>2.4900000000000002</v>
      </c>
      <c r="AV482" s="25">
        <v>2.6527272727272719</v>
      </c>
      <c r="AW482">
        <v>2.6527272727272728</v>
      </c>
      <c r="AX482">
        <v>6.0182046818181814</v>
      </c>
      <c r="AY482" s="75">
        <v>0.5176653673612065</v>
      </c>
      <c r="AZ482" s="75">
        <v>0.54307152550012683</v>
      </c>
      <c r="BA482" s="75"/>
      <c r="BC482">
        <v>4.4246063552605013E-2</v>
      </c>
      <c r="BD482">
        <v>4.6417587008717988E-2</v>
      </c>
      <c r="BF482">
        <v>9.0663650561323014E-2</v>
      </c>
      <c r="BG482">
        <v>4.53318252806615E-2</v>
      </c>
      <c r="BH482">
        <v>0.53036844643066661</v>
      </c>
      <c r="BI482" s="79" t="s">
        <v>1264</v>
      </c>
      <c r="BJ482" s="79">
        <v>1423</v>
      </c>
      <c r="BK482" s="79">
        <v>10</v>
      </c>
      <c r="BL482" s="79" t="s">
        <v>1308</v>
      </c>
      <c r="BM482" s="79" t="s">
        <v>1275</v>
      </c>
      <c r="BN482" s="79" t="s">
        <v>863</v>
      </c>
      <c r="BO482" s="79">
        <v>3</v>
      </c>
      <c r="BP482" s="79">
        <v>3.4</v>
      </c>
      <c r="BQ482" s="79">
        <v>1</v>
      </c>
      <c r="BR482" s="79">
        <v>20</v>
      </c>
      <c r="BS482" s="79" t="s">
        <v>464</v>
      </c>
      <c r="BT482" s="79" t="s">
        <v>464</v>
      </c>
      <c r="BU482" s="79" t="s">
        <v>1271</v>
      </c>
      <c r="BV482" s="79">
        <v>200</v>
      </c>
      <c r="BW482" s="79">
        <v>400</v>
      </c>
      <c r="BX482" s="79" t="s">
        <v>1311</v>
      </c>
      <c r="BY482" s="79">
        <v>298</v>
      </c>
      <c r="BZ482" s="81">
        <v>0</v>
      </c>
      <c r="CA482" t="e">
        <f t="shared" si="97"/>
        <v>#NUM!</v>
      </c>
    </row>
    <row r="483" spans="1:79" x14ac:dyDescent="0.3">
      <c r="A483" s="2" t="s">
        <v>1394</v>
      </c>
      <c r="B483" s="13"/>
      <c r="C483" s="13"/>
      <c r="D483" s="2"/>
      <c r="E483" s="2" t="s">
        <v>228</v>
      </c>
      <c r="F483" s="9" t="s">
        <v>553</v>
      </c>
      <c r="G483" t="s">
        <v>631</v>
      </c>
      <c r="I483" s="2"/>
      <c r="J483" s="25">
        <v>8</v>
      </c>
      <c r="K483">
        <v>8</v>
      </c>
      <c r="L483">
        <v>0</v>
      </c>
      <c r="M483" s="2">
        <v>3.93</v>
      </c>
      <c r="N483" s="2">
        <v>26.725999999999999</v>
      </c>
      <c r="O483">
        <v>5.6829999999999998</v>
      </c>
      <c r="P483" s="2" t="s">
        <v>1393</v>
      </c>
      <c r="Q483" s="2"/>
      <c r="R483" s="25">
        <v>5.8017180100000001</v>
      </c>
      <c r="S483" s="25">
        <v>7.9756520899999996</v>
      </c>
      <c r="T483" s="25">
        <v>27.352093400000001</v>
      </c>
      <c r="U483">
        <v>26.646989999999999</v>
      </c>
      <c r="V483">
        <v>7.9359999999999999</v>
      </c>
      <c r="W483">
        <v>5.7050000000000001</v>
      </c>
      <c r="X483">
        <v>0</v>
      </c>
      <c r="AA483" s="2"/>
      <c r="AB483">
        <v>14</v>
      </c>
      <c r="AC483" s="55">
        <f t="shared" ref="AC483" si="107">M483*N483*O483</f>
        <v>596.90356194000003</v>
      </c>
      <c r="AD483" s="57">
        <v>1265.6493143942739</v>
      </c>
      <c r="AE483" s="55">
        <v>1206.4392746112001</v>
      </c>
      <c r="AF483" s="55">
        <v>0</v>
      </c>
      <c r="AG483" s="52"/>
      <c r="AH483" s="51">
        <v>8.8492127105210025E-2</v>
      </c>
      <c r="AI483" s="52">
        <v>9.2835174017436004E-2</v>
      </c>
      <c r="AJ483" s="52"/>
      <c r="AK483" s="28">
        <v>1.8181818181818179</v>
      </c>
      <c r="AL483" s="28">
        <v>2.545454545454545</v>
      </c>
      <c r="AM483" s="28">
        <v>0.72727272727272729</v>
      </c>
      <c r="AN483" s="28">
        <v>0</v>
      </c>
      <c r="AO483" s="28">
        <v>0.35714285714285721</v>
      </c>
      <c r="AP483" s="28">
        <v>0.5</v>
      </c>
      <c r="AQ483" s="28">
        <v>0.1428571428571429</v>
      </c>
      <c r="AR483" s="28">
        <v>0</v>
      </c>
      <c r="AS483" s="25">
        <v>0.95</v>
      </c>
      <c r="AT483" s="25">
        <v>3.44</v>
      </c>
      <c r="AU483" s="25">
        <v>2.4900000000000002</v>
      </c>
      <c r="AV483" s="25">
        <v>2.6527272727272719</v>
      </c>
      <c r="AW483">
        <v>2.6527272727272728</v>
      </c>
      <c r="AX483">
        <v>6.0182046818181814</v>
      </c>
      <c r="AY483" s="75">
        <v>0.5176653673612065</v>
      </c>
      <c r="AZ483" s="75">
        <v>0.54307152550012683</v>
      </c>
      <c r="BA483" s="75"/>
      <c r="BC483">
        <v>4.4246063552605013E-2</v>
      </c>
      <c r="BD483">
        <v>4.6417587008717988E-2</v>
      </c>
      <c r="BF483">
        <v>9.0663650561323014E-2</v>
      </c>
      <c r="BG483">
        <v>4.53318252806615E-2</v>
      </c>
      <c r="BH483">
        <v>0.53036844643066661</v>
      </c>
      <c r="BI483" s="79" t="s">
        <v>1264</v>
      </c>
      <c r="BJ483" s="79">
        <v>1423</v>
      </c>
      <c r="BK483" s="79">
        <v>10</v>
      </c>
      <c r="BL483" s="79" t="s">
        <v>1308</v>
      </c>
      <c r="BM483" s="79" t="s">
        <v>1275</v>
      </c>
      <c r="BN483" s="79" t="s">
        <v>863</v>
      </c>
      <c r="BO483" s="79">
        <v>3</v>
      </c>
      <c r="BP483" s="79">
        <v>3.5</v>
      </c>
      <c r="BQ483" s="79">
        <v>1</v>
      </c>
      <c r="BR483" s="79">
        <v>20</v>
      </c>
      <c r="BS483" s="79" t="s">
        <v>464</v>
      </c>
      <c r="BT483" s="79" t="s">
        <v>464</v>
      </c>
      <c r="BU483" s="79" t="s">
        <v>1271</v>
      </c>
      <c r="BV483" s="79">
        <v>200</v>
      </c>
      <c r="BW483" s="79">
        <v>400</v>
      </c>
      <c r="BX483" s="79" t="s">
        <v>1311</v>
      </c>
      <c r="BY483" s="79">
        <v>298</v>
      </c>
      <c r="BZ483" s="81">
        <v>70</v>
      </c>
      <c r="CA483">
        <f t="shared" si="97"/>
        <v>4.2484952420493594</v>
      </c>
    </row>
    <row r="484" spans="1:79" x14ac:dyDescent="0.3">
      <c r="A484" s="2" t="s">
        <v>1395</v>
      </c>
      <c r="B484" s="13"/>
      <c r="C484" s="13"/>
      <c r="D484" s="2"/>
      <c r="E484" s="2" t="s">
        <v>228</v>
      </c>
      <c r="F484" s="9" t="s">
        <v>553</v>
      </c>
      <c r="G484" t="s">
        <v>631</v>
      </c>
      <c r="I484" s="2"/>
      <c r="J484" s="25">
        <v>8</v>
      </c>
      <c r="K484">
        <v>8</v>
      </c>
      <c r="L484">
        <v>0</v>
      </c>
      <c r="M484" s="2">
        <v>3.93</v>
      </c>
      <c r="N484" s="2">
        <v>26.725999999999999</v>
      </c>
      <c r="O484">
        <v>5.6829999999999998</v>
      </c>
      <c r="P484" s="2" t="s">
        <v>1393</v>
      </c>
      <c r="Q484" s="2"/>
      <c r="R484" s="25">
        <v>5.8017180100000001</v>
      </c>
      <c r="S484" s="25">
        <v>7.9756520899999996</v>
      </c>
      <c r="T484" s="25">
        <v>27.352093400000001</v>
      </c>
      <c r="U484">
        <v>26.646989999999999</v>
      </c>
      <c r="V484">
        <v>7.9359999999999999</v>
      </c>
      <c r="W484">
        <v>5.7050000000000001</v>
      </c>
      <c r="X484">
        <v>0</v>
      </c>
      <c r="AA484" s="2"/>
      <c r="AB484">
        <v>14</v>
      </c>
      <c r="AC484" s="55">
        <f t="shared" ref="AC484" si="108">M484*N484*O484</f>
        <v>596.90356194000003</v>
      </c>
      <c r="AD484" s="57">
        <v>1265.6493143942739</v>
      </c>
      <c r="AE484" s="55">
        <v>1206.4392746112001</v>
      </c>
      <c r="AF484" s="55">
        <v>0</v>
      </c>
      <c r="AG484" s="52"/>
      <c r="AH484" s="51">
        <v>8.8492127105210025E-2</v>
      </c>
      <c r="AI484" s="52">
        <v>9.2835174017436004E-2</v>
      </c>
      <c r="AJ484" s="52"/>
      <c r="AK484" s="28">
        <v>1.8181818181818179</v>
      </c>
      <c r="AL484" s="28">
        <v>2.545454545454545</v>
      </c>
      <c r="AM484" s="28">
        <v>0.72727272727272729</v>
      </c>
      <c r="AN484" s="28">
        <v>0</v>
      </c>
      <c r="AO484" s="28">
        <v>0.35714285714285721</v>
      </c>
      <c r="AP484" s="28">
        <v>0.5</v>
      </c>
      <c r="AQ484" s="28">
        <v>0.1428571428571429</v>
      </c>
      <c r="AR484" s="28">
        <v>0</v>
      </c>
      <c r="AS484" s="25">
        <v>0.95</v>
      </c>
      <c r="AT484" s="25">
        <v>3.44</v>
      </c>
      <c r="AU484" s="25">
        <v>2.4900000000000002</v>
      </c>
      <c r="AV484" s="25">
        <v>2.6527272727272719</v>
      </c>
      <c r="AW484">
        <v>2.6527272727272728</v>
      </c>
      <c r="AX484">
        <v>6.0182046818181814</v>
      </c>
      <c r="AY484" s="75">
        <v>0.5176653673612065</v>
      </c>
      <c r="AZ484" s="75">
        <v>0.54307152550012683</v>
      </c>
      <c r="BA484" s="75"/>
      <c r="BC484">
        <v>4.4246063552605013E-2</v>
      </c>
      <c r="BD484">
        <v>4.6417587008717988E-2</v>
      </c>
      <c r="BF484">
        <v>9.0663650561323014E-2</v>
      </c>
      <c r="BG484">
        <v>4.53318252806615E-2</v>
      </c>
      <c r="BH484">
        <v>0.53036844643066661</v>
      </c>
      <c r="BI484" s="79" t="s">
        <v>1264</v>
      </c>
      <c r="BJ484" s="79">
        <v>1423</v>
      </c>
      <c r="BK484" s="79">
        <v>10</v>
      </c>
      <c r="BL484" s="79" t="s">
        <v>1308</v>
      </c>
      <c r="BM484" s="79" t="s">
        <v>1275</v>
      </c>
      <c r="BN484" s="79" t="s">
        <v>863</v>
      </c>
      <c r="BO484" s="79">
        <v>3</v>
      </c>
      <c r="BP484" s="79">
        <v>3.6</v>
      </c>
      <c r="BQ484" s="79">
        <v>1</v>
      </c>
      <c r="BR484" s="79">
        <v>20</v>
      </c>
      <c r="BS484" s="79" t="s">
        <v>464</v>
      </c>
      <c r="BT484" s="79" t="s">
        <v>464</v>
      </c>
      <c r="BU484" s="79" t="s">
        <v>1271</v>
      </c>
      <c r="BV484" s="79">
        <v>200</v>
      </c>
      <c r="BW484" s="79">
        <v>400</v>
      </c>
      <c r="BX484" s="79" t="s">
        <v>1311</v>
      </c>
      <c r="BY484" s="79">
        <v>298</v>
      </c>
      <c r="BZ484" s="81">
        <v>79</v>
      </c>
      <c r="CA484">
        <f t="shared" si="97"/>
        <v>4.3694478524670215</v>
      </c>
    </row>
    <row r="485" spans="1:79" x14ac:dyDescent="0.3">
      <c r="A485" s="2" t="s">
        <v>1396</v>
      </c>
      <c r="B485" s="13"/>
      <c r="C485" s="13"/>
      <c r="D485" s="2"/>
      <c r="E485" s="2" t="s">
        <v>228</v>
      </c>
      <c r="F485" s="9" t="s">
        <v>553</v>
      </c>
      <c r="G485" t="s">
        <v>631</v>
      </c>
      <c r="I485" s="2"/>
      <c r="J485" s="25">
        <v>8</v>
      </c>
      <c r="K485">
        <v>8</v>
      </c>
      <c r="L485">
        <v>0</v>
      </c>
      <c r="M485" s="2">
        <v>3.93</v>
      </c>
      <c r="N485" s="2">
        <v>26.725999999999999</v>
      </c>
      <c r="O485">
        <v>5.6829999999999998</v>
      </c>
      <c r="P485" s="2" t="s">
        <v>1393</v>
      </c>
      <c r="Q485" s="2"/>
      <c r="R485" s="25">
        <v>5.8017180100000001</v>
      </c>
      <c r="S485" s="25">
        <v>7.9756520899999996</v>
      </c>
      <c r="T485" s="25">
        <v>27.352093400000001</v>
      </c>
      <c r="U485">
        <v>26.646989999999999</v>
      </c>
      <c r="V485">
        <v>7.9359999999999999</v>
      </c>
      <c r="W485">
        <v>5.7050000000000001</v>
      </c>
      <c r="X485">
        <v>0</v>
      </c>
      <c r="AA485" s="2"/>
      <c r="AB485">
        <v>14</v>
      </c>
      <c r="AC485" s="55">
        <f t="shared" ref="AC485" si="109">M485*N485*O485</f>
        <v>596.90356194000003</v>
      </c>
      <c r="AD485" s="57">
        <v>1265.6493143942739</v>
      </c>
      <c r="AE485" s="55">
        <v>1206.4392746112001</v>
      </c>
      <c r="AF485" s="55">
        <v>0</v>
      </c>
      <c r="AG485" s="52"/>
      <c r="AH485" s="51">
        <v>8.8492127105210025E-2</v>
      </c>
      <c r="AI485" s="52">
        <v>9.2835174017436004E-2</v>
      </c>
      <c r="AJ485" s="52"/>
      <c r="AK485" s="28">
        <v>1.8181818181818179</v>
      </c>
      <c r="AL485" s="28">
        <v>2.545454545454545</v>
      </c>
      <c r="AM485" s="28">
        <v>0.72727272727272729</v>
      </c>
      <c r="AN485" s="28">
        <v>0</v>
      </c>
      <c r="AO485" s="28">
        <v>0.35714285714285721</v>
      </c>
      <c r="AP485" s="28">
        <v>0.5</v>
      </c>
      <c r="AQ485" s="28">
        <v>0.1428571428571429</v>
      </c>
      <c r="AR485" s="28">
        <v>0</v>
      </c>
      <c r="AS485" s="25">
        <v>0.95</v>
      </c>
      <c r="AT485" s="25">
        <v>3.44</v>
      </c>
      <c r="AU485" s="25">
        <v>2.4900000000000002</v>
      </c>
      <c r="AV485" s="25">
        <v>2.6527272727272719</v>
      </c>
      <c r="AW485">
        <v>2.6527272727272728</v>
      </c>
      <c r="AX485">
        <v>6.0182046818181814</v>
      </c>
      <c r="AY485" s="75">
        <v>0.5176653673612065</v>
      </c>
      <c r="AZ485" s="75">
        <v>0.54307152550012683</v>
      </c>
      <c r="BA485" s="75"/>
      <c r="BC485">
        <v>4.4246063552605013E-2</v>
      </c>
      <c r="BD485">
        <v>4.6417587008717988E-2</v>
      </c>
      <c r="BF485">
        <v>9.0663650561323014E-2</v>
      </c>
      <c r="BG485">
        <v>4.53318252806615E-2</v>
      </c>
      <c r="BH485">
        <v>0.53036844643066661</v>
      </c>
      <c r="BI485" s="79" t="s">
        <v>1264</v>
      </c>
      <c r="BJ485" s="79">
        <v>1423</v>
      </c>
      <c r="BK485" s="79">
        <v>10</v>
      </c>
      <c r="BL485" s="79" t="s">
        <v>1308</v>
      </c>
      <c r="BM485" s="79" t="s">
        <v>1275</v>
      </c>
      <c r="BN485" s="79" t="s">
        <v>863</v>
      </c>
      <c r="BO485" s="79">
        <v>3</v>
      </c>
      <c r="BP485" s="79">
        <v>3.7</v>
      </c>
      <c r="BQ485" s="79">
        <v>1</v>
      </c>
      <c r="BR485" s="79">
        <v>20</v>
      </c>
      <c r="BS485" s="79" t="s">
        <v>464</v>
      </c>
      <c r="BT485" s="79" t="s">
        <v>464</v>
      </c>
      <c r="BU485" s="79" t="s">
        <v>1271</v>
      </c>
      <c r="BV485" s="79">
        <v>200</v>
      </c>
      <c r="BW485" s="79">
        <v>400</v>
      </c>
      <c r="BX485" s="79" t="s">
        <v>1311</v>
      </c>
      <c r="BY485" s="79">
        <v>298</v>
      </c>
      <c r="BZ485" s="81">
        <v>90</v>
      </c>
      <c r="CA485">
        <f t="shared" si="97"/>
        <v>4.499809670330265</v>
      </c>
    </row>
    <row r="486" spans="1:79" x14ac:dyDescent="0.3">
      <c r="A486" s="2" t="s">
        <v>1397</v>
      </c>
      <c r="B486" s="13"/>
      <c r="C486" s="13"/>
      <c r="D486" s="2"/>
      <c r="E486" s="2" t="s">
        <v>228</v>
      </c>
      <c r="F486" s="9" t="s">
        <v>553</v>
      </c>
      <c r="G486" t="s">
        <v>631</v>
      </c>
      <c r="I486" s="2"/>
      <c r="J486" s="25">
        <v>8</v>
      </c>
      <c r="K486">
        <v>8</v>
      </c>
      <c r="L486">
        <v>0</v>
      </c>
      <c r="M486" s="2">
        <v>3.93</v>
      </c>
      <c r="N486" s="2">
        <v>26.725999999999999</v>
      </c>
      <c r="O486">
        <v>5.6829999999999998</v>
      </c>
      <c r="P486" s="2" t="s">
        <v>1393</v>
      </c>
      <c r="Q486" s="2"/>
      <c r="R486" s="25">
        <v>5.8017180100000001</v>
      </c>
      <c r="S486" s="25">
        <v>7.9756520899999996</v>
      </c>
      <c r="T486" s="25">
        <v>27.352093400000001</v>
      </c>
      <c r="U486">
        <v>26.646989999999999</v>
      </c>
      <c r="V486">
        <v>7.9359999999999999</v>
      </c>
      <c r="W486">
        <v>5.7050000000000001</v>
      </c>
      <c r="X486">
        <v>0</v>
      </c>
      <c r="AA486" s="2"/>
      <c r="AB486">
        <v>14</v>
      </c>
      <c r="AC486" s="55">
        <f t="shared" ref="AC486" si="110">M486*N486*O486</f>
        <v>596.90356194000003</v>
      </c>
      <c r="AD486" s="57">
        <v>1265.6493143942739</v>
      </c>
      <c r="AE486" s="55">
        <v>1206.4392746112001</v>
      </c>
      <c r="AF486" s="55">
        <v>0</v>
      </c>
      <c r="AG486" s="52"/>
      <c r="AH486" s="51">
        <v>8.8492127105210025E-2</v>
      </c>
      <c r="AI486" s="52">
        <v>9.2835174017436004E-2</v>
      </c>
      <c r="AJ486" s="52"/>
      <c r="AK486" s="28">
        <v>1.8181818181818179</v>
      </c>
      <c r="AL486" s="28">
        <v>2.545454545454545</v>
      </c>
      <c r="AM486" s="28">
        <v>0.72727272727272729</v>
      </c>
      <c r="AN486" s="28">
        <v>0</v>
      </c>
      <c r="AO486" s="28">
        <v>0.35714285714285721</v>
      </c>
      <c r="AP486" s="28">
        <v>0.5</v>
      </c>
      <c r="AQ486" s="28">
        <v>0.1428571428571429</v>
      </c>
      <c r="AR486" s="28">
        <v>0</v>
      </c>
      <c r="AS486" s="25">
        <v>0.95</v>
      </c>
      <c r="AT486" s="25">
        <v>3.44</v>
      </c>
      <c r="AU486" s="25">
        <v>2.4900000000000002</v>
      </c>
      <c r="AV486" s="25">
        <v>2.6527272727272719</v>
      </c>
      <c r="AW486">
        <v>2.6527272727272728</v>
      </c>
      <c r="AX486">
        <v>6.0182046818181814</v>
      </c>
      <c r="AY486" s="75">
        <v>0.5176653673612065</v>
      </c>
      <c r="AZ486" s="75">
        <v>0.54307152550012683</v>
      </c>
      <c r="BA486" s="75"/>
      <c r="BC486">
        <v>4.4246063552605013E-2</v>
      </c>
      <c r="BD486">
        <v>4.6417587008717988E-2</v>
      </c>
      <c r="BF486">
        <v>9.0663650561323014E-2</v>
      </c>
      <c r="BG486">
        <v>4.53318252806615E-2</v>
      </c>
      <c r="BH486">
        <v>0.53036844643066661</v>
      </c>
      <c r="BI486" s="79" t="s">
        <v>1264</v>
      </c>
      <c r="BJ486" s="79">
        <v>1423</v>
      </c>
      <c r="BK486" s="79">
        <v>10</v>
      </c>
      <c r="BL486" s="79" t="s">
        <v>1308</v>
      </c>
      <c r="BM486" s="79" t="s">
        <v>1275</v>
      </c>
      <c r="BN486" s="79" t="s">
        <v>863</v>
      </c>
      <c r="BO486" s="79">
        <v>3</v>
      </c>
      <c r="BP486" s="79">
        <v>3.4</v>
      </c>
      <c r="BQ486" s="79">
        <v>1</v>
      </c>
      <c r="BR486" s="79">
        <v>20</v>
      </c>
      <c r="BS486" s="79" t="s">
        <v>464</v>
      </c>
      <c r="BT486" s="79" t="s">
        <v>464</v>
      </c>
      <c r="BU486" s="79" t="s">
        <v>1271</v>
      </c>
      <c r="BV486" s="79">
        <v>200</v>
      </c>
      <c r="BW486" s="79">
        <v>400</v>
      </c>
      <c r="BX486" s="79" t="s">
        <v>1311</v>
      </c>
      <c r="BY486" s="79">
        <v>298</v>
      </c>
      <c r="BZ486" s="81">
        <v>82</v>
      </c>
      <c r="CA486">
        <f t="shared" si="97"/>
        <v>4.4067192472642533</v>
      </c>
    </row>
    <row r="487" spans="1:79" x14ac:dyDescent="0.3">
      <c r="A487" s="2" t="s">
        <v>1398</v>
      </c>
      <c r="B487" s="13"/>
      <c r="C487" s="13"/>
      <c r="D487" s="2"/>
      <c r="E487" s="2" t="s">
        <v>228</v>
      </c>
      <c r="F487" s="9" t="s">
        <v>553</v>
      </c>
      <c r="G487" t="s">
        <v>631</v>
      </c>
      <c r="I487" s="2"/>
      <c r="J487" s="25">
        <v>8</v>
      </c>
      <c r="K487">
        <v>8</v>
      </c>
      <c r="L487">
        <v>0</v>
      </c>
      <c r="M487" s="2">
        <v>3.93</v>
      </c>
      <c r="N487" s="2">
        <v>26.725999999999999</v>
      </c>
      <c r="O487">
        <v>5.6829999999999998</v>
      </c>
      <c r="P487" s="2" t="s">
        <v>1393</v>
      </c>
      <c r="Q487" s="2"/>
      <c r="R487" s="25">
        <v>5.8017180100000001</v>
      </c>
      <c r="S487" s="25">
        <v>7.9756520899999996</v>
      </c>
      <c r="T487" s="25">
        <v>27.352093400000001</v>
      </c>
      <c r="U487">
        <v>26.646989999999999</v>
      </c>
      <c r="V487">
        <v>7.9359999999999999</v>
      </c>
      <c r="W487">
        <v>5.7050000000000001</v>
      </c>
      <c r="X487">
        <v>0</v>
      </c>
      <c r="AA487" s="2"/>
      <c r="AB487">
        <v>14</v>
      </c>
      <c r="AC487" s="55">
        <f t="shared" ref="AC487" si="111">M487*N487*O487</f>
        <v>596.90356194000003</v>
      </c>
      <c r="AD487" s="57">
        <v>1265.6493143942739</v>
      </c>
      <c r="AE487" s="55">
        <v>1206.4392746112001</v>
      </c>
      <c r="AF487" s="55">
        <v>0</v>
      </c>
      <c r="AG487" s="52"/>
      <c r="AH487" s="51">
        <v>8.8492127105210025E-2</v>
      </c>
      <c r="AI487" s="52">
        <v>9.2835174017436004E-2</v>
      </c>
      <c r="AJ487" s="52"/>
      <c r="AK487" s="28">
        <v>1.8181818181818179</v>
      </c>
      <c r="AL487" s="28">
        <v>2.545454545454545</v>
      </c>
      <c r="AM487" s="28">
        <v>0.72727272727272729</v>
      </c>
      <c r="AN487" s="28">
        <v>0</v>
      </c>
      <c r="AO487" s="28">
        <v>0.35714285714285721</v>
      </c>
      <c r="AP487" s="28">
        <v>0.5</v>
      </c>
      <c r="AQ487" s="28">
        <v>0.1428571428571429</v>
      </c>
      <c r="AR487" s="28">
        <v>0</v>
      </c>
      <c r="AS487" s="25">
        <v>0.95</v>
      </c>
      <c r="AT487" s="25">
        <v>3.44</v>
      </c>
      <c r="AU487" s="25">
        <v>2.4900000000000002</v>
      </c>
      <c r="AV487" s="25">
        <v>2.6527272727272719</v>
      </c>
      <c r="AW487">
        <v>2.6527272727272728</v>
      </c>
      <c r="AX487">
        <v>6.0182046818181814</v>
      </c>
      <c r="AY487" s="75">
        <v>0.5176653673612065</v>
      </c>
      <c r="AZ487" s="75">
        <v>0.54307152550012683</v>
      </c>
      <c r="BA487" s="75"/>
      <c r="BC487">
        <v>4.4246063552605013E-2</v>
      </c>
      <c r="BD487">
        <v>4.6417587008717988E-2</v>
      </c>
      <c r="BF487">
        <v>9.0663650561323014E-2</v>
      </c>
      <c r="BG487">
        <v>4.53318252806615E-2</v>
      </c>
      <c r="BH487">
        <v>0.53036844643066661</v>
      </c>
      <c r="BI487" s="79" t="s">
        <v>1264</v>
      </c>
      <c r="BJ487" s="79">
        <v>1423</v>
      </c>
      <c r="BK487" s="79">
        <v>10</v>
      </c>
      <c r="BL487" s="79" t="s">
        <v>1308</v>
      </c>
      <c r="BM487" s="79" t="s">
        <v>1275</v>
      </c>
      <c r="BN487" s="79" t="s">
        <v>863</v>
      </c>
      <c r="BO487" s="79">
        <v>3</v>
      </c>
      <c r="BP487" s="79">
        <v>4.2</v>
      </c>
      <c r="BQ487" s="79">
        <v>1</v>
      </c>
      <c r="BR487" s="79">
        <v>20</v>
      </c>
      <c r="BS487" s="79" t="s">
        <v>464</v>
      </c>
      <c r="BT487" s="79" t="s">
        <v>464</v>
      </c>
      <c r="BU487" s="79" t="s">
        <v>1271</v>
      </c>
      <c r="BV487" s="79">
        <v>200</v>
      </c>
      <c r="BW487" s="79">
        <v>400</v>
      </c>
      <c r="BX487" s="79" t="s">
        <v>1311</v>
      </c>
      <c r="BY487" s="79">
        <v>298</v>
      </c>
      <c r="BZ487" s="81">
        <v>64</v>
      </c>
      <c r="CA487">
        <f t="shared" si="97"/>
        <v>4.1588830833596715</v>
      </c>
    </row>
    <row r="488" spans="1:79" x14ac:dyDescent="0.3">
      <c r="A488" s="2" t="s">
        <v>1399</v>
      </c>
      <c r="B488" s="13"/>
      <c r="C488" s="13"/>
      <c r="D488" s="2"/>
      <c r="E488" s="2" t="s">
        <v>228</v>
      </c>
      <c r="F488" s="9" t="s">
        <v>553</v>
      </c>
      <c r="G488" t="s">
        <v>631</v>
      </c>
      <c r="I488" s="2"/>
      <c r="J488" s="25">
        <v>8</v>
      </c>
      <c r="K488">
        <v>8</v>
      </c>
      <c r="L488">
        <v>0</v>
      </c>
      <c r="M488" s="2">
        <v>3.93</v>
      </c>
      <c r="N488" s="2">
        <v>26.725999999999999</v>
      </c>
      <c r="O488">
        <v>5.6829999999999998</v>
      </c>
      <c r="P488" s="2" t="s">
        <v>1393</v>
      </c>
      <c r="Q488" s="2"/>
      <c r="R488" s="25">
        <v>5.8017180100000001</v>
      </c>
      <c r="S488" s="25">
        <v>7.9756520899999996</v>
      </c>
      <c r="T488" s="25">
        <v>27.352093400000001</v>
      </c>
      <c r="U488">
        <v>26.646989999999999</v>
      </c>
      <c r="V488">
        <v>7.9359999999999999</v>
      </c>
      <c r="W488">
        <v>5.7050000000000001</v>
      </c>
      <c r="X488">
        <v>0</v>
      </c>
      <c r="AA488" s="2"/>
      <c r="AB488">
        <v>14</v>
      </c>
      <c r="AC488" s="55">
        <f t="shared" ref="AC488" si="112">M488*N488*O488</f>
        <v>596.90356194000003</v>
      </c>
      <c r="AD488" s="57">
        <v>1265.6493143942739</v>
      </c>
      <c r="AE488" s="55">
        <v>1206.4392746112001</v>
      </c>
      <c r="AF488" s="55">
        <v>0</v>
      </c>
      <c r="AG488" s="52"/>
      <c r="AH488" s="51">
        <v>8.8492127105210025E-2</v>
      </c>
      <c r="AI488" s="52">
        <v>9.2835174017436004E-2</v>
      </c>
      <c r="AJ488" s="52"/>
      <c r="AK488" s="28">
        <v>1.8181818181818179</v>
      </c>
      <c r="AL488" s="28">
        <v>2.545454545454545</v>
      </c>
      <c r="AM488" s="28">
        <v>0.72727272727272729</v>
      </c>
      <c r="AN488" s="28">
        <v>0</v>
      </c>
      <c r="AO488" s="28">
        <v>0.35714285714285721</v>
      </c>
      <c r="AP488" s="28">
        <v>0.5</v>
      </c>
      <c r="AQ488" s="28">
        <v>0.1428571428571429</v>
      </c>
      <c r="AR488" s="28">
        <v>0</v>
      </c>
      <c r="AS488" s="25">
        <v>0.95</v>
      </c>
      <c r="AT488" s="25">
        <v>3.44</v>
      </c>
      <c r="AU488" s="25">
        <v>2.4900000000000002</v>
      </c>
      <c r="AV488" s="25">
        <v>2.6527272727272719</v>
      </c>
      <c r="AW488">
        <v>2.6527272727272728</v>
      </c>
      <c r="AX488">
        <v>6.0182046818181814</v>
      </c>
      <c r="AY488" s="75">
        <v>0.5176653673612065</v>
      </c>
      <c r="AZ488" s="75">
        <v>0.54307152550012683</v>
      </c>
      <c r="BA488" s="75"/>
      <c r="BC488">
        <v>4.4246063552605013E-2</v>
      </c>
      <c r="BD488">
        <v>4.6417587008717988E-2</v>
      </c>
      <c r="BF488">
        <v>9.0663650561323014E-2</v>
      </c>
      <c r="BG488">
        <v>4.53318252806615E-2</v>
      </c>
      <c r="BH488">
        <v>0.53036844643066661</v>
      </c>
      <c r="BI488" s="79" t="s">
        <v>1264</v>
      </c>
      <c r="BJ488" s="79">
        <v>1423</v>
      </c>
      <c r="BK488" s="79">
        <v>10</v>
      </c>
      <c r="BL488" s="79" t="s">
        <v>1308</v>
      </c>
      <c r="BM488" s="79" t="s">
        <v>1275</v>
      </c>
      <c r="BN488" s="79" t="s">
        <v>863</v>
      </c>
      <c r="BO488" s="79">
        <v>3</v>
      </c>
      <c r="BP488" s="79">
        <v>4.5999999999999996</v>
      </c>
      <c r="BQ488" s="79">
        <v>1</v>
      </c>
      <c r="BR488" s="79">
        <v>20</v>
      </c>
      <c r="BS488" s="79" t="s">
        <v>464</v>
      </c>
      <c r="BT488" s="79" t="s">
        <v>464</v>
      </c>
      <c r="BU488" s="79" t="s">
        <v>1271</v>
      </c>
      <c r="BV488" s="79">
        <v>200</v>
      </c>
      <c r="BW488" s="79">
        <v>400</v>
      </c>
      <c r="BX488" s="79" t="s">
        <v>1311</v>
      </c>
      <c r="BY488" s="79">
        <v>298</v>
      </c>
      <c r="BZ488" s="81">
        <v>40</v>
      </c>
      <c r="CA488">
        <f t="shared" si="97"/>
        <v>3.6888794541139363</v>
      </c>
    </row>
    <row r="489" spans="1:79" x14ac:dyDescent="0.3">
      <c r="A489" s="2" t="s">
        <v>1399</v>
      </c>
      <c r="B489" s="13"/>
      <c r="C489" s="13"/>
      <c r="D489" s="2"/>
      <c r="E489" s="2" t="s">
        <v>228</v>
      </c>
      <c r="F489" s="9" t="s">
        <v>553</v>
      </c>
      <c r="G489" t="s">
        <v>631</v>
      </c>
      <c r="I489" s="2"/>
      <c r="J489" s="25">
        <v>8</v>
      </c>
      <c r="K489">
        <v>8</v>
      </c>
      <c r="L489">
        <v>0</v>
      </c>
      <c r="M489" s="2">
        <v>3.93</v>
      </c>
      <c r="N489" s="2">
        <v>26.725999999999999</v>
      </c>
      <c r="O489">
        <v>5.6829999999999998</v>
      </c>
      <c r="P489" s="2" t="s">
        <v>1393</v>
      </c>
      <c r="Q489" s="2"/>
      <c r="R489" s="25">
        <v>5.8017180100000001</v>
      </c>
      <c r="S489" s="25">
        <v>7.9756520899999996</v>
      </c>
      <c r="T489" s="25">
        <v>27.352093400000001</v>
      </c>
      <c r="U489">
        <v>26.646989999999999</v>
      </c>
      <c r="V489">
        <v>7.9359999999999999</v>
      </c>
      <c r="W489">
        <v>5.7050000000000001</v>
      </c>
      <c r="X489">
        <v>0</v>
      </c>
      <c r="AA489" s="2"/>
      <c r="AB489">
        <v>14</v>
      </c>
      <c r="AC489" s="55">
        <f t="shared" ref="AC489" si="113">M489*N489*O489</f>
        <v>596.90356194000003</v>
      </c>
      <c r="AD489" s="57">
        <v>1265.6493143942739</v>
      </c>
      <c r="AE489" s="55">
        <v>1206.4392746112001</v>
      </c>
      <c r="AF489" s="55">
        <v>0</v>
      </c>
      <c r="AG489" s="52"/>
      <c r="AH489" s="51">
        <v>8.8492127105210025E-2</v>
      </c>
      <c r="AI489" s="52">
        <v>9.2835174017436004E-2</v>
      </c>
      <c r="AJ489" s="52"/>
      <c r="AK489" s="28">
        <v>1.8181818181818179</v>
      </c>
      <c r="AL489" s="28">
        <v>2.545454545454545</v>
      </c>
      <c r="AM489" s="28">
        <v>0.72727272727272729</v>
      </c>
      <c r="AN489" s="28">
        <v>0</v>
      </c>
      <c r="AO489" s="28">
        <v>0.35714285714285721</v>
      </c>
      <c r="AP489" s="28">
        <v>0.5</v>
      </c>
      <c r="AQ489" s="28">
        <v>0.1428571428571429</v>
      </c>
      <c r="AR489" s="28">
        <v>0</v>
      </c>
      <c r="AS489" s="25">
        <v>0.95</v>
      </c>
      <c r="AT489" s="25">
        <v>3.44</v>
      </c>
      <c r="AU489" s="25">
        <v>2.4900000000000002</v>
      </c>
      <c r="AV489" s="25">
        <v>2.6527272727272719</v>
      </c>
      <c r="AW489">
        <v>2.6527272727272728</v>
      </c>
      <c r="AX489">
        <v>6.0182046818181814</v>
      </c>
      <c r="AY489" s="75">
        <v>0.5176653673612065</v>
      </c>
      <c r="AZ489" s="75">
        <v>0.54307152550012683</v>
      </c>
      <c r="BA489" s="75"/>
      <c r="BC489">
        <v>4.4246063552605013E-2</v>
      </c>
      <c r="BD489">
        <v>4.6417587008717988E-2</v>
      </c>
      <c r="BF489">
        <v>9.0663650561323014E-2</v>
      </c>
      <c r="BG489">
        <v>4.53318252806615E-2</v>
      </c>
      <c r="BH489">
        <v>0.53036844643066661</v>
      </c>
      <c r="BI489" s="79" t="s">
        <v>1264</v>
      </c>
      <c r="BJ489" s="79">
        <v>1423</v>
      </c>
      <c r="BK489" s="79">
        <v>10</v>
      </c>
      <c r="BL489" s="79" t="s">
        <v>1308</v>
      </c>
      <c r="BM489" s="79" t="s">
        <v>1275</v>
      </c>
      <c r="BN489" s="79" t="s">
        <v>863</v>
      </c>
      <c r="BO489" s="79">
        <v>3</v>
      </c>
      <c r="BP489" s="79">
        <v>6.4</v>
      </c>
      <c r="BQ489" s="79">
        <v>1</v>
      </c>
      <c r="BR489" s="79">
        <v>20</v>
      </c>
      <c r="BS489" s="79" t="s">
        <v>464</v>
      </c>
      <c r="BT489" s="79" t="s">
        <v>464</v>
      </c>
      <c r="BU489" s="79" t="s">
        <v>1271</v>
      </c>
      <c r="BV489" s="79">
        <v>200</v>
      </c>
      <c r="BW489" s="79">
        <v>400</v>
      </c>
      <c r="BX489" s="79" t="s">
        <v>1311</v>
      </c>
      <c r="BY489" s="79">
        <v>298</v>
      </c>
      <c r="BZ489" s="81">
        <v>20</v>
      </c>
      <c r="CA489">
        <f t="shared" si="97"/>
        <v>2.9957322735539909</v>
      </c>
    </row>
    <row r="490" spans="1:79" x14ac:dyDescent="0.3">
      <c r="A490" s="2" t="s">
        <v>46</v>
      </c>
      <c r="B490" s="13" t="s">
        <v>722</v>
      </c>
      <c r="C490" s="13"/>
      <c r="D490" s="2">
        <v>3.9</v>
      </c>
      <c r="E490" s="2" t="s">
        <v>229</v>
      </c>
      <c r="F490" s="12" t="s">
        <v>551</v>
      </c>
      <c r="G490" t="s">
        <v>629</v>
      </c>
      <c r="I490" s="2"/>
      <c r="J490" s="25">
        <v>2</v>
      </c>
      <c r="K490">
        <v>4</v>
      </c>
      <c r="L490">
        <v>0</v>
      </c>
      <c r="M490" s="2"/>
      <c r="N490" s="2"/>
      <c r="O490" s="2"/>
      <c r="P490" s="2"/>
      <c r="Q490" s="2"/>
      <c r="R490" s="25">
        <v>7.41544296</v>
      </c>
      <c r="S490" s="25">
        <v>7.4154429599999991</v>
      </c>
      <c r="T490" s="25">
        <v>7.41544296</v>
      </c>
      <c r="U490">
        <v>7.8</v>
      </c>
      <c r="V490">
        <v>13.010999999999999</v>
      </c>
      <c r="W490">
        <v>5.5460000000000003</v>
      </c>
      <c r="X490">
        <v>0</v>
      </c>
      <c r="AA490" s="2"/>
      <c r="AB490">
        <v>14</v>
      </c>
      <c r="AC490" s="55">
        <f t="shared" si="70"/>
        <v>0</v>
      </c>
      <c r="AD490" s="57">
        <v>288.33429290182369</v>
      </c>
      <c r="AE490" s="55">
        <v>556.51188553357167</v>
      </c>
      <c r="AF490" s="55">
        <v>0</v>
      </c>
      <c r="AG490" s="52"/>
      <c r="AH490" s="51">
        <v>9.7109503410799117E-2</v>
      </c>
      <c r="AI490" s="52">
        <v>0.10062678166578309</v>
      </c>
      <c r="AJ490" s="52"/>
      <c r="AK490" s="28">
        <v>2</v>
      </c>
      <c r="AL490" s="28">
        <v>2.545454545454545</v>
      </c>
      <c r="AM490" s="28">
        <v>0.54545454545454541</v>
      </c>
      <c r="AN490" s="28">
        <v>0</v>
      </c>
      <c r="AO490" s="28">
        <v>0.39285714285714279</v>
      </c>
      <c r="AP490" s="28">
        <v>0.5</v>
      </c>
      <c r="AQ490" s="28">
        <v>0.1071428571428571</v>
      </c>
      <c r="AR490" s="28">
        <v>0</v>
      </c>
      <c r="AS490" s="25">
        <v>1.1000000000000001</v>
      </c>
      <c r="AT490" s="25">
        <v>3.44</v>
      </c>
      <c r="AU490" s="25">
        <v>2.34</v>
      </c>
      <c r="AV490" s="25">
        <v>2.669090909090909</v>
      </c>
      <c r="AW490">
        <v>2.669090909090909</v>
      </c>
      <c r="AX490">
        <v>5.9831974772727277</v>
      </c>
      <c r="AY490" s="75">
        <v>0.52442413903612473</v>
      </c>
      <c r="AZ490" s="75">
        <v>0.54341863036636606</v>
      </c>
      <c r="BA490" s="75"/>
      <c r="BC490">
        <v>4.8554751705399558E-2</v>
      </c>
      <c r="BD490">
        <v>5.0313390832891547E-2</v>
      </c>
      <c r="BF490">
        <v>9.8868142538291098E-2</v>
      </c>
      <c r="BG490">
        <v>4.9434071269145549E-2</v>
      </c>
      <c r="BH490">
        <v>0.53392138470124539</v>
      </c>
      <c r="BI490" s="79" t="s">
        <v>1400</v>
      </c>
      <c r="BJ490" s="79">
        <v>1273</v>
      </c>
      <c r="BK490" s="79">
        <v>12</v>
      </c>
      <c r="BM490" s="79" t="s">
        <v>1268</v>
      </c>
      <c r="BN490" s="79" t="s">
        <v>863</v>
      </c>
      <c r="BO490" s="79">
        <v>0.5</v>
      </c>
      <c r="BP490" s="79">
        <v>8</v>
      </c>
      <c r="BQ490" s="79">
        <v>2</v>
      </c>
      <c r="BR490" s="79">
        <v>10</v>
      </c>
      <c r="BS490" s="79" t="s">
        <v>464</v>
      </c>
      <c r="BT490" s="79" t="s">
        <v>464</v>
      </c>
      <c r="BU490" s="79" t="s">
        <v>1271</v>
      </c>
      <c r="BV490" s="79">
        <v>300</v>
      </c>
      <c r="BW490" s="79">
        <v>420</v>
      </c>
      <c r="BX490" s="79" t="s">
        <v>1311</v>
      </c>
      <c r="BZ490" s="81">
        <v>0</v>
      </c>
      <c r="CA490" t="e">
        <f t="shared" si="97"/>
        <v>#NUM!</v>
      </c>
    </row>
    <row r="491" spans="1:79" x14ac:dyDescent="0.3">
      <c r="A491" s="2" t="s">
        <v>1401</v>
      </c>
      <c r="B491" s="13" t="s">
        <v>722</v>
      </c>
      <c r="C491" s="13"/>
      <c r="D491" s="2">
        <v>3.78</v>
      </c>
      <c r="E491" s="2" t="s">
        <v>229</v>
      </c>
      <c r="F491" s="12" t="s">
        <v>551</v>
      </c>
      <c r="G491" t="s">
        <v>629</v>
      </c>
      <c r="I491" s="2"/>
      <c r="J491" s="25">
        <v>2</v>
      </c>
      <c r="K491">
        <v>4</v>
      </c>
      <c r="L491">
        <v>0</v>
      </c>
      <c r="M491" s="2"/>
      <c r="N491" s="2"/>
      <c r="O491" s="2"/>
      <c r="P491" s="2"/>
      <c r="Q491" s="2"/>
      <c r="R491" s="25">
        <v>7.41544296</v>
      </c>
      <c r="S491" s="25">
        <v>7.4154429599999991</v>
      </c>
      <c r="T491" s="25">
        <v>7.41544296</v>
      </c>
      <c r="U491">
        <v>7.8</v>
      </c>
      <c r="V491">
        <v>13.010999999999999</v>
      </c>
      <c r="W491">
        <v>5.5460000000000003</v>
      </c>
      <c r="X491">
        <v>0</v>
      </c>
      <c r="AA491" s="2"/>
      <c r="AB491">
        <v>14</v>
      </c>
      <c r="AC491" s="55">
        <f t="shared" si="70"/>
        <v>0</v>
      </c>
      <c r="AD491" s="57">
        <v>288.33429290182369</v>
      </c>
      <c r="AE491" s="55">
        <v>556.51188553357167</v>
      </c>
      <c r="AF491" s="55">
        <v>0</v>
      </c>
      <c r="AG491" s="52"/>
      <c r="AH491" s="51">
        <v>9.7109503410799117E-2</v>
      </c>
      <c r="AI491" s="52">
        <v>0.10062678166578309</v>
      </c>
      <c r="AJ491" s="52"/>
      <c r="AK491" s="28">
        <v>2</v>
      </c>
      <c r="AL491" s="28">
        <v>2.545454545454545</v>
      </c>
      <c r="AM491" s="28">
        <v>0.54545454545454541</v>
      </c>
      <c r="AN491" s="28">
        <v>0</v>
      </c>
      <c r="AO491" s="28">
        <v>0.39285714285714279</v>
      </c>
      <c r="AP491" s="28">
        <v>0.5</v>
      </c>
      <c r="AQ491" s="28">
        <v>0.1071428571428571</v>
      </c>
      <c r="AR491" s="28">
        <v>0</v>
      </c>
      <c r="AS491" s="25">
        <v>1.1000000000000001</v>
      </c>
      <c r="AT491" s="25">
        <v>3.44</v>
      </c>
      <c r="AU491" s="25">
        <v>2.34</v>
      </c>
      <c r="AV491" s="25">
        <v>2.669090909090909</v>
      </c>
      <c r="AW491">
        <v>2.669090909090909</v>
      </c>
      <c r="AX491">
        <v>5.9831974772727277</v>
      </c>
      <c r="AY491" s="75">
        <v>0.52442413903612473</v>
      </c>
      <c r="AZ491" s="75">
        <v>0.54341863036636606</v>
      </c>
      <c r="BA491" s="75"/>
      <c r="BC491">
        <v>4.8554751705399558E-2</v>
      </c>
      <c r="BD491">
        <v>5.0313390832891547E-2</v>
      </c>
      <c r="BF491">
        <v>9.8868142538291098E-2</v>
      </c>
      <c r="BG491">
        <v>4.9434071269145549E-2</v>
      </c>
      <c r="BH491">
        <v>0.53392138470124539</v>
      </c>
      <c r="BI491" s="79" t="s">
        <v>1400</v>
      </c>
      <c r="BJ491" s="79">
        <v>1273</v>
      </c>
      <c r="BK491" s="79">
        <v>12</v>
      </c>
      <c r="BM491" s="79" t="s">
        <v>1268</v>
      </c>
      <c r="BN491" s="79" t="s">
        <v>863</v>
      </c>
      <c r="BO491" s="79">
        <v>0.5</v>
      </c>
      <c r="BP491" s="79">
        <v>10</v>
      </c>
      <c r="BQ491" s="79">
        <v>2</v>
      </c>
      <c r="BR491" s="79">
        <v>10</v>
      </c>
      <c r="BS491" s="79" t="s">
        <v>464</v>
      </c>
      <c r="BT491" s="79" t="s">
        <v>464</v>
      </c>
      <c r="BU491" s="79" t="s">
        <v>1271</v>
      </c>
      <c r="BV491" s="79">
        <v>300</v>
      </c>
      <c r="BW491" s="79">
        <v>420</v>
      </c>
      <c r="BX491" s="79" t="s">
        <v>1311</v>
      </c>
      <c r="BZ491" s="81">
        <v>5.67</v>
      </c>
      <c r="CA491">
        <f t="shared" si="97"/>
        <v>1.7351891177396608</v>
      </c>
    </row>
    <row r="492" spans="1:79" x14ac:dyDescent="0.3">
      <c r="A492" s="2" t="s">
        <v>1401</v>
      </c>
      <c r="B492" s="13" t="s">
        <v>722</v>
      </c>
      <c r="C492" s="13"/>
      <c r="D492" s="2"/>
      <c r="E492" s="2" t="s">
        <v>229</v>
      </c>
      <c r="F492" s="12" t="s">
        <v>551</v>
      </c>
      <c r="G492" t="s">
        <v>629</v>
      </c>
      <c r="I492" s="2"/>
      <c r="J492" s="25">
        <v>2</v>
      </c>
      <c r="K492">
        <v>4</v>
      </c>
      <c r="L492">
        <v>0</v>
      </c>
      <c r="M492" s="2"/>
      <c r="N492" s="2"/>
      <c r="O492" s="2"/>
      <c r="P492" s="2"/>
      <c r="Q492" s="2"/>
      <c r="R492" s="25"/>
      <c r="S492" s="25"/>
      <c r="T492" s="25"/>
      <c r="AA492" s="2"/>
      <c r="AC492" s="55"/>
      <c r="AD492" s="57"/>
      <c r="AE492" s="55"/>
      <c r="AF492" s="55"/>
      <c r="AG492" s="52"/>
      <c r="AH492" s="51"/>
      <c r="AI492" s="52"/>
      <c r="AJ492" s="52"/>
      <c r="AK492" s="28"/>
      <c r="AL492" s="28"/>
      <c r="AM492" s="28"/>
      <c r="AN492" s="28"/>
      <c r="AO492" s="28"/>
      <c r="AP492" s="28"/>
      <c r="AQ492" s="28"/>
      <c r="AR492" s="28"/>
      <c r="AS492" s="25"/>
      <c r="AT492" s="25"/>
      <c r="AU492" s="25"/>
      <c r="AV492" s="25"/>
      <c r="AY492" s="75"/>
      <c r="AZ492" s="75"/>
      <c r="BA492" s="75"/>
      <c r="BI492" s="79" t="s">
        <v>1264</v>
      </c>
      <c r="BJ492" s="79">
        <v>1423</v>
      </c>
      <c r="BK492" s="79">
        <v>10</v>
      </c>
      <c r="BM492" s="79" t="s">
        <v>1268</v>
      </c>
      <c r="BN492" s="79" t="s">
        <v>863</v>
      </c>
      <c r="BO492" s="79">
        <v>0.5</v>
      </c>
      <c r="BP492" s="79">
        <v>7.9</v>
      </c>
      <c r="BQ492" s="79">
        <v>2</v>
      </c>
      <c r="BR492" s="79">
        <v>10</v>
      </c>
      <c r="BS492" s="79" t="s">
        <v>464</v>
      </c>
      <c r="BT492" s="79" t="s">
        <v>464</v>
      </c>
      <c r="BU492" s="79" t="s">
        <v>1271</v>
      </c>
      <c r="BV492" s="79">
        <v>300</v>
      </c>
      <c r="BW492" s="79">
        <v>420</v>
      </c>
      <c r="BX492" s="79" t="s">
        <v>1311</v>
      </c>
      <c r="BZ492" s="81">
        <v>0</v>
      </c>
      <c r="CA492" t="e">
        <f t="shared" si="97"/>
        <v>#NUM!</v>
      </c>
    </row>
    <row r="493" spans="1:79" x14ac:dyDescent="0.3">
      <c r="A493" s="2" t="s">
        <v>1401</v>
      </c>
      <c r="B493" s="13" t="s">
        <v>722</v>
      </c>
      <c r="C493" s="13"/>
      <c r="D493" s="2"/>
      <c r="E493" s="2" t="s">
        <v>229</v>
      </c>
      <c r="F493" s="12" t="s">
        <v>551</v>
      </c>
      <c r="G493" t="s">
        <v>629</v>
      </c>
      <c r="I493" s="2"/>
      <c r="J493" s="25">
        <v>2</v>
      </c>
      <c r="K493">
        <v>4</v>
      </c>
      <c r="L493">
        <v>0</v>
      </c>
      <c r="M493" s="2"/>
      <c r="N493" s="2"/>
      <c r="O493" s="2"/>
      <c r="P493" s="2"/>
      <c r="Q493" s="2"/>
      <c r="R493" s="25"/>
      <c r="S493" s="25"/>
      <c r="T493" s="25"/>
      <c r="AA493" s="2"/>
      <c r="AC493" s="55"/>
      <c r="AD493" s="57"/>
      <c r="AE493" s="55"/>
      <c r="AF493" s="55"/>
      <c r="AG493" s="52"/>
      <c r="AH493" s="51"/>
      <c r="AI493" s="52"/>
      <c r="AJ493" s="52"/>
      <c r="AK493" s="28"/>
      <c r="AL493" s="28"/>
      <c r="AM493" s="28"/>
      <c r="AN493" s="28"/>
      <c r="AO493" s="28"/>
      <c r="AP493" s="28"/>
      <c r="AQ493" s="28"/>
      <c r="AR493" s="28"/>
      <c r="AS493" s="25"/>
      <c r="AT493" s="25"/>
      <c r="AU493" s="25"/>
      <c r="AV493" s="25"/>
      <c r="AY493" s="75"/>
      <c r="AZ493" s="75"/>
      <c r="BA493" s="75"/>
      <c r="BI493" s="79" t="s">
        <v>1305</v>
      </c>
      <c r="BJ493" s="79">
        <v>1323</v>
      </c>
      <c r="BK493" s="79">
        <v>2</v>
      </c>
      <c r="BM493" s="79" t="s">
        <v>1268</v>
      </c>
      <c r="BN493" s="79" t="s">
        <v>863</v>
      </c>
      <c r="BO493" s="79">
        <v>0.5</v>
      </c>
      <c r="BP493" s="79">
        <v>8.6999999999999993</v>
      </c>
      <c r="BQ493" s="79">
        <v>2</v>
      </c>
      <c r="BR493" s="79">
        <v>10</v>
      </c>
      <c r="BS493" s="79" t="s">
        <v>464</v>
      </c>
      <c r="BT493" s="79" t="s">
        <v>464</v>
      </c>
      <c r="BU493" s="79" t="s">
        <v>1271</v>
      </c>
      <c r="BV493" s="79">
        <v>300</v>
      </c>
      <c r="BW493" s="79">
        <v>420</v>
      </c>
      <c r="BX493" s="79" t="s">
        <v>1311</v>
      </c>
      <c r="BZ493" s="81">
        <f>0.6/0.3</f>
        <v>2</v>
      </c>
      <c r="CA493">
        <f t="shared" si="97"/>
        <v>0.69314718055994529</v>
      </c>
    </row>
    <row r="494" spans="1:79" x14ac:dyDescent="0.3">
      <c r="A494" s="2" t="s">
        <v>1401</v>
      </c>
      <c r="B494" s="13" t="s">
        <v>722</v>
      </c>
      <c r="C494" s="13"/>
      <c r="D494" s="2">
        <v>3.78</v>
      </c>
      <c r="E494" s="2" t="s">
        <v>229</v>
      </c>
      <c r="F494" s="12" t="s">
        <v>551</v>
      </c>
      <c r="G494" t="s">
        <v>629</v>
      </c>
      <c r="I494" s="2"/>
      <c r="J494" s="25">
        <v>2</v>
      </c>
      <c r="K494">
        <v>4</v>
      </c>
      <c r="L494">
        <v>0</v>
      </c>
      <c r="M494" s="2"/>
      <c r="N494" s="2"/>
      <c r="O494" s="2"/>
      <c r="P494" s="2"/>
      <c r="Q494" s="2"/>
      <c r="R494" s="25">
        <v>7.41544296</v>
      </c>
      <c r="S494" s="25">
        <v>7.4154429599999991</v>
      </c>
      <c r="T494" s="25">
        <v>7.41544296</v>
      </c>
      <c r="U494">
        <v>7.8</v>
      </c>
      <c r="V494">
        <v>13.010999999999999</v>
      </c>
      <c r="W494">
        <v>5.5460000000000003</v>
      </c>
      <c r="X494">
        <v>0</v>
      </c>
      <c r="AA494" s="2"/>
      <c r="AB494">
        <v>14</v>
      </c>
      <c r="AC494" s="55">
        <f t="shared" ref="AC494:AC497" si="114">M494*N494*O494</f>
        <v>0</v>
      </c>
      <c r="AD494" s="57">
        <v>288.33429290182369</v>
      </c>
      <c r="AE494" s="55">
        <v>556.51188553357167</v>
      </c>
      <c r="AF494" s="55">
        <v>0</v>
      </c>
      <c r="AG494" s="52"/>
      <c r="AH494" s="51">
        <v>9.7109503410799117E-2</v>
      </c>
      <c r="AI494" s="52">
        <v>0.10062678166578309</v>
      </c>
      <c r="AJ494" s="52"/>
      <c r="AK494" s="28">
        <v>2</v>
      </c>
      <c r="AL494" s="28">
        <v>2.545454545454545</v>
      </c>
      <c r="AM494" s="28">
        <v>0.54545454545454541</v>
      </c>
      <c r="AN494" s="28">
        <v>0</v>
      </c>
      <c r="AO494" s="28">
        <v>0.39285714285714279</v>
      </c>
      <c r="AP494" s="28">
        <v>0.5</v>
      </c>
      <c r="AQ494" s="28">
        <v>0.1071428571428571</v>
      </c>
      <c r="AR494" s="28">
        <v>0</v>
      </c>
      <c r="AS494" s="25">
        <v>1.1000000000000001</v>
      </c>
      <c r="AT494" s="25">
        <v>3.44</v>
      </c>
      <c r="AU494" s="25">
        <v>2.34</v>
      </c>
      <c r="AV494" s="25">
        <v>2.669090909090909</v>
      </c>
      <c r="AW494">
        <v>2.669090909090909</v>
      </c>
      <c r="AX494">
        <v>5.9831974772727277</v>
      </c>
      <c r="AY494" s="75">
        <v>0.52442413903612473</v>
      </c>
      <c r="AZ494" s="75">
        <v>0.54341863036636606</v>
      </c>
      <c r="BA494" s="75"/>
      <c r="BC494">
        <v>4.8554751705399558E-2</v>
      </c>
      <c r="BD494">
        <v>5.0313390832891547E-2</v>
      </c>
      <c r="BF494">
        <v>9.8868142538291098E-2</v>
      </c>
      <c r="BG494">
        <v>4.9434071269145549E-2</v>
      </c>
      <c r="BH494">
        <v>0.53392138470124539</v>
      </c>
      <c r="BI494" s="79" t="s">
        <v>1400</v>
      </c>
      <c r="BJ494" s="79">
        <v>1273</v>
      </c>
      <c r="BK494" s="79">
        <v>12</v>
      </c>
      <c r="BM494" s="79" t="s">
        <v>1268</v>
      </c>
      <c r="BN494" s="79" t="s">
        <v>863</v>
      </c>
      <c r="BO494" s="79">
        <v>0.5</v>
      </c>
      <c r="BP494" s="79">
        <v>10</v>
      </c>
      <c r="BQ494" s="79">
        <v>2</v>
      </c>
      <c r="BR494" s="79">
        <v>10</v>
      </c>
      <c r="BS494" s="79" t="s">
        <v>464</v>
      </c>
      <c r="BT494" s="79" t="s">
        <v>464</v>
      </c>
      <c r="BU494" s="79" t="s">
        <v>1271</v>
      </c>
      <c r="BV494" s="79">
        <v>300</v>
      </c>
      <c r="BW494" s="79">
        <v>525</v>
      </c>
      <c r="BX494" s="79" t="s">
        <v>1311</v>
      </c>
      <c r="BZ494" s="81">
        <f>0.3/0.3</f>
        <v>1</v>
      </c>
      <c r="CA494">
        <f t="shared" si="97"/>
        <v>0</v>
      </c>
    </row>
    <row r="495" spans="1:79" x14ac:dyDescent="0.3">
      <c r="A495" s="2" t="s">
        <v>1401</v>
      </c>
      <c r="B495" s="13" t="s">
        <v>722</v>
      </c>
      <c r="C495" s="13"/>
      <c r="D495" s="2">
        <v>3.78</v>
      </c>
      <c r="E495" s="2" t="s">
        <v>229</v>
      </c>
      <c r="F495" s="12" t="s">
        <v>551</v>
      </c>
      <c r="G495" t="s">
        <v>629</v>
      </c>
      <c r="I495" s="2"/>
      <c r="J495" s="25">
        <v>2</v>
      </c>
      <c r="K495">
        <v>4</v>
      </c>
      <c r="L495">
        <v>0</v>
      </c>
      <c r="M495" s="2"/>
      <c r="N495" s="2"/>
      <c r="O495" s="2"/>
      <c r="P495" s="2"/>
      <c r="Q495" s="2"/>
      <c r="R495" s="25">
        <v>7.41544296</v>
      </c>
      <c r="S495" s="25">
        <v>7.4154429599999991</v>
      </c>
      <c r="T495" s="25">
        <v>7.41544296</v>
      </c>
      <c r="U495">
        <v>7.8</v>
      </c>
      <c r="V495">
        <v>13.010999999999999</v>
      </c>
      <c r="W495">
        <v>5.5460000000000003</v>
      </c>
      <c r="X495">
        <v>0</v>
      </c>
      <c r="AA495" s="2"/>
      <c r="AB495">
        <v>14</v>
      </c>
      <c r="AC495" s="55">
        <f t="shared" si="114"/>
        <v>0</v>
      </c>
      <c r="AD495" s="57">
        <v>288.33429290182369</v>
      </c>
      <c r="AE495" s="55">
        <v>556.51188553357167</v>
      </c>
      <c r="AF495" s="55">
        <v>0</v>
      </c>
      <c r="AG495" s="52"/>
      <c r="AH495" s="51">
        <v>9.7109503410799117E-2</v>
      </c>
      <c r="AI495" s="52">
        <v>0.10062678166578309</v>
      </c>
      <c r="AJ495" s="52"/>
      <c r="AK495" s="28">
        <v>2</v>
      </c>
      <c r="AL495" s="28">
        <v>2.545454545454545</v>
      </c>
      <c r="AM495" s="28">
        <v>0.54545454545454541</v>
      </c>
      <c r="AN495" s="28">
        <v>0</v>
      </c>
      <c r="AO495" s="28">
        <v>0.39285714285714279</v>
      </c>
      <c r="AP495" s="28">
        <v>0.5</v>
      </c>
      <c r="AQ495" s="28">
        <v>0.1071428571428571</v>
      </c>
      <c r="AR495" s="28">
        <v>0</v>
      </c>
      <c r="AS495" s="25">
        <v>1.1000000000000001</v>
      </c>
      <c r="AT495" s="25">
        <v>3.44</v>
      </c>
      <c r="AU495" s="25">
        <v>2.34</v>
      </c>
      <c r="AV495" s="25">
        <v>2.669090909090909</v>
      </c>
      <c r="AW495">
        <v>2.669090909090909</v>
      </c>
      <c r="AX495">
        <v>5.9831974772727277</v>
      </c>
      <c r="AY495" s="75">
        <v>0.52442413903612473</v>
      </c>
      <c r="AZ495" s="75">
        <v>0.54341863036636606</v>
      </c>
      <c r="BA495" s="75"/>
      <c r="BC495">
        <v>4.8554751705399558E-2</v>
      </c>
      <c r="BD495">
        <v>5.0313390832891547E-2</v>
      </c>
      <c r="BF495">
        <v>9.8868142538291098E-2</v>
      </c>
      <c r="BG495">
        <v>4.9434071269145549E-2</v>
      </c>
      <c r="BH495">
        <v>0.53392138470124539</v>
      </c>
      <c r="BI495" s="79" t="s">
        <v>1400</v>
      </c>
      <c r="BJ495" s="79">
        <v>1273</v>
      </c>
      <c r="BK495" s="79">
        <v>12</v>
      </c>
      <c r="BM495" s="79" t="s">
        <v>1268</v>
      </c>
      <c r="BN495" s="79" t="s">
        <v>863</v>
      </c>
      <c r="BO495" s="79">
        <v>0.5</v>
      </c>
      <c r="BP495" s="79">
        <v>10</v>
      </c>
      <c r="BQ495" s="79">
        <v>2</v>
      </c>
      <c r="BR495" s="79">
        <v>10</v>
      </c>
      <c r="BS495" s="79" t="s">
        <v>464</v>
      </c>
      <c r="BT495" s="79" t="s">
        <v>464</v>
      </c>
      <c r="BU495" s="79" t="s">
        <v>1271</v>
      </c>
      <c r="BV495" s="79">
        <v>300</v>
      </c>
      <c r="BW495" s="79">
        <v>580</v>
      </c>
      <c r="BX495" s="79" t="s">
        <v>1311</v>
      </c>
      <c r="BZ495" s="81">
        <f>0.1/0.3</f>
        <v>0.33333333333333337</v>
      </c>
      <c r="CA495">
        <f t="shared" si="97"/>
        <v>-1.0986122886681096</v>
      </c>
    </row>
    <row r="496" spans="1:79" x14ac:dyDescent="0.3">
      <c r="A496" s="2" t="s">
        <v>1401</v>
      </c>
      <c r="B496" s="13" t="s">
        <v>722</v>
      </c>
      <c r="C496" s="13"/>
      <c r="D496" s="2">
        <v>3.78</v>
      </c>
      <c r="E496" s="2" t="s">
        <v>229</v>
      </c>
      <c r="F496" s="12" t="s">
        <v>551</v>
      </c>
      <c r="G496" t="s">
        <v>629</v>
      </c>
      <c r="I496" s="2"/>
      <c r="J496" s="25">
        <v>2</v>
      </c>
      <c r="K496">
        <v>4</v>
      </c>
      <c r="L496">
        <v>0</v>
      </c>
      <c r="M496" s="2"/>
      <c r="N496" s="2"/>
      <c r="O496" s="2"/>
      <c r="P496" s="2"/>
      <c r="Q496" s="2"/>
      <c r="R496" s="25">
        <v>7.41544296</v>
      </c>
      <c r="S496" s="25">
        <v>7.4154429599999991</v>
      </c>
      <c r="T496" s="25">
        <v>7.41544296</v>
      </c>
      <c r="U496">
        <v>7.8</v>
      </c>
      <c r="V496">
        <v>13.010999999999999</v>
      </c>
      <c r="W496">
        <v>5.5460000000000003</v>
      </c>
      <c r="X496">
        <v>0</v>
      </c>
      <c r="AA496" s="2"/>
      <c r="AB496">
        <v>14</v>
      </c>
      <c r="AC496" s="55">
        <f t="shared" si="114"/>
        <v>0</v>
      </c>
      <c r="AD496" s="57">
        <v>288.33429290182369</v>
      </c>
      <c r="AE496" s="55">
        <v>556.51188553357167</v>
      </c>
      <c r="AF496" s="55">
        <v>0</v>
      </c>
      <c r="AG496" s="52"/>
      <c r="AH496" s="51">
        <v>9.7109503410799117E-2</v>
      </c>
      <c r="AI496" s="52">
        <v>0.10062678166578309</v>
      </c>
      <c r="AJ496" s="52"/>
      <c r="AK496" s="28">
        <v>2</v>
      </c>
      <c r="AL496" s="28">
        <v>2.545454545454545</v>
      </c>
      <c r="AM496" s="28">
        <v>0.54545454545454541</v>
      </c>
      <c r="AN496" s="28">
        <v>0</v>
      </c>
      <c r="AO496" s="28">
        <v>0.39285714285714279</v>
      </c>
      <c r="AP496" s="28">
        <v>0.5</v>
      </c>
      <c r="AQ496" s="28">
        <v>0.1071428571428571</v>
      </c>
      <c r="AR496" s="28">
        <v>0</v>
      </c>
      <c r="AS496" s="25">
        <v>1.1000000000000001</v>
      </c>
      <c r="AT496" s="25">
        <v>3.44</v>
      </c>
      <c r="AU496" s="25">
        <v>2.34</v>
      </c>
      <c r="AV496" s="25">
        <v>2.669090909090909</v>
      </c>
      <c r="AW496">
        <v>2.669090909090909</v>
      </c>
      <c r="AX496">
        <v>5.9831974772727277</v>
      </c>
      <c r="AY496" s="75">
        <v>0.52442413903612473</v>
      </c>
      <c r="AZ496" s="75">
        <v>0.54341863036636606</v>
      </c>
      <c r="BA496" s="75"/>
      <c r="BC496">
        <v>4.8554751705399558E-2</v>
      </c>
      <c r="BD496">
        <v>5.0313390832891547E-2</v>
      </c>
      <c r="BF496">
        <v>9.8868142538291098E-2</v>
      </c>
      <c r="BG496">
        <v>4.9434071269145549E-2</v>
      </c>
      <c r="BH496">
        <v>0.53392138470124539</v>
      </c>
      <c r="BI496" s="79" t="s">
        <v>1400</v>
      </c>
      <c r="BJ496" s="79">
        <v>1273</v>
      </c>
      <c r="BK496" s="79">
        <v>12</v>
      </c>
      <c r="BM496" s="79" t="s">
        <v>1268</v>
      </c>
      <c r="BN496" s="79" t="s">
        <v>863</v>
      </c>
      <c r="BO496" s="79">
        <v>0.5</v>
      </c>
      <c r="BP496" s="79">
        <v>10</v>
      </c>
      <c r="BQ496" s="79">
        <v>2</v>
      </c>
      <c r="BR496" s="79">
        <v>10</v>
      </c>
      <c r="BS496" s="79" t="s">
        <v>464</v>
      </c>
      <c r="BT496" s="79" t="s">
        <v>464</v>
      </c>
      <c r="BU496" s="79" t="s">
        <v>1271</v>
      </c>
      <c r="BV496" s="79">
        <v>300</v>
      </c>
      <c r="BW496" s="79">
        <v>660</v>
      </c>
      <c r="BX496" s="79" t="s">
        <v>1311</v>
      </c>
      <c r="BZ496" s="81">
        <v>0</v>
      </c>
      <c r="CA496" t="e">
        <f t="shared" si="97"/>
        <v>#NUM!</v>
      </c>
    </row>
    <row r="497" spans="1:79" x14ac:dyDescent="0.3">
      <c r="A497" s="2" t="s">
        <v>1402</v>
      </c>
      <c r="B497" s="13" t="s">
        <v>722</v>
      </c>
      <c r="C497" s="13"/>
      <c r="D497" s="2">
        <v>3.78</v>
      </c>
      <c r="E497" s="2" t="s">
        <v>229</v>
      </c>
      <c r="F497" s="12" t="s">
        <v>551</v>
      </c>
      <c r="G497" t="s">
        <v>629</v>
      </c>
      <c r="I497" s="2"/>
      <c r="J497" s="25">
        <v>2</v>
      </c>
      <c r="K497">
        <v>4</v>
      </c>
      <c r="L497">
        <v>0</v>
      </c>
      <c r="M497" s="2"/>
      <c r="N497" s="2"/>
      <c r="O497" s="2"/>
      <c r="P497" s="2"/>
      <c r="Q497" s="2"/>
      <c r="R497" s="25">
        <v>7.41544296</v>
      </c>
      <c r="S497" s="25">
        <v>7.4154429599999991</v>
      </c>
      <c r="T497" s="25">
        <v>7.41544296</v>
      </c>
      <c r="U497">
        <v>7.8</v>
      </c>
      <c r="V497">
        <v>13.010999999999999</v>
      </c>
      <c r="W497">
        <v>5.5460000000000003</v>
      </c>
      <c r="X497">
        <v>0</v>
      </c>
      <c r="AA497" s="2"/>
      <c r="AB497">
        <v>14</v>
      </c>
      <c r="AC497" s="55">
        <f t="shared" si="114"/>
        <v>0</v>
      </c>
      <c r="AD497" s="57">
        <v>288.33429290182369</v>
      </c>
      <c r="AE497" s="55">
        <v>556.51188553357167</v>
      </c>
      <c r="AF497" s="55">
        <v>0</v>
      </c>
      <c r="AG497" s="52"/>
      <c r="AH497" s="51">
        <v>9.7109503410799117E-2</v>
      </c>
      <c r="AI497" s="52">
        <v>0.10062678166578309</v>
      </c>
      <c r="AJ497" s="52"/>
      <c r="AK497" s="28">
        <v>2</v>
      </c>
      <c r="AL497" s="28">
        <v>2.545454545454545</v>
      </c>
      <c r="AM497" s="28">
        <v>0.54545454545454541</v>
      </c>
      <c r="AN497" s="28">
        <v>0</v>
      </c>
      <c r="AO497" s="28">
        <v>0.39285714285714279</v>
      </c>
      <c r="AP497" s="28">
        <v>0.5</v>
      </c>
      <c r="AQ497" s="28">
        <v>0.1071428571428571</v>
      </c>
      <c r="AR497" s="28">
        <v>0</v>
      </c>
      <c r="AS497" s="25">
        <v>1.1000000000000001</v>
      </c>
      <c r="AT497" s="25">
        <v>3.44</v>
      </c>
      <c r="AU497" s="25">
        <v>2.34</v>
      </c>
      <c r="AV497" s="25">
        <v>2.669090909090909</v>
      </c>
      <c r="AW497">
        <v>2.669090909090909</v>
      </c>
      <c r="AX497">
        <v>5.9831974772727277</v>
      </c>
      <c r="AY497" s="75">
        <v>0.52442413903612473</v>
      </c>
      <c r="AZ497" s="75">
        <v>0.54341863036636606</v>
      </c>
      <c r="BA497" s="75"/>
      <c r="BC497">
        <v>4.8554751705399558E-2</v>
      </c>
      <c r="BD497">
        <v>5.0313390832891547E-2</v>
      </c>
      <c r="BF497">
        <v>9.8868142538291098E-2</v>
      </c>
      <c r="BG497">
        <v>4.9434071269145549E-2</v>
      </c>
      <c r="BH497">
        <v>0.53392138470124539</v>
      </c>
      <c r="BI497" s="79" t="s">
        <v>1400</v>
      </c>
      <c r="BJ497" s="79">
        <v>1273</v>
      </c>
      <c r="BK497" s="79">
        <v>12</v>
      </c>
      <c r="BM497" s="79" t="s">
        <v>1268</v>
      </c>
      <c r="BN497" s="79" t="s">
        <v>863</v>
      </c>
      <c r="BO497" s="79">
        <v>0.5</v>
      </c>
      <c r="BP497" s="79">
        <v>10</v>
      </c>
      <c r="BQ497" s="79">
        <v>2</v>
      </c>
      <c r="BR497" s="79">
        <v>10</v>
      </c>
      <c r="BS497" s="79" t="s">
        <v>464</v>
      </c>
      <c r="BT497" s="79" t="s">
        <v>464</v>
      </c>
      <c r="BU497" s="79" t="s">
        <v>1271</v>
      </c>
      <c r="BV497" s="79">
        <v>300</v>
      </c>
      <c r="BW497" s="79">
        <v>420</v>
      </c>
      <c r="BX497" s="79" t="s">
        <v>1311</v>
      </c>
      <c r="BZ497" s="81">
        <v>1</v>
      </c>
      <c r="CA497">
        <f t="shared" si="97"/>
        <v>0</v>
      </c>
    </row>
    <row r="498" spans="1:79" x14ac:dyDescent="0.3">
      <c r="A498" s="2" t="s">
        <v>1403</v>
      </c>
      <c r="B498" s="13" t="s">
        <v>722</v>
      </c>
      <c r="C498" s="13"/>
      <c r="D498" s="2">
        <v>3.78</v>
      </c>
      <c r="E498" s="2" t="s">
        <v>229</v>
      </c>
      <c r="F498" s="12" t="s">
        <v>551</v>
      </c>
      <c r="G498" t="s">
        <v>629</v>
      </c>
      <c r="I498" s="2"/>
      <c r="J498" s="25">
        <v>2</v>
      </c>
      <c r="K498">
        <v>4</v>
      </c>
      <c r="L498">
        <v>0</v>
      </c>
      <c r="M498" s="2"/>
      <c r="N498" s="2"/>
      <c r="O498" s="2"/>
      <c r="P498" s="2"/>
      <c r="Q498" s="2"/>
      <c r="R498" s="25">
        <v>7.41544296</v>
      </c>
      <c r="S498" s="25">
        <v>7.4154429599999991</v>
      </c>
      <c r="T498" s="25">
        <v>7.41544296</v>
      </c>
      <c r="U498">
        <v>7.8</v>
      </c>
      <c r="V498">
        <v>13.010999999999999</v>
      </c>
      <c r="W498">
        <v>5.5460000000000003</v>
      </c>
      <c r="X498">
        <v>0</v>
      </c>
      <c r="AA498" s="2"/>
      <c r="AB498">
        <v>14</v>
      </c>
      <c r="AC498" s="55">
        <f t="shared" ref="AC498" si="115">M498*N498*O498</f>
        <v>0</v>
      </c>
      <c r="AD498" s="57">
        <v>288.33429290182369</v>
      </c>
      <c r="AE498" s="55">
        <v>556.51188553357167</v>
      </c>
      <c r="AF498" s="55">
        <v>0</v>
      </c>
      <c r="AG498" s="52"/>
      <c r="AH498" s="51">
        <v>9.7109503410799117E-2</v>
      </c>
      <c r="AI498" s="52">
        <v>0.10062678166578309</v>
      </c>
      <c r="AJ498" s="52"/>
      <c r="AK498" s="28">
        <v>2</v>
      </c>
      <c r="AL498" s="28">
        <v>2.545454545454545</v>
      </c>
      <c r="AM498" s="28">
        <v>0.54545454545454541</v>
      </c>
      <c r="AN498" s="28">
        <v>0</v>
      </c>
      <c r="AO498" s="28">
        <v>0.39285714285714279</v>
      </c>
      <c r="AP498" s="28">
        <v>0.5</v>
      </c>
      <c r="AQ498" s="28">
        <v>0.1071428571428571</v>
      </c>
      <c r="AR498" s="28">
        <v>0</v>
      </c>
      <c r="AS498" s="25">
        <v>1.1000000000000001</v>
      </c>
      <c r="AT498" s="25">
        <v>3.44</v>
      </c>
      <c r="AU498" s="25">
        <v>2.34</v>
      </c>
      <c r="AV498" s="25">
        <v>2.669090909090909</v>
      </c>
      <c r="AW498">
        <v>2.669090909090909</v>
      </c>
      <c r="AX498">
        <v>5.9831974772727277</v>
      </c>
      <c r="AY498" s="75">
        <v>0.52442413903612473</v>
      </c>
      <c r="AZ498" s="75">
        <v>0.54341863036636606</v>
      </c>
      <c r="BA498" s="75"/>
      <c r="BC498">
        <v>4.8554751705399558E-2</v>
      </c>
      <c r="BD498">
        <v>5.0313390832891547E-2</v>
      </c>
      <c r="BF498">
        <v>9.8868142538291098E-2</v>
      </c>
      <c r="BG498">
        <v>4.9434071269145549E-2</v>
      </c>
      <c r="BH498">
        <v>0.53392138470124539</v>
      </c>
      <c r="BI498" s="79" t="s">
        <v>1400</v>
      </c>
      <c r="BJ498" s="79">
        <v>1273</v>
      </c>
      <c r="BK498" s="79">
        <v>12</v>
      </c>
      <c r="BM498" s="79" t="s">
        <v>1268</v>
      </c>
      <c r="BN498" s="79" t="s">
        <v>863</v>
      </c>
      <c r="BO498" s="79">
        <v>0.5</v>
      </c>
      <c r="BP498" s="79">
        <v>10</v>
      </c>
      <c r="BQ498" s="79">
        <v>2</v>
      </c>
      <c r="BR498" s="79">
        <v>10</v>
      </c>
      <c r="BS498" s="79" t="s">
        <v>464</v>
      </c>
      <c r="BT498" s="79" t="s">
        <v>464</v>
      </c>
      <c r="BU498" s="79" t="s">
        <v>1271</v>
      </c>
      <c r="BV498" s="79">
        <v>300</v>
      </c>
      <c r="BW498" s="79">
        <v>420</v>
      </c>
      <c r="BX498" s="79" t="s">
        <v>1311</v>
      </c>
      <c r="BZ498" s="81">
        <f>1.1/0.3</f>
        <v>3.666666666666667</v>
      </c>
      <c r="CA498">
        <f t="shared" si="97"/>
        <v>1.2992829841302609</v>
      </c>
    </row>
    <row r="499" spans="1:79" x14ac:dyDescent="0.3">
      <c r="A499" s="2" t="s">
        <v>44</v>
      </c>
      <c r="B499" s="13" t="s">
        <v>720</v>
      </c>
      <c r="C499" s="13"/>
      <c r="D499" s="2">
        <v>3.5</v>
      </c>
      <c r="E499" s="7" t="s">
        <v>230</v>
      </c>
      <c r="F499" s="12" t="s">
        <v>549</v>
      </c>
      <c r="G499">
        <v>-1</v>
      </c>
      <c r="I499" s="7"/>
      <c r="J499" s="25">
        <v>1</v>
      </c>
      <c r="K499">
        <v>0</v>
      </c>
      <c r="L499">
        <v>0</v>
      </c>
      <c r="M499" s="2"/>
      <c r="N499" s="2"/>
      <c r="O499" s="2"/>
      <c r="P499" s="2"/>
      <c r="Q499" s="2"/>
      <c r="R499" s="25">
        <v>15.28115725</v>
      </c>
      <c r="S499" s="25">
        <v>15.28115725</v>
      </c>
      <c r="T499" s="25">
        <v>15.28115725</v>
      </c>
      <c r="U499">
        <v>0</v>
      </c>
      <c r="X499">
        <v>0</v>
      </c>
      <c r="AA499" s="2"/>
      <c r="AB499">
        <v>20</v>
      </c>
      <c r="AC499" s="55">
        <f t="shared" si="70"/>
        <v>0</v>
      </c>
      <c r="AD499" s="57">
        <v>229.90248606119221</v>
      </c>
      <c r="AE499" s="55">
        <v>0</v>
      </c>
      <c r="AF499" s="55">
        <v>0</v>
      </c>
      <c r="AG499" s="52"/>
      <c r="AH499" s="51">
        <v>8.6993404650164072E-2</v>
      </c>
      <c r="AI499" s="52"/>
      <c r="AJ499" s="52"/>
      <c r="AK499" s="28">
        <v>1.882352941176471</v>
      </c>
      <c r="AL499" s="28">
        <v>2.3529411764705879</v>
      </c>
      <c r="AM499" s="28">
        <v>0.47058823529411759</v>
      </c>
      <c r="AN499" s="28">
        <v>0</v>
      </c>
      <c r="AO499" s="28">
        <v>0.4</v>
      </c>
      <c r="AP499" s="28">
        <v>0.5</v>
      </c>
      <c r="AQ499" s="28">
        <v>9.9999999999999992E-2</v>
      </c>
      <c r="AR499" s="28">
        <v>0</v>
      </c>
      <c r="AS499" s="25">
        <v>0.82</v>
      </c>
      <c r="AT499" s="25">
        <v>3.44</v>
      </c>
      <c r="AU499" s="25">
        <v>2.62</v>
      </c>
      <c r="AV499" s="25">
        <v>2.5211764705882351</v>
      </c>
      <c r="AW499">
        <v>2.521176470588236</v>
      </c>
      <c r="AX499">
        <v>5.6898745917647062</v>
      </c>
      <c r="AY499" s="75">
        <v>0.57369840599679445</v>
      </c>
      <c r="AZ499" s="75"/>
      <c r="BA499" s="75"/>
      <c r="BC499">
        <v>4.3496702325082043E-2</v>
      </c>
      <c r="BF499">
        <v>8.6993404650164072E-2</v>
      </c>
      <c r="BG499">
        <v>4.3496702325082043E-2</v>
      </c>
      <c r="BH499">
        <v>0.57369840599679445</v>
      </c>
      <c r="BI499" s="81" t="s">
        <v>1337</v>
      </c>
      <c r="BJ499" s="79">
        <v>1273</v>
      </c>
      <c r="BK499" s="79">
        <v>2</v>
      </c>
      <c r="BM499" s="79" t="s">
        <v>464</v>
      </c>
      <c r="BN499" s="79" t="s">
        <v>464</v>
      </c>
      <c r="BO499" s="79">
        <v>0</v>
      </c>
      <c r="BQ499" s="79">
        <v>4</v>
      </c>
      <c r="BR499" s="79">
        <v>0</v>
      </c>
      <c r="BS499" s="79" t="s">
        <v>1405</v>
      </c>
      <c r="BT499" s="79" t="s">
        <v>1406</v>
      </c>
      <c r="BU499" s="79" t="s">
        <v>1266</v>
      </c>
      <c r="BV499" s="79">
        <v>300</v>
      </c>
      <c r="BZ499" s="81">
        <v>83510</v>
      </c>
      <c r="CA499">
        <f t="shared" si="97"/>
        <v>11.332721664147275</v>
      </c>
    </row>
    <row r="500" spans="1:79" x14ac:dyDescent="0.3">
      <c r="A500" s="2" t="s">
        <v>1404</v>
      </c>
      <c r="B500" s="13" t="s">
        <v>720</v>
      </c>
      <c r="C500" s="13"/>
      <c r="D500" s="2">
        <v>3.06</v>
      </c>
      <c r="E500" s="7" t="s">
        <v>230</v>
      </c>
      <c r="F500" s="12" t="s">
        <v>549</v>
      </c>
      <c r="G500">
        <v>-1</v>
      </c>
      <c r="I500" s="7"/>
      <c r="J500" s="25">
        <v>1</v>
      </c>
      <c r="K500">
        <v>0</v>
      </c>
      <c r="L500">
        <v>0</v>
      </c>
      <c r="M500" s="2"/>
      <c r="N500" s="2"/>
      <c r="O500" s="2"/>
      <c r="P500" s="2"/>
      <c r="Q500" s="2"/>
      <c r="R500" s="25">
        <v>15.28115725</v>
      </c>
      <c r="S500" s="25">
        <v>15.28115725</v>
      </c>
      <c r="T500" s="25">
        <v>15.28115725</v>
      </c>
      <c r="U500">
        <v>0</v>
      </c>
      <c r="X500">
        <v>0</v>
      </c>
      <c r="AA500" s="2"/>
      <c r="AB500">
        <v>20</v>
      </c>
      <c r="AC500" s="55">
        <f t="shared" si="70"/>
        <v>0</v>
      </c>
      <c r="AD500" s="57">
        <v>229.90248606119221</v>
      </c>
      <c r="AE500" s="55">
        <v>0</v>
      </c>
      <c r="AF500" s="55">
        <v>0</v>
      </c>
      <c r="AG500" s="52"/>
      <c r="AH500" s="51">
        <v>8.6993404650164072E-2</v>
      </c>
      <c r="AI500" s="52"/>
      <c r="AJ500" s="52"/>
      <c r="AK500" s="28">
        <v>1.882352941176471</v>
      </c>
      <c r="AL500" s="28">
        <v>2.3529411764705879</v>
      </c>
      <c r="AM500" s="28">
        <v>0.47058823529411759</v>
      </c>
      <c r="AN500" s="28">
        <v>0</v>
      </c>
      <c r="AO500" s="28">
        <v>0.4</v>
      </c>
      <c r="AP500" s="28">
        <v>0.5</v>
      </c>
      <c r="AQ500" s="28">
        <v>9.9999999999999992E-2</v>
      </c>
      <c r="AR500" s="28">
        <v>0</v>
      </c>
      <c r="AS500" s="25">
        <v>0.82</v>
      </c>
      <c r="AT500" s="25">
        <v>3.44</v>
      </c>
      <c r="AU500" s="25">
        <v>2.62</v>
      </c>
      <c r="AV500" s="25">
        <v>2.5211764705882351</v>
      </c>
      <c r="AW500">
        <v>2.521176470588236</v>
      </c>
      <c r="AX500">
        <v>5.6898745917647062</v>
      </c>
      <c r="AY500" s="75">
        <v>0.57369840599679445</v>
      </c>
      <c r="AZ500" s="75"/>
      <c r="BA500" s="75"/>
      <c r="BC500">
        <v>4.3496702325082043E-2</v>
      </c>
      <c r="BF500">
        <v>8.6993404650164072E-2</v>
      </c>
      <c r="BG500">
        <v>4.3496702325082043E-2</v>
      </c>
      <c r="BH500">
        <v>0.57369840599679445</v>
      </c>
      <c r="BI500" s="81" t="s">
        <v>1337</v>
      </c>
      <c r="BJ500" s="79">
        <v>1273</v>
      </c>
      <c r="BK500" s="79">
        <v>2</v>
      </c>
      <c r="BM500" s="79" t="s">
        <v>464</v>
      </c>
      <c r="BN500" s="79" t="s">
        <v>464</v>
      </c>
      <c r="BO500" s="79">
        <v>0</v>
      </c>
      <c r="BQ500" s="79">
        <v>4</v>
      </c>
      <c r="BR500" s="79">
        <v>0</v>
      </c>
      <c r="BS500" s="79" t="s">
        <v>1405</v>
      </c>
      <c r="BT500" s="79" t="s">
        <v>1406</v>
      </c>
      <c r="BU500" s="79" t="s">
        <v>1266</v>
      </c>
      <c r="BV500" s="79">
        <v>300</v>
      </c>
      <c r="BZ500" s="81">
        <v>127190</v>
      </c>
      <c r="CA500">
        <f t="shared" si="97"/>
        <v>11.753437310445531</v>
      </c>
    </row>
    <row r="501" spans="1:79" x14ac:dyDescent="0.3">
      <c r="A501" s="2" t="s">
        <v>8</v>
      </c>
      <c r="B501" s="13" t="s">
        <v>694</v>
      </c>
      <c r="C501" s="13"/>
      <c r="D501" s="2">
        <v>3.26</v>
      </c>
      <c r="E501" s="2" t="s">
        <v>231</v>
      </c>
      <c r="F501" s="9" t="s">
        <v>530</v>
      </c>
      <c r="G501" t="s">
        <v>612</v>
      </c>
      <c r="I501" s="2"/>
      <c r="J501" s="25">
        <v>30</v>
      </c>
      <c r="K501">
        <v>4</v>
      </c>
      <c r="L501">
        <v>0</v>
      </c>
      <c r="M501" s="2"/>
      <c r="N501" s="2"/>
      <c r="O501" s="2"/>
      <c r="P501" s="2"/>
      <c r="Q501" s="2"/>
      <c r="R501" s="25">
        <v>10.59112378</v>
      </c>
      <c r="S501" s="25">
        <v>10.784736629999999</v>
      </c>
      <c r="T501" s="25">
        <v>10.486176179999999</v>
      </c>
      <c r="U501">
        <v>3.73</v>
      </c>
      <c r="V501">
        <v>3.73</v>
      </c>
      <c r="W501">
        <v>9.3699999999999992</v>
      </c>
      <c r="X501">
        <v>0</v>
      </c>
      <c r="AA501" s="2"/>
      <c r="AB501">
        <v>4</v>
      </c>
      <c r="AC501" s="55">
        <f t="shared" si="70"/>
        <v>0</v>
      </c>
      <c r="AD501" s="57">
        <v>1182.741260108548</v>
      </c>
      <c r="AE501" s="55">
        <v>130.36387300000001</v>
      </c>
      <c r="AF501" s="55">
        <v>0</v>
      </c>
      <c r="AG501" s="52"/>
      <c r="AH501" s="51">
        <v>0.1014592151701775</v>
      </c>
      <c r="AI501" s="52">
        <v>0.1227333894874388</v>
      </c>
      <c r="AJ501" s="52"/>
      <c r="AK501" s="28">
        <v>2</v>
      </c>
      <c r="AL501" s="28">
        <v>2.666666666666667</v>
      </c>
      <c r="AM501" s="28">
        <v>0.66666666666666663</v>
      </c>
      <c r="AN501" s="28">
        <v>0</v>
      </c>
      <c r="AO501" s="28">
        <v>0.375</v>
      </c>
      <c r="AP501" s="28">
        <v>0.5</v>
      </c>
      <c r="AQ501" s="28">
        <v>0.125</v>
      </c>
      <c r="AR501" s="28">
        <v>0</v>
      </c>
      <c r="AS501" s="25">
        <v>1.54</v>
      </c>
      <c r="AT501" s="25">
        <v>3.44</v>
      </c>
      <c r="AU501" s="25">
        <v>1.9</v>
      </c>
      <c r="AV501" s="25">
        <v>2.8066666666666671</v>
      </c>
      <c r="AW501">
        <v>2.8066666666666662</v>
      </c>
      <c r="AX501">
        <v>6.1769976</v>
      </c>
      <c r="AY501" s="75">
        <v>0.46900407026869628</v>
      </c>
      <c r="AZ501" s="75">
        <v>0.56734579634715776</v>
      </c>
      <c r="BA501" s="75"/>
      <c r="BC501">
        <v>5.072960758508873E-2</v>
      </c>
      <c r="BD501">
        <v>6.136669474371937E-2</v>
      </c>
      <c r="BF501">
        <v>0.1120963023288082</v>
      </c>
      <c r="BG501">
        <v>5.604815116440405E-2</v>
      </c>
      <c r="BH501">
        <v>0.51817493330792708</v>
      </c>
      <c r="BI501" s="79" t="s">
        <v>1264</v>
      </c>
      <c r="BJ501" s="79">
        <f t="shared" ref="BJ501:BJ508" si="116">1150+273</f>
        <v>1423</v>
      </c>
      <c r="BK501" s="79">
        <v>24</v>
      </c>
      <c r="BM501" s="79" t="s">
        <v>464</v>
      </c>
      <c r="BN501" s="79" t="s">
        <v>464</v>
      </c>
      <c r="BO501" s="79">
        <v>0</v>
      </c>
      <c r="BP501" s="79">
        <v>47.1</v>
      </c>
      <c r="BQ501" s="79">
        <v>2</v>
      </c>
      <c r="BR501" s="79">
        <v>10</v>
      </c>
      <c r="BS501" s="79" t="s">
        <v>464</v>
      </c>
      <c r="BT501" s="79" t="s">
        <v>464</v>
      </c>
      <c r="BU501" s="79" t="s">
        <v>1266</v>
      </c>
      <c r="BV501" s="79">
        <v>100</v>
      </c>
      <c r="BW501" s="79">
        <v>290</v>
      </c>
      <c r="BY501" s="79">
        <f t="shared" ref="BY501:BY509" si="117">273+60</f>
        <v>333</v>
      </c>
      <c r="BZ501" s="81">
        <v>133.92857142857144</v>
      </c>
      <c r="CA501">
        <f t="shared" si="97"/>
        <v>4.8973066087892523</v>
      </c>
    </row>
    <row r="502" spans="1:79" x14ac:dyDescent="0.3">
      <c r="A502" s="2" t="s">
        <v>153</v>
      </c>
      <c r="B502" s="13" t="s">
        <v>775</v>
      </c>
      <c r="C502" s="13"/>
      <c r="D502" s="2">
        <v>3.1</v>
      </c>
      <c r="E502" s="2" t="s">
        <v>231</v>
      </c>
      <c r="F502" s="9" t="s">
        <v>578</v>
      </c>
      <c r="G502">
        <v>-1</v>
      </c>
      <c r="I502" s="2"/>
      <c r="J502" s="25">
        <v>1</v>
      </c>
      <c r="K502">
        <v>0</v>
      </c>
      <c r="L502">
        <v>0</v>
      </c>
      <c r="M502" s="2"/>
      <c r="N502" s="2"/>
      <c r="O502" s="2"/>
      <c r="P502" s="2"/>
      <c r="Q502" s="2"/>
      <c r="R502" s="25">
        <v>3.9263319999999999</v>
      </c>
      <c r="S502" s="25">
        <v>3.9263319999999999</v>
      </c>
      <c r="T502" s="25">
        <v>10.74639</v>
      </c>
      <c r="U502">
        <v>0</v>
      </c>
      <c r="X502">
        <v>0</v>
      </c>
      <c r="AA502" s="2"/>
      <c r="AB502">
        <v>14</v>
      </c>
      <c r="AC502" s="55">
        <f t="shared" si="70"/>
        <v>0</v>
      </c>
      <c r="AD502" s="57">
        <v>165.66723991337099</v>
      </c>
      <c r="AE502" s="55">
        <v>0</v>
      </c>
      <c r="AF502" s="55">
        <v>0</v>
      </c>
      <c r="AG502" s="52"/>
      <c r="AH502" s="51">
        <v>8.4506749839743392E-2</v>
      </c>
      <c r="AI502" s="52"/>
      <c r="AJ502" s="52"/>
      <c r="AK502" s="28">
        <v>1.7272727272727271</v>
      </c>
      <c r="AL502" s="28">
        <v>2.545454545454545</v>
      </c>
      <c r="AM502" s="28">
        <v>0.81818181818181823</v>
      </c>
      <c r="AN502" s="28">
        <v>0</v>
      </c>
      <c r="AO502" s="28">
        <v>0.3392857142857143</v>
      </c>
      <c r="AP502" s="28">
        <v>0.5</v>
      </c>
      <c r="AQ502" s="28">
        <v>0.1607142857142857</v>
      </c>
      <c r="AR502" s="28">
        <v>0</v>
      </c>
      <c r="AS502" s="25">
        <v>1.1000000000000001</v>
      </c>
      <c r="AT502" s="25">
        <v>3.44</v>
      </c>
      <c r="AU502" s="25">
        <v>2.34</v>
      </c>
      <c r="AV502" s="25">
        <v>2.78</v>
      </c>
      <c r="AW502">
        <v>2.78</v>
      </c>
      <c r="AX502">
        <v>6.4270052227137269</v>
      </c>
      <c r="AY502" s="75">
        <v>0.41874886813759421</v>
      </c>
      <c r="AZ502" s="75"/>
      <c r="BA502" s="75"/>
      <c r="BC502">
        <v>4.2253374919871717E-2</v>
      </c>
      <c r="BF502">
        <v>8.4506749839743392E-2</v>
      </c>
      <c r="BG502">
        <v>4.2253374919871717E-2</v>
      </c>
      <c r="BH502">
        <v>0.41874886813759421</v>
      </c>
      <c r="BI502" s="79" t="s">
        <v>1264</v>
      </c>
      <c r="BJ502" s="79">
        <f t="shared" si="116"/>
        <v>1423</v>
      </c>
      <c r="BK502" s="79">
        <v>24</v>
      </c>
      <c r="BM502" s="79" t="s">
        <v>464</v>
      </c>
      <c r="BN502" s="79" t="s">
        <v>464</v>
      </c>
      <c r="BO502" s="79">
        <v>0</v>
      </c>
      <c r="BP502" s="79">
        <v>4.18</v>
      </c>
      <c r="BQ502" s="79">
        <v>2</v>
      </c>
      <c r="BR502" s="79">
        <v>10</v>
      </c>
      <c r="BS502" s="79" t="s">
        <v>464</v>
      </c>
      <c r="BT502" s="79" t="s">
        <v>464</v>
      </c>
      <c r="BU502" s="79" t="s">
        <v>1266</v>
      </c>
      <c r="BV502" s="79">
        <v>100</v>
      </c>
      <c r="BW502" s="79">
        <v>290</v>
      </c>
      <c r="BY502" s="79">
        <f t="shared" si="117"/>
        <v>333</v>
      </c>
      <c r="BZ502" s="81">
        <v>357.14285714285717</v>
      </c>
      <c r="CA502">
        <f t="shared" si="97"/>
        <v>5.8781358618009785</v>
      </c>
    </row>
    <row r="503" spans="1:79" x14ac:dyDescent="0.3">
      <c r="A503" s="2" t="s">
        <v>153</v>
      </c>
      <c r="B503" s="13" t="s">
        <v>775</v>
      </c>
      <c r="C503" s="13"/>
      <c r="D503" s="2">
        <v>3.1</v>
      </c>
      <c r="E503" s="2" t="s">
        <v>231</v>
      </c>
      <c r="F503" s="9" t="s">
        <v>578</v>
      </c>
      <c r="G503">
        <v>-1</v>
      </c>
      <c r="I503" s="2"/>
      <c r="J503" s="25">
        <v>1</v>
      </c>
      <c r="K503">
        <v>0</v>
      </c>
      <c r="L503">
        <v>0</v>
      </c>
      <c r="M503" s="2"/>
      <c r="N503" s="2"/>
      <c r="O503" s="2"/>
      <c r="P503" s="2"/>
      <c r="Q503" s="2"/>
      <c r="R503" s="25">
        <v>3.9263319999999999</v>
      </c>
      <c r="S503" s="25">
        <v>3.9263319999999999</v>
      </c>
      <c r="T503" s="25">
        <v>10.74639</v>
      </c>
      <c r="U503">
        <v>0</v>
      </c>
      <c r="X503">
        <v>0</v>
      </c>
      <c r="AA503" s="2"/>
      <c r="AB503">
        <v>14</v>
      </c>
      <c r="AC503" s="55">
        <f t="shared" si="70"/>
        <v>0</v>
      </c>
      <c r="AD503" s="57">
        <v>165.66723991337099</v>
      </c>
      <c r="AE503" s="55">
        <v>0</v>
      </c>
      <c r="AF503" s="55">
        <v>0</v>
      </c>
      <c r="AG503" s="52"/>
      <c r="AH503" s="51">
        <v>8.4506749839743392E-2</v>
      </c>
      <c r="AI503" s="52"/>
      <c r="AJ503" s="52"/>
      <c r="AK503" s="28">
        <v>1.7272727272727271</v>
      </c>
      <c r="AL503" s="28">
        <v>2.545454545454545</v>
      </c>
      <c r="AM503" s="28">
        <v>0.81818181818181823</v>
      </c>
      <c r="AN503" s="28">
        <v>0</v>
      </c>
      <c r="AO503" s="28">
        <v>0.3392857142857143</v>
      </c>
      <c r="AP503" s="28">
        <v>0.5</v>
      </c>
      <c r="AQ503" s="28">
        <v>0.1607142857142857</v>
      </c>
      <c r="AR503" s="28">
        <v>0</v>
      </c>
      <c r="AS503" s="25">
        <v>1.1000000000000001</v>
      </c>
      <c r="AT503" s="25">
        <v>3.44</v>
      </c>
      <c r="AU503" s="25">
        <v>2.34</v>
      </c>
      <c r="AV503" s="25">
        <v>2.78</v>
      </c>
      <c r="AW503">
        <v>2.78</v>
      </c>
      <c r="AX503">
        <v>6.4270052227137269</v>
      </c>
      <c r="AY503" s="75">
        <v>0.41874886813759421</v>
      </c>
      <c r="AZ503" s="75"/>
      <c r="BA503" s="75"/>
      <c r="BC503">
        <v>4.2253374919871717E-2</v>
      </c>
      <c r="BF503">
        <v>8.4506749839743392E-2</v>
      </c>
      <c r="BG503">
        <v>4.2253374919871717E-2</v>
      </c>
      <c r="BH503">
        <v>0.41874886813759421</v>
      </c>
      <c r="BI503" s="79" t="s">
        <v>1264</v>
      </c>
      <c r="BJ503" s="79">
        <f t="shared" si="116"/>
        <v>1423</v>
      </c>
      <c r="BK503" s="79">
        <v>24</v>
      </c>
      <c r="BM503" s="79" t="s">
        <v>1268</v>
      </c>
      <c r="BN503" s="79" t="s">
        <v>863</v>
      </c>
      <c r="BO503" s="79">
        <v>0.74</v>
      </c>
      <c r="BP503" s="79">
        <v>7.67</v>
      </c>
      <c r="BQ503" s="79">
        <v>2</v>
      </c>
      <c r="BR503" s="79">
        <v>10</v>
      </c>
      <c r="BS503" s="79" t="s">
        <v>464</v>
      </c>
      <c r="BT503" s="79" t="s">
        <v>464</v>
      </c>
      <c r="BU503" s="79" t="s">
        <v>1266</v>
      </c>
      <c r="BV503" s="79">
        <v>100</v>
      </c>
      <c r="BW503" s="79">
        <v>290</v>
      </c>
      <c r="BY503" s="79">
        <f t="shared" si="117"/>
        <v>333</v>
      </c>
      <c r="BZ503" s="81">
        <v>5133.9285714285716</v>
      </c>
      <c r="CA503">
        <f t="shared" si="97"/>
        <v>8.5436264484843925</v>
      </c>
    </row>
    <row r="504" spans="1:79" x14ac:dyDescent="0.3">
      <c r="A504" s="2" t="s">
        <v>1407</v>
      </c>
      <c r="B504" s="13" t="s">
        <v>775</v>
      </c>
      <c r="C504" s="13"/>
      <c r="D504" s="2">
        <v>3.1</v>
      </c>
      <c r="E504" s="2" t="s">
        <v>231</v>
      </c>
      <c r="F504" s="9" t="s">
        <v>578</v>
      </c>
      <c r="G504">
        <v>-1</v>
      </c>
      <c r="I504" s="2"/>
      <c r="J504" s="25">
        <v>1</v>
      </c>
      <c r="K504">
        <v>0</v>
      </c>
      <c r="L504">
        <v>0</v>
      </c>
      <c r="M504" s="2"/>
      <c r="N504" s="2"/>
      <c r="O504" s="2"/>
      <c r="P504" s="2"/>
      <c r="Q504" s="2"/>
      <c r="R504" s="25">
        <v>3.9263319999999999</v>
      </c>
      <c r="S504" s="25">
        <v>3.9263319999999999</v>
      </c>
      <c r="T504" s="25">
        <v>10.74639</v>
      </c>
      <c r="U504">
        <v>0</v>
      </c>
      <c r="X504">
        <v>0</v>
      </c>
      <c r="AA504" s="2"/>
      <c r="AB504">
        <v>14</v>
      </c>
      <c r="AC504" s="55">
        <f t="shared" si="70"/>
        <v>0</v>
      </c>
      <c r="AD504" s="57">
        <v>165.66723991337099</v>
      </c>
      <c r="AE504" s="55">
        <v>0</v>
      </c>
      <c r="AF504" s="55">
        <v>0</v>
      </c>
      <c r="AG504" s="52"/>
      <c r="AH504" s="51">
        <v>8.4506749839743392E-2</v>
      </c>
      <c r="AI504" s="52"/>
      <c r="AJ504" s="52"/>
      <c r="AK504" s="28">
        <v>1.7272727272727271</v>
      </c>
      <c r="AL504" s="28">
        <v>2.545454545454545</v>
      </c>
      <c r="AM504" s="28">
        <v>0.81818181818181823</v>
      </c>
      <c r="AN504" s="28">
        <v>0</v>
      </c>
      <c r="AO504" s="28">
        <v>0.3392857142857143</v>
      </c>
      <c r="AP504" s="28">
        <v>0.5</v>
      </c>
      <c r="AQ504" s="28">
        <v>0.1607142857142857</v>
      </c>
      <c r="AR504" s="28">
        <v>0</v>
      </c>
      <c r="AS504" s="25">
        <v>1.1000000000000001</v>
      </c>
      <c r="AT504" s="25">
        <v>3.44</v>
      </c>
      <c r="AU504" s="25">
        <v>2.34</v>
      </c>
      <c r="AV504" s="25">
        <v>2.78</v>
      </c>
      <c r="AW504">
        <v>2.78</v>
      </c>
      <c r="AX504">
        <v>6.4270052227137269</v>
      </c>
      <c r="AY504" s="75">
        <v>0.41874886813759421</v>
      </c>
      <c r="AZ504" s="75"/>
      <c r="BA504" s="75"/>
      <c r="BC504">
        <v>4.2253374919871717E-2</v>
      </c>
      <c r="BF504">
        <v>8.4506749839743392E-2</v>
      </c>
      <c r="BG504">
        <v>4.2253374919871717E-2</v>
      </c>
      <c r="BH504">
        <v>0.41874886813759421</v>
      </c>
      <c r="BI504" s="79" t="s">
        <v>1264</v>
      </c>
      <c r="BJ504" s="79">
        <f t="shared" si="116"/>
        <v>1423</v>
      </c>
      <c r="BK504" s="79">
        <v>24</v>
      </c>
      <c r="BM504" s="79" t="s">
        <v>464</v>
      </c>
      <c r="BN504" s="79" t="s">
        <v>464</v>
      </c>
      <c r="BO504" s="79">
        <v>0</v>
      </c>
      <c r="BP504" s="79">
        <v>17.920000000000002</v>
      </c>
      <c r="BQ504" s="79">
        <v>2</v>
      </c>
      <c r="BR504" s="79">
        <v>10</v>
      </c>
      <c r="BS504" s="79" t="s">
        <v>464</v>
      </c>
      <c r="BT504" s="79" t="s">
        <v>464</v>
      </c>
      <c r="BU504" s="79" t="s">
        <v>1266</v>
      </c>
      <c r="BV504" s="79">
        <v>100</v>
      </c>
      <c r="BW504" s="79">
        <v>290</v>
      </c>
      <c r="BY504" s="79">
        <f t="shared" si="117"/>
        <v>333</v>
      </c>
      <c r="BZ504" s="81">
        <v>982.14285714285722</v>
      </c>
      <c r="CA504">
        <f t="shared" si="97"/>
        <v>6.8897367734794592</v>
      </c>
    </row>
    <row r="505" spans="1:79" x14ac:dyDescent="0.3">
      <c r="A505" s="2" t="s">
        <v>1408</v>
      </c>
      <c r="B505" s="13" t="s">
        <v>775</v>
      </c>
      <c r="C505" s="13"/>
      <c r="D505" s="2">
        <v>3.1</v>
      </c>
      <c r="E505" s="2" t="s">
        <v>231</v>
      </c>
      <c r="F505" s="9" t="s">
        <v>578</v>
      </c>
      <c r="G505">
        <v>-1</v>
      </c>
      <c r="I505" s="2"/>
      <c r="J505" s="25">
        <v>1</v>
      </c>
      <c r="K505">
        <v>0</v>
      </c>
      <c r="L505">
        <v>0</v>
      </c>
      <c r="M505" s="2"/>
      <c r="N505" s="2"/>
      <c r="O505" s="2"/>
      <c r="P505" s="2"/>
      <c r="Q505" s="2"/>
      <c r="R505" s="25">
        <v>3.9263319999999999</v>
      </c>
      <c r="S505" s="25">
        <v>3.9263319999999999</v>
      </c>
      <c r="T505" s="25">
        <v>10.74639</v>
      </c>
      <c r="U505">
        <v>0</v>
      </c>
      <c r="X505">
        <v>0</v>
      </c>
      <c r="AA505" s="2"/>
      <c r="AB505">
        <v>14</v>
      </c>
      <c r="AC505" s="55">
        <f t="shared" ref="AC505" si="118">M505*N505*O505</f>
        <v>0</v>
      </c>
      <c r="AD505" s="57">
        <v>165.66723991337099</v>
      </c>
      <c r="AE505" s="55">
        <v>0</v>
      </c>
      <c r="AF505" s="55">
        <v>0</v>
      </c>
      <c r="AG505" s="52"/>
      <c r="AH505" s="51">
        <v>8.4506749839743392E-2</v>
      </c>
      <c r="AI505" s="52"/>
      <c r="AJ505" s="52"/>
      <c r="AK505" s="28">
        <v>1.7272727272727271</v>
      </c>
      <c r="AL505" s="28">
        <v>2.545454545454545</v>
      </c>
      <c r="AM505" s="28">
        <v>0.81818181818181823</v>
      </c>
      <c r="AN505" s="28">
        <v>0</v>
      </c>
      <c r="AO505" s="28">
        <v>0.3392857142857143</v>
      </c>
      <c r="AP505" s="28">
        <v>0.5</v>
      </c>
      <c r="AQ505" s="28">
        <v>0.1607142857142857</v>
      </c>
      <c r="AR505" s="28">
        <v>0</v>
      </c>
      <c r="AS505" s="25">
        <v>1.1000000000000001</v>
      </c>
      <c r="AT505" s="25">
        <v>3.44</v>
      </c>
      <c r="AU505" s="25">
        <v>2.34</v>
      </c>
      <c r="AV505" s="25">
        <v>2.78</v>
      </c>
      <c r="AW505">
        <v>2.78</v>
      </c>
      <c r="AX505">
        <v>6.4270052227137269</v>
      </c>
      <c r="AY505" s="75">
        <v>0.41874886813759421</v>
      </c>
      <c r="AZ505" s="75"/>
      <c r="BA505" s="75"/>
      <c r="BC505">
        <v>4.2253374919871717E-2</v>
      </c>
      <c r="BF505">
        <v>8.4506749839743392E-2</v>
      </c>
      <c r="BG505">
        <v>4.2253374919871717E-2</v>
      </c>
      <c r="BH505">
        <v>0.41874886813759421</v>
      </c>
      <c r="BI505" s="79" t="s">
        <v>1264</v>
      </c>
      <c r="BJ505" s="79">
        <f t="shared" si="116"/>
        <v>1423</v>
      </c>
      <c r="BK505" s="79">
        <v>24</v>
      </c>
      <c r="BM505" s="79" t="s">
        <v>1268</v>
      </c>
      <c r="BN505" s="79" t="s">
        <v>863</v>
      </c>
      <c r="BO505" s="79">
        <v>0.91</v>
      </c>
      <c r="BP505" s="79">
        <v>26.53</v>
      </c>
      <c r="BQ505" s="79">
        <v>2</v>
      </c>
      <c r="BR505" s="79">
        <v>10</v>
      </c>
      <c r="BS505" s="79" t="s">
        <v>464</v>
      </c>
      <c r="BT505" s="79" t="s">
        <v>464</v>
      </c>
      <c r="BU505" s="79" t="s">
        <v>1266</v>
      </c>
      <c r="BV505" s="79">
        <v>100</v>
      </c>
      <c r="BW505" s="79">
        <v>290</v>
      </c>
      <c r="BY505" s="79">
        <f t="shared" si="117"/>
        <v>333</v>
      </c>
      <c r="BZ505" s="81">
        <v>10714.285714285716</v>
      </c>
      <c r="CA505">
        <f t="shared" si="97"/>
        <v>9.2793332434631335</v>
      </c>
    </row>
    <row r="506" spans="1:79" x14ac:dyDescent="0.3">
      <c r="A506" s="2" t="s">
        <v>63</v>
      </c>
      <c r="B506" s="13" t="s">
        <v>773</v>
      </c>
      <c r="C506" s="13"/>
      <c r="D506" s="2">
        <v>3.66</v>
      </c>
      <c r="E506" s="2" t="s">
        <v>233</v>
      </c>
      <c r="F506" s="9">
        <v>-1</v>
      </c>
      <c r="G506">
        <v>-1</v>
      </c>
      <c r="I506" s="2">
        <v>1</v>
      </c>
      <c r="J506" s="25">
        <v>0</v>
      </c>
      <c r="K506">
        <v>0</v>
      </c>
      <c r="L506">
        <v>0</v>
      </c>
      <c r="M506" s="2">
        <v>3.85</v>
      </c>
      <c r="N506" s="2">
        <v>3.85</v>
      </c>
      <c r="O506" s="2">
        <v>14.379</v>
      </c>
      <c r="P506" s="2"/>
      <c r="Q506" s="2"/>
      <c r="R506" s="25">
        <v>0</v>
      </c>
      <c r="S506" s="25"/>
      <c r="T506" s="25"/>
      <c r="U506">
        <v>0</v>
      </c>
      <c r="X506">
        <v>0</v>
      </c>
      <c r="AA506" s="2"/>
      <c r="AB506">
        <v>20</v>
      </c>
      <c r="AC506" s="55">
        <f t="shared" si="70"/>
        <v>213.13272750000002</v>
      </c>
      <c r="AD506" s="57">
        <v>0</v>
      </c>
      <c r="AE506" s="55">
        <v>0</v>
      </c>
      <c r="AF506" s="55">
        <v>0</v>
      </c>
      <c r="AG506" s="52">
        <f t="shared" ref="AG506:AG509" si="119">I506*AB506/AC506</f>
        <v>9.3838239835784945E-2</v>
      </c>
      <c r="AH506" s="51"/>
      <c r="AI506" s="52"/>
      <c r="AJ506" s="52"/>
      <c r="AK506" s="28">
        <v>1.75</v>
      </c>
      <c r="AL506" s="28">
        <v>2.5</v>
      </c>
      <c r="AM506" s="28">
        <v>0.75</v>
      </c>
      <c r="AN506" s="28">
        <v>0</v>
      </c>
      <c r="AO506" s="28">
        <v>0.35</v>
      </c>
      <c r="AP506" s="28">
        <v>0.5</v>
      </c>
      <c r="AQ506" s="28">
        <v>0.15</v>
      </c>
      <c r="AR506" s="28">
        <v>0</v>
      </c>
      <c r="AS506" s="25">
        <v>1</v>
      </c>
      <c r="AT506" s="25">
        <v>3.44</v>
      </c>
      <c r="AU506" s="25">
        <v>2.44</v>
      </c>
      <c r="AV506" s="25">
        <v>2.7124999999999999</v>
      </c>
      <c r="AW506">
        <v>2.7124999999999999</v>
      </c>
      <c r="AX506">
        <v>6.264025610615688</v>
      </c>
      <c r="AY506" s="75"/>
      <c r="AZ506" s="75"/>
      <c r="BA506" s="75"/>
      <c r="BB506">
        <v>4.6919119917892473E-2</v>
      </c>
      <c r="BF506">
        <v>9.3838239835784945E-2</v>
      </c>
      <c r="BG506">
        <v>4.6919119917892473E-2</v>
      </c>
      <c r="BH506">
        <v>0</v>
      </c>
      <c r="BI506" s="79" t="s">
        <v>1264</v>
      </c>
      <c r="BJ506" s="79">
        <f t="shared" si="116"/>
        <v>1423</v>
      </c>
      <c r="BK506" s="79">
        <v>24</v>
      </c>
      <c r="BM506" s="79" t="s">
        <v>464</v>
      </c>
      <c r="BN506" s="79" t="s">
        <v>464</v>
      </c>
      <c r="BO506" s="79">
        <v>0</v>
      </c>
      <c r="BQ506" s="79">
        <v>2</v>
      </c>
      <c r="BR506" s="79">
        <v>0</v>
      </c>
      <c r="BS506" s="79" t="s">
        <v>1409</v>
      </c>
      <c r="BT506" s="79" t="s">
        <v>1410</v>
      </c>
      <c r="BU506" s="79" t="s">
        <v>1266</v>
      </c>
      <c r="BV506" s="79">
        <v>300</v>
      </c>
      <c r="BX506" s="79" t="s">
        <v>1311</v>
      </c>
      <c r="BY506" s="79">
        <f t="shared" si="117"/>
        <v>333</v>
      </c>
      <c r="BZ506" s="81">
        <v>892.85714285714289</v>
      </c>
      <c r="CA506">
        <f t="shared" si="97"/>
        <v>6.7944265936751336</v>
      </c>
    </row>
    <row r="507" spans="1:79" x14ac:dyDescent="0.3">
      <c r="A507" s="2" t="s">
        <v>1411</v>
      </c>
      <c r="B507" s="13" t="s">
        <v>809</v>
      </c>
      <c r="C507" s="13"/>
      <c r="D507" s="2">
        <v>3.65</v>
      </c>
      <c r="E507" s="2" t="s">
        <v>233</v>
      </c>
      <c r="F507" s="9">
        <v>-1</v>
      </c>
      <c r="G507">
        <v>-1</v>
      </c>
      <c r="I507" s="2">
        <v>1</v>
      </c>
      <c r="J507" s="25">
        <v>0</v>
      </c>
      <c r="K507">
        <v>0</v>
      </c>
      <c r="L507">
        <v>0</v>
      </c>
      <c r="M507" s="1">
        <v>3.85</v>
      </c>
      <c r="N507" s="1">
        <v>3.85</v>
      </c>
      <c r="O507" s="1">
        <v>14.379</v>
      </c>
      <c r="P507" s="2"/>
      <c r="Q507" s="2"/>
      <c r="R507" s="25">
        <v>0</v>
      </c>
      <c r="S507" s="25"/>
      <c r="T507" s="25"/>
      <c r="U507">
        <v>0</v>
      </c>
      <c r="X507">
        <v>0</v>
      </c>
      <c r="AA507" s="2"/>
      <c r="AB507">
        <v>20</v>
      </c>
      <c r="AC507" s="55">
        <f t="shared" si="70"/>
        <v>213.13272750000002</v>
      </c>
      <c r="AD507" s="57">
        <v>0</v>
      </c>
      <c r="AE507" s="55">
        <v>0</v>
      </c>
      <c r="AF507" s="55">
        <v>0</v>
      </c>
      <c r="AG507" s="52">
        <f t="shared" si="119"/>
        <v>9.3838239835784945E-2</v>
      </c>
      <c r="AH507" s="51"/>
      <c r="AI507" s="52"/>
      <c r="AJ507" s="52"/>
      <c r="AK507" s="28">
        <v>1.8125</v>
      </c>
      <c r="AL507" s="28">
        <v>2.5</v>
      </c>
      <c r="AM507" s="28">
        <v>0.6875</v>
      </c>
      <c r="AN507" s="28">
        <v>0.875</v>
      </c>
      <c r="AO507" s="28">
        <v>0.30851063829787229</v>
      </c>
      <c r="AP507" s="28">
        <v>0.42553191489361702</v>
      </c>
      <c r="AQ507" s="28">
        <v>0.1170212765957447</v>
      </c>
      <c r="AR507" s="28">
        <v>0.14893617021276601</v>
      </c>
      <c r="AS507" s="25">
        <v>1</v>
      </c>
      <c r="AT507" s="25">
        <v>3.44</v>
      </c>
      <c r="AU507" s="25">
        <v>2.44</v>
      </c>
      <c r="AV507" s="25">
        <v>2.7062499999999998</v>
      </c>
      <c r="AW507">
        <v>2.7062499999999998</v>
      </c>
      <c r="AX507">
        <v>6.2701641731156874</v>
      </c>
      <c r="AY507" s="75"/>
      <c r="AZ507" s="75"/>
      <c r="BA507" s="75"/>
      <c r="BB507">
        <v>4.6919119917892473E-2</v>
      </c>
      <c r="BF507">
        <v>9.3838239835784945E-2</v>
      </c>
      <c r="BG507">
        <v>4.6919119917892473E-2</v>
      </c>
      <c r="BH507">
        <v>0</v>
      </c>
      <c r="BI507" s="79" t="s">
        <v>1264</v>
      </c>
      <c r="BJ507" s="79">
        <f t="shared" si="116"/>
        <v>1423</v>
      </c>
      <c r="BK507" s="79">
        <v>24</v>
      </c>
      <c r="BM507" s="79" t="s">
        <v>464</v>
      </c>
      <c r="BN507" s="79" t="s">
        <v>464</v>
      </c>
      <c r="BO507" s="79">
        <v>0</v>
      </c>
      <c r="BQ507" s="79">
        <v>2</v>
      </c>
      <c r="BR507" s="79">
        <v>0</v>
      </c>
      <c r="BS507" s="79" t="s">
        <v>1409</v>
      </c>
      <c r="BT507" s="79" t="s">
        <v>1410</v>
      </c>
      <c r="BU507" s="79" t="s">
        <v>1266</v>
      </c>
      <c r="BV507" s="79">
        <v>300</v>
      </c>
      <c r="BX507" s="79" t="s">
        <v>1311</v>
      </c>
      <c r="BY507" s="79">
        <f t="shared" si="117"/>
        <v>333</v>
      </c>
      <c r="BZ507" s="81">
        <v>10714.285714285716</v>
      </c>
      <c r="CA507">
        <f t="shared" si="97"/>
        <v>9.2793332434631335</v>
      </c>
    </row>
    <row r="508" spans="1:79" x14ac:dyDescent="0.3">
      <c r="A508" s="2" t="s">
        <v>1412</v>
      </c>
      <c r="B508" s="13" t="s">
        <v>773</v>
      </c>
      <c r="C508" s="13"/>
      <c r="D508" s="2">
        <v>3.54</v>
      </c>
      <c r="E508" s="2" t="s">
        <v>233</v>
      </c>
      <c r="F508" s="9">
        <v>-1</v>
      </c>
      <c r="G508">
        <v>-1</v>
      </c>
      <c r="I508" s="2">
        <v>1</v>
      </c>
      <c r="J508" s="25">
        <v>0</v>
      </c>
      <c r="K508">
        <v>0</v>
      </c>
      <c r="L508">
        <v>0</v>
      </c>
      <c r="M508" s="1">
        <v>3.85</v>
      </c>
      <c r="N508" s="1">
        <v>3.85</v>
      </c>
      <c r="O508" s="1">
        <v>14.379</v>
      </c>
      <c r="P508" s="2"/>
      <c r="Q508" s="2"/>
      <c r="R508" s="25">
        <v>0</v>
      </c>
      <c r="S508" s="25"/>
      <c r="T508" s="25"/>
      <c r="U508">
        <v>0</v>
      </c>
      <c r="X508">
        <v>0</v>
      </c>
      <c r="AA508" s="2"/>
      <c r="AB508">
        <v>20</v>
      </c>
      <c r="AC508" s="55">
        <f t="shared" si="70"/>
        <v>213.13272750000002</v>
      </c>
      <c r="AD508" s="57">
        <v>0</v>
      </c>
      <c r="AE508" s="55">
        <v>0</v>
      </c>
      <c r="AF508" s="55">
        <v>0</v>
      </c>
      <c r="AG508" s="52">
        <f t="shared" si="119"/>
        <v>9.3838239835784945E-2</v>
      </c>
      <c r="AH508" s="51"/>
      <c r="AI508" s="52"/>
      <c r="AJ508" s="52"/>
      <c r="AK508" s="28">
        <v>1.75</v>
      </c>
      <c r="AL508" s="28">
        <v>2.5</v>
      </c>
      <c r="AM508" s="28">
        <v>0.75</v>
      </c>
      <c r="AN508" s="28">
        <v>0</v>
      </c>
      <c r="AO508" s="28">
        <v>0.35</v>
      </c>
      <c r="AP508" s="28">
        <v>0.5</v>
      </c>
      <c r="AQ508" s="28">
        <v>0.15</v>
      </c>
      <c r="AR508" s="28">
        <v>0</v>
      </c>
      <c r="AS508" s="25">
        <v>1</v>
      </c>
      <c r="AT508" s="25">
        <v>3.44</v>
      </c>
      <c r="AU508" s="25">
        <v>2.44</v>
      </c>
      <c r="AV508" s="25">
        <v>2.7124999999999999</v>
      </c>
      <c r="AW508">
        <v>2.7124999999999999</v>
      </c>
      <c r="AX508">
        <v>6.264025610615688</v>
      </c>
      <c r="AY508" s="75"/>
      <c r="AZ508" s="75"/>
      <c r="BA508" s="75"/>
      <c r="BB508">
        <v>4.6919119917892473E-2</v>
      </c>
      <c r="BF508">
        <v>9.3838239835784945E-2</v>
      </c>
      <c r="BG508">
        <v>4.6919119917892473E-2</v>
      </c>
      <c r="BH508">
        <v>0</v>
      </c>
      <c r="BI508" s="79" t="s">
        <v>1264</v>
      </c>
      <c r="BJ508" s="79">
        <f t="shared" si="116"/>
        <v>1423</v>
      </c>
      <c r="BK508" s="79">
        <v>24</v>
      </c>
      <c r="BM508" s="79" t="s">
        <v>464</v>
      </c>
      <c r="BN508" s="79" t="s">
        <v>464</v>
      </c>
      <c r="BO508" s="79">
        <v>0</v>
      </c>
      <c r="BQ508" s="79">
        <v>2</v>
      </c>
      <c r="BR508" s="79">
        <v>0</v>
      </c>
      <c r="BS508" s="79" t="s">
        <v>1409</v>
      </c>
      <c r="BT508" s="79" t="s">
        <v>1410</v>
      </c>
      <c r="BU508" s="79" t="s">
        <v>1266</v>
      </c>
      <c r="BV508" s="79">
        <v>300</v>
      </c>
      <c r="BX508" s="79" t="s">
        <v>1311</v>
      </c>
      <c r="BY508" s="79">
        <f t="shared" si="117"/>
        <v>333</v>
      </c>
      <c r="BZ508" s="81">
        <v>6473.2142857142862</v>
      </c>
      <c r="CA508">
        <f t="shared" si="97"/>
        <v>8.7754280625417174</v>
      </c>
    </row>
    <row r="509" spans="1:79" x14ac:dyDescent="0.3">
      <c r="A509" s="2" t="s">
        <v>232</v>
      </c>
      <c r="B509" s="13" t="s">
        <v>809</v>
      </c>
      <c r="C509" s="13"/>
      <c r="D509" s="2">
        <v>3.54</v>
      </c>
      <c r="E509" s="2" t="s">
        <v>233</v>
      </c>
      <c r="F509" s="9">
        <v>-1</v>
      </c>
      <c r="G509">
        <v>-1</v>
      </c>
      <c r="I509" s="2">
        <v>1</v>
      </c>
      <c r="J509" s="25">
        <v>0</v>
      </c>
      <c r="K509">
        <v>0</v>
      </c>
      <c r="L509">
        <v>0</v>
      </c>
      <c r="M509" s="1">
        <v>3.85</v>
      </c>
      <c r="N509" s="1">
        <v>3.85</v>
      </c>
      <c r="O509" s="1">
        <v>14.379</v>
      </c>
      <c r="P509" s="2"/>
      <c r="Q509" s="2"/>
      <c r="R509" s="25">
        <v>0</v>
      </c>
      <c r="S509" s="25"/>
      <c r="T509" s="25"/>
      <c r="U509">
        <v>0</v>
      </c>
      <c r="X509">
        <v>0</v>
      </c>
      <c r="AA509" s="2"/>
      <c r="AB509">
        <v>20</v>
      </c>
      <c r="AC509" s="55">
        <f t="shared" si="70"/>
        <v>213.13272750000002</v>
      </c>
      <c r="AD509" s="57">
        <v>0</v>
      </c>
      <c r="AE509" s="55">
        <v>0</v>
      </c>
      <c r="AF509" s="55">
        <v>0</v>
      </c>
      <c r="AG509" s="52">
        <f t="shared" si="119"/>
        <v>9.3838239835784945E-2</v>
      </c>
      <c r="AH509" s="51"/>
      <c r="AI509" s="52"/>
      <c r="AJ509" s="52"/>
      <c r="AK509" s="28">
        <v>1.8125</v>
      </c>
      <c r="AL509" s="28">
        <v>2.5</v>
      </c>
      <c r="AM509" s="28">
        <v>0.6875</v>
      </c>
      <c r="AN509" s="28">
        <v>0.875</v>
      </c>
      <c r="AO509" s="28">
        <v>0.30851063829787229</v>
      </c>
      <c r="AP509" s="28">
        <v>0.42553191489361702</v>
      </c>
      <c r="AQ509" s="28">
        <v>0.1170212765957447</v>
      </c>
      <c r="AR509" s="28">
        <v>0.14893617021276601</v>
      </c>
      <c r="AS509" s="25">
        <v>1</v>
      </c>
      <c r="AT509" s="25">
        <v>3.44</v>
      </c>
      <c r="AU509" s="25">
        <v>2.44</v>
      </c>
      <c r="AV509" s="25">
        <v>2.7062499999999998</v>
      </c>
      <c r="AW509">
        <v>2.7062499999999998</v>
      </c>
      <c r="AX509">
        <v>6.2701641731156874</v>
      </c>
      <c r="AY509" s="75"/>
      <c r="AZ509" s="75"/>
      <c r="BA509" s="75"/>
      <c r="BB509">
        <v>4.6919119917892473E-2</v>
      </c>
      <c r="BF509">
        <v>9.3838239835784945E-2</v>
      </c>
      <c r="BG509">
        <v>4.6919119917892473E-2</v>
      </c>
      <c r="BH509">
        <v>0</v>
      </c>
      <c r="BI509" s="79" t="s">
        <v>1305</v>
      </c>
      <c r="BJ509" s="79">
        <f>650+273</f>
        <v>923</v>
      </c>
      <c r="BK509" s="79">
        <v>2</v>
      </c>
      <c r="BM509" s="79" t="s">
        <v>464</v>
      </c>
      <c r="BN509" s="79" t="s">
        <v>464</v>
      </c>
      <c r="BO509" s="79">
        <v>0</v>
      </c>
      <c r="BQ509" s="79">
        <v>2</v>
      </c>
      <c r="BR509" s="79">
        <v>0</v>
      </c>
      <c r="BS509" s="79" t="s">
        <v>1409</v>
      </c>
      <c r="BT509" s="79" t="s">
        <v>1410</v>
      </c>
      <c r="BU509" s="79" t="s">
        <v>1266</v>
      </c>
      <c r="BV509" s="79">
        <v>300</v>
      </c>
      <c r="BX509" s="79" t="s">
        <v>1311</v>
      </c>
      <c r="BY509" s="79">
        <f t="shared" si="117"/>
        <v>333</v>
      </c>
      <c r="BZ509" s="81">
        <v>4285.7142857142862</v>
      </c>
      <c r="CA509">
        <f t="shared" si="97"/>
        <v>8.3630425115889793</v>
      </c>
    </row>
    <row r="510" spans="1:79" x14ac:dyDescent="0.3">
      <c r="A510" s="2" t="s">
        <v>46</v>
      </c>
      <c r="B510" s="13" t="s">
        <v>722</v>
      </c>
      <c r="C510" s="13"/>
      <c r="D510" s="2">
        <v>3.87</v>
      </c>
      <c r="E510" s="2" t="s">
        <v>234</v>
      </c>
      <c r="F510" s="9" t="s">
        <v>551</v>
      </c>
      <c r="G510" t="s">
        <v>629</v>
      </c>
      <c r="I510" s="2"/>
      <c r="J510" s="25">
        <v>2</v>
      </c>
      <c r="K510">
        <v>4</v>
      </c>
      <c r="L510">
        <v>0</v>
      </c>
      <c r="M510" s="2"/>
      <c r="N510" s="2"/>
      <c r="O510" s="2"/>
      <c r="P510" s="2"/>
      <c r="Q510" s="2"/>
      <c r="R510" s="25">
        <v>7.41544296</v>
      </c>
      <c r="S510" s="25">
        <v>7.4154429599999991</v>
      </c>
      <c r="T510" s="25">
        <v>7.41544296</v>
      </c>
      <c r="U510">
        <v>7.8</v>
      </c>
      <c r="V510">
        <v>13.010999999999999</v>
      </c>
      <c r="W510">
        <v>5.5460000000000003</v>
      </c>
      <c r="X510">
        <v>0</v>
      </c>
      <c r="AA510" s="2"/>
      <c r="AB510">
        <v>14</v>
      </c>
      <c r="AC510" s="55">
        <f t="shared" ref="AC510" si="120">M510*N510*O510</f>
        <v>0</v>
      </c>
      <c r="AD510" s="57">
        <v>288.33429290182369</v>
      </c>
      <c r="AE510" s="55">
        <v>556.51188553357167</v>
      </c>
      <c r="AF510" s="55">
        <v>0</v>
      </c>
      <c r="AG510" s="52"/>
      <c r="AH510" s="51">
        <v>9.7109503410799117E-2</v>
      </c>
      <c r="AI510" s="52">
        <v>0.10062678166578309</v>
      </c>
      <c r="AJ510" s="52"/>
      <c r="AK510" s="28">
        <v>2</v>
      </c>
      <c r="AL510" s="28">
        <v>2.545454545454545</v>
      </c>
      <c r="AM510" s="28">
        <v>0.54545454545454541</v>
      </c>
      <c r="AN510" s="28">
        <v>0</v>
      </c>
      <c r="AO510" s="28">
        <v>0.39285714285714279</v>
      </c>
      <c r="AP510" s="28">
        <v>0.5</v>
      </c>
      <c r="AQ510" s="28">
        <v>0.1071428571428571</v>
      </c>
      <c r="AR510" s="28">
        <v>0</v>
      </c>
      <c r="AS510" s="25">
        <v>1.1000000000000001</v>
      </c>
      <c r="AT510" s="25">
        <v>3.44</v>
      </c>
      <c r="AU510" s="25">
        <v>2.34</v>
      </c>
      <c r="AV510" s="25">
        <v>2.669090909090909</v>
      </c>
      <c r="AW510">
        <v>2.669090909090909</v>
      </c>
      <c r="AX510">
        <v>5.9831974772727277</v>
      </c>
      <c r="AY510" s="75">
        <v>0.52442413903612473</v>
      </c>
      <c r="AZ510" s="75">
        <v>0.54341863036636606</v>
      </c>
      <c r="BA510" s="75"/>
      <c r="BC510">
        <v>4.8554751705399558E-2</v>
      </c>
      <c r="BD510">
        <v>5.0313390832891547E-2</v>
      </c>
      <c r="BF510">
        <v>9.8868142538291098E-2</v>
      </c>
      <c r="BG510">
        <v>4.9434071269145549E-2</v>
      </c>
      <c r="BH510">
        <v>0.53392138470124539</v>
      </c>
      <c r="BI510" s="79" t="s">
        <v>1305</v>
      </c>
      <c r="BJ510" s="79">
        <f>650+273</f>
        <v>923</v>
      </c>
      <c r="BK510" s="79">
        <v>2</v>
      </c>
      <c r="BM510" s="79" t="s">
        <v>1275</v>
      </c>
      <c r="BN510" s="79" t="s">
        <v>56</v>
      </c>
      <c r="BO510" s="79">
        <v>1</v>
      </c>
      <c r="BP510" s="79">
        <v>20</v>
      </c>
      <c r="BQ510" s="79">
        <v>0.6</v>
      </c>
      <c r="BR510" s="79">
        <v>0</v>
      </c>
      <c r="BS510" s="79" t="s">
        <v>464</v>
      </c>
      <c r="BT510" s="79" t="s">
        <v>464</v>
      </c>
      <c r="BU510" s="79" t="s">
        <v>1266</v>
      </c>
      <c r="BV510" s="79">
        <v>450</v>
      </c>
      <c r="BX510" s="79" t="s">
        <v>1287</v>
      </c>
      <c r="BZ510" s="81">
        <v>0</v>
      </c>
      <c r="CA510" t="e">
        <f t="shared" si="97"/>
        <v>#NUM!</v>
      </c>
    </row>
    <row r="511" spans="1:79" x14ac:dyDescent="0.3">
      <c r="A511" s="2" t="s">
        <v>46</v>
      </c>
      <c r="B511" s="13" t="s">
        <v>722</v>
      </c>
      <c r="C511" s="13"/>
      <c r="D511" s="2">
        <v>3.87</v>
      </c>
      <c r="E511" s="2" t="s">
        <v>234</v>
      </c>
      <c r="F511" s="9" t="s">
        <v>551</v>
      </c>
      <c r="G511" t="s">
        <v>629</v>
      </c>
      <c r="I511" s="2"/>
      <c r="J511" s="25">
        <v>2</v>
      </c>
      <c r="K511">
        <v>4</v>
      </c>
      <c r="L511">
        <v>0</v>
      </c>
      <c r="M511" s="2"/>
      <c r="N511" s="2"/>
      <c r="O511" s="2"/>
      <c r="P511" s="2"/>
      <c r="Q511" s="2"/>
      <c r="R511" s="25">
        <v>7.41544296</v>
      </c>
      <c r="S511" s="25">
        <v>7.4154429599999991</v>
      </c>
      <c r="T511" s="25">
        <v>7.41544296</v>
      </c>
      <c r="U511">
        <v>7.8</v>
      </c>
      <c r="V511">
        <v>13.010999999999999</v>
      </c>
      <c r="W511">
        <v>5.5460000000000003</v>
      </c>
      <c r="X511">
        <v>0</v>
      </c>
      <c r="AA511" s="2"/>
      <c r="AB511">
        <v>14</v>
      </c>
      <c r="AC511" s="55">
        <f t="shared" si="70"/>
        <v>0</v>
      </c>
      <c r="AD511" s="57">
        <v>288.33429290182369</v>
      </c>
      <c r="AE511" s="55">
        <v>556.51188553357167</v>
      </c>
      <c r="AF511" s="55">
        <v>0</v>
      </c>
      <c r="AG511" s="52"/>
      <c r="AH511" s="51">
        <v>9.7109503410799117E-2</v>
      </c>
      <c r="AI511" s="52">
        <v>0.10062678166578309</v>
      </c>
      <c r="AJ511" s="52"/>
      <c r="AK511" s="28">
        <v>2</v>
      </c>
      <c r="AL511" s="28">
        <v>2.545454545454545</v>
      </c>
      <c r="AM511" s="28">
        <v>0.54545454545454541</v>
      </c>
      <c r="AN511" s="28">
        <v>0</v>
      </c>
      <c r="AO511" s="28">
        <v>0.39285714285714279</v>
      </c>
      <c r="AP511" s="28">
        <v>0.5</v>
      </c>
      <c r="AQ511" s="28">
        <v>0.1071428571428571</v>
      </c>
      <c r="AR511" s="28">
        <v>0</v>
      </c>
      <c r="AS511" s="25">
        <v>1.1000000000000001</v>
      </c>
      <c r="AT511" s="25">
        <v>3.44</v>
      </c>
      <c r="AU511" s="25">
        <v>2.34</v>
      </c>
      <c r="AV511" s="25">
        <v>2.669090909090909</v>
      </c>
      <c r="AW511">
        <v>2.669090909090909</v>
      </c>
      <c r="AX511">
        <v>5.9831974772727277</v>
      </c>
      <c r="AY511" s="75">
        <v>0.52442413903612473</v>
      </c>
      <c r="AZ511" s="75">
        <v>0.54341863036636606</v>
      </c>
      <c r="BA511" s="75"/>
      <c r="BC511">
        <v>4.8554751705399558E-2</v>
      </c>
      <c r="BD511">
        <v>5.0313390832891547E-2</v>
      </c>
      <c r="BF511">
        <v>9.8868142538291098E-2</v>
      </c>
      <c r="BG511">
        <v>4.9434071269145549E-2</v>
      </c>
      <c r="BH511">
        <v>0.53392138470124539</v>
      </c>
      <c r="BI511" s="79" t="s">
        <v>1305</v>
      </c>
      <c r="BJ511" s="79">
        <f>700+273</f>
        <v>973</v>
      </c>
      <c r="BK511" s="79">
        <v>2</v>
      </c>
      <c r="BM511" s="79" t="s">
        <v>1275</v>
      </c>
      <c r="BN511" s="79" t="s">
        <v>56</v>
      </c>
      <c r="BO511" s="79">
        <v>1</v>
      </c>
      <c r="BP511" s="79">
        <v>20</v>
      </c>
      <c r="BQ511" s="79">
        <v>0.6</v>
      </c>
      <c r="BR511" s="79">
        <v>0</v>
      </c>
      <c r="BS511" s="79" t="s">
        <v>464</v>
      </c>
      <c r="BT511" s="79" t="s">
        <v>464</v>
      </c>
      <c r="BU511" s="79" t="s">
        <v>1266</v>
      </c>
      <c r="BV511" s="79">
        <v>450</v>
      </c>
      <c r="BX511" s="79" t="s">
        <v>1287</v>
      </c>
      <c r="BZ511" s="81">
        <v>0</v>
      </c>
      <c r="CA511" t="e">
        <f t="shared" si="97"/>
        <v>#NUM!</v>
      </c>
    </row>
    <row r="512" spans="1:79" x14ac:dyDescent="0.3">
      <c r="A512" s="2" t="s">
        <v>46</v>
      </c>
      <c r="B512" s="13" t="s">
        <v>722</v>
      </c>
      <c r="C512" s="13"/>
      <c r="D512" s="2">
        <v>3.87</v>
      </c>
      <c r="E512" s="2" t="s">
        <v>234</v>
      </c>
      <c r="F512" s="9" t="s">
        <v>551</v>
      </c>
      <c r="G512" t="s">
        <v>629</v>
      </c>
      <c r="I512" s="2"/>
      <c r="J512" s="25">
        <v>2</v>
      </c>
      <c r="K512">
        <v>4</v>
      </c>
      <c r="L512">
        <v>0</v>
      </c>
      <c r="M512" s="2"/>
      <c r="N512" s="2"/>
      <c r="O512" s="2"/>
      <c r="P512" s="2"/>
      <c r="Q512" s="2"/>
      <c r="R512" s="25">
        <v>7.41544296</v>
      </c>
      <c r="S512" s="25">
        <v>7.4154429599999991</v>
      </c>
      <c r="T512" s="25">
        <v>7.41544296</v>
      </c>
      <c r="U512">
        <v>7.8</v>
      </c>
      <c r="V512">
        <v>13.010999999999999</v>
      </c>
      <c r="W512">
        <v>5.5460000000000003</v>
      </c>
      <c r="X512">
        <v>0</v>
      </c>
      <c r="AA512" s="2"/>
      <c r="AB512">
        <v>14</v>
      </c>
      <c r="AC512" s="55">
        <f t="shared" ref="AC512" si="121">M512*N512*O512</f>
        <v>0</v>
      </c>
      <c r="AD512" s="57">
        <v>288.33429290182369</v>
      </c>
      <c r="AE512" s="55">
        <v>556.51188553357167</v>
      </c>
      <c r="AF512" s="55">
        <v>0</v>
      </c>
      <c r="AG512" s="52"/>
      <c r="AH512" s="51">
        <v>9.7109503410799117E-2</v>
      </c>
      <c r="AI512" s="52">
        <v>0.10062678166578309</v>
      </c>
      <c r="AJ512" s="52"/>
      <c r="AK512" s="28">
        <v>2</v>
      </c>
      <c r="AL512" s="28">
        <v>2.545454545454545</v>
      </c>
      <c r="AM512" s="28">
        <v>0.54545454545454541</v>
      </c>
      <c r="AN512" s="28">
        <v>0</v>
      </c>
      <c r="AO512" s="28">
        <v>0.39285714285714279</v>
      </c>
      <c r="AP512" s="28">
        <v>0.5</v>
      </c>
      <c r="AQ512" s="28">
        <v>0.1071428571428571</v>
      </c>
      <c r="AR512" s="28">
        <v>0</v>
      </c>
      <c r="AS512" s="25">
        <v>1.1000000000000001</v>
      </c>
      <c r="AT512" s="25">
        <v>3.44</v>
      </c>
      <c r="AU512" s="25">
        <v>2.34</v>
      </c>
      <c r="AV512" s="25">
        <v>2.669090909090909</v>
      </c>
      <c r="AW512">
        <v>2.669090909090909</v>
      </c>
      <c r="AX512">
        <v>5.9831974772727277</v>
      </c>
      <c r="AY512" s="75">
        <v>0.52442413903612473</v>
      </c>
      <c r="AZ512" s="75">
        <v>0.54341863036636606</v>
      </c>
      <c r="BA512" s="75"/>
      <c r="BC512">
        <v>4.8554751705399558E-2</v>
      </c>
      <c r="BD512">
        <v>5.0313390832891547E-2</v>
      </c>
      <c r="BF512">
        <v>9.8868142538291098E-2</v>
      </c>
      <c r="BG512">
        <v>4.9434071269145549E-2</v>
      </c>
      <c r="BH512">
        <v>0.53392138470124539</v>
      </c>
      <c r="BI512" s="79" t="s">
        <v>1305</v>
      </c>
      <c r="BJ512" s="79">
        <f>750+273</f>
        <v>1023</v>
      </c>
      <c r="BK512" s="79">
        <v>2</v>
      </c>
      <c r="BM512" s="79" t="s">
        <v>1275</v>
      </c>
      <c r="BN512" s="79" t="s">
        <v>56</v>
      </c>
      <c r="BO512" s="79">
        <v>1</v>
      </c>
      <c r="BP512" s="79">
        <v>20</v>
      </c>
      <c r="BQ512" s="79">
        <v>0.6</v>
      </c>
      <c r="BR512" s="79">
        <v>0</v>
      </c>
      <c r="BS512" s="79" t="s">
        <v>464</v>
      </c>
      <c r="BT512" s="79" t="s">
        <v>464</v>
      </c>
      <c r="BU512" s="79" t="s">
        <v>1266</v>
      </c>
      <c r="BV512" s="79">
        <v>450</v>
      </c>
      <c r="BX512" s="79" t="s">
        <v>1287</v>
      </c>
      <c r="BZ512" s="81">
        <v>0</v>
      </c>
      <c r="CA512" t="e">
        <f t="shared" si="97"/>
        <v>#NUM!</v>
      </c>
    </row>
    <row r="513" spans="1:79" x14ac:dyDescent="0.3">
      <c r="A513" s="2" t="s">
        <v>46</v>
      </c>
      <c r="B513" s="13" t="s">
        <v>722</v>
      </c>
      <c r="C513" s="13"/>
      <c r="D513" s="2">
        <v>3.87</v>
      </c>
      <c r="E513" s="2" t="s">
        <v>234</v>
      </c>
      <c r="F513" s="9" t="s">
        <v>551</v>
      </c>
      <c r="G513" t="s">
        <v>629</v>
      </c>
      <c r="I513" s="2"/>
      <c r="J513" s="25">
        <v>2</v>
      </c>
      <c r="K513">
        <v>4</v>
      </c>
      <c r="L513">
        <v>0</v>
      </c>
      <c r="M513" s="2"/>
      <c r="N513" s="2"/>
      <c r="O513" s="2"/>
      <c r="P513" s="2"/>
      <c r="Q513" s="2"/>
      <c r="R513" s="25">
        <v>7.41544296</v>
      </c>
      <c r="S513" s="25">
        <v>7.4154429599999991</v>
      </c>
      <c r="T513" s="25">
        <v>7.41544296</v>
      </c>
      <c r="U513">
        <v>7.8</v>
      </c>
      <c r="V513">
        <v>13.010999999999999</v>
      </c>
      <c r="W513">
        <v>5.5460000000000003</v>
      </c>
      <c r="X513">
        <v>0</v>
      </c>
      <c r="AA513" s="2"/>
      <c r="AB513">
        <v>14</v>
      </c>
      <c r="AC513" s="55">
        <f t="shared" ref="AC513" si="122">M513*N513*O513</f>
        <v>0</v>
      </c>
      <c r="AD513" s="57">
        <v>288.33429290182369</v>
      </c>
      <c r="AE513" s="55">
        <v>556.51188553357167</v>
      </c>
      <c r="AF513" s="55">
        <v>0</v>
      </c>
      <c r="AG513" s="52"/>
      <c r="AH513" s="51">
        <v>9.7109503410799117E-2</v>
      </c>
      <c r="AI513" s="52">
        <v>0.10062678166578309</v>
      </c>
      <c r="AJ513" s="52"/>
      <c r="AK513" s="28">
        <v>2</v>
      </c>
      <c r="AL513" s="28">
        <v>2.545454545454545</v>
      </c>
      <c r="AM513" s="28">
        <v>0.54545454545454541</v>
      </c>
      <c r="AN513" s="28">
        <v>0</v>
      </c>
      <c r="AO513" s="28">
        <v>0.39285714285714279</v>
      </c>
      <c r="AP513" s="28">
        <v>0.5</v>
      </c>
      <c r="AQ513" s="28">
        <v>0.1071428571428571</v>
      </c>
      <c r="AR513" s="28">
        <v>0</v>
      </c>
      <c r="AS513" s="25">
        <v>1.1000000000000001</v>
      </c>
      <c r="AT513" s="25">
        <v>3.44</v>
      </c>
      <c r="AU513" s="25">
        <v>2.34</v>
      </c>
      <c r="AV513" s="25">
        <v>2.669090909090909</v>
      </c>
      <c r="AW513">
        <v>2.669090909090909</v>
      </c>
      <c r="AX513">
        <v>5.9831974772727277</v>
      </c>
      <c r="AY513" s="75">
        <v>0.52442413903612473</v>
      </c>
      <c r="AZ513" s="75">
        <v>0.54341863036636606</v>
      </c>
      <c r="BA513" s="75"/>
      <c r="BC513">
        <v>4.8554751705399558E-2</v>
      </c>
      <c r="BD513">
        <v>5.0313390832891547E-2</v>
      </c>
      <c r="BF513">
        <v>9.8868142538291098E-2</v>
      </c>
      <c r="BG513">
        <v>4.9434071269145549E-2</v>
      </c>
      <c r="BH513">
        <v>0.53392138470124539</v>
      </c>
      <c r="BI513" s="79" t="s">
        <v>1305</v>
      </c>
      <c r="BJ513" s="79">
        <f>800+273</f>
        <v>1073</v>
      </c>
      <c r="BK513" s="79">
        <v>2</v>
      </c>
      <c r="BM513" s="79" t="s">
        <v>1275</v>
      </c>
      <c r="BN513" s="79" t="s">
        <v>56</v>
      </c>
      <c r="BO513" s="79">
        <v>1</v>
      </c>
      <c r="BP513" s="79">
        <v>19</v>
      </c>
      <c r="BQ513" s="79">
        <v>0.6</v>
      </c>
      <c r="BR513" s="79">
        <v>0</v>
      </c>
      <c r="BS513" s="79" t="s">
        <v>464</v>
      </c>
      <c r="BT513" s="79" t="s">
        <v>464</v>
      </c>
      <c r="BU513" s="79" t="s">
        <v>1266</v>
      </c>
      <c r="BV513" s="79">
        <v>450</v>
      </c>
      <c r="BX513" s="79" t="s">
        <v>1287</v>
      </c>
      <c r="BZ513" s="81">
        <v>2</v>
      </c>
      <c r="CA513">
        <f t="shared" si="97"/>
        <v>0.69314718055994529</v>
      </c>
    </row>
    <row r="514" spans="1:79" x14ac:dyDescent="0.3">
      <c r="A514" s="2" t="s">
        <v>46</v>
      </c>
      <c r="B514" s="13" t="s">
        <v>722</v>
      </c>
      <c r="C514" s="13"/>
      <c r="D514" s="2">
        <v>3.87</v>
      </c>
      <c r="E514" s="2" t="s">
        <v>234</v>
      </c>
      <c r="F514" s="9" t="s">
        <v>551</v>
      </c>
      <c r="G514" t="s">
        <v>629</v>
      </c>
      <c r="I514" s="2"/>
      <c r="J514" s="25">
        <v>2</v>
      </c>
      <c r="K514">
        <v>4</v>
      </c>
      <c r="L514">
        <v>0</v>
      </c>
      <c r="M514" s="2"/>
      <c r="N514" s="2"/>
      <c r="O514" s="2"/>
      <c r="P514" s="2"/>
      <c r="Q514" s="2"/>
      <c r="R514" s="25">
        <v>7.41544296</v>
      </c>
      <c r="S514" s="25">
        <v>7.4154429599999991</v>
      </c>
      <c r="T514" s="25">
        <v>7.41544296</v>
      </c>
      <c r="U514">
        <v>7.8</v>
      </c>
      <c r="V514">
        <v>13.010999999999999</v>
      </c>
      <c r="W514">
        <v>5.5460000000000003</v>
      </c>
      <c r="X514">
        <v>0</v>
      </c>
      <c r="AA514" s="2"/>
      <c r="AB514">
        <v>14</v>
      </c>
      <c r="AC514" s="55">
        <f t="shared" ref="AC514:AC515" si="123">M514*N514*O514</f>
        <v>0</v>
      </c>
      <c r="AD514" s="57">
        <v>288.33429290182369</v>
      </c>
      <c r="AE514" s="55">
        <v>556.51188553357167</v>
      </c>
      <c r="AF514" s="55">
        <v>0</v>
      </c>
      <c r="AG514" s="52"/>
      <c r="AH514" s="51">
        <v>9.7109503410799117E-2</v>
      </c>
      <c r="AI514" s="52">
        <v>0.10062678166578309</v>
      </c>
      <c r="AJ514" s="52"/>
      <c r="AK514" s="28">
        <v>2</v>
      </c>
      <c r="AL514" s="28">
        <v>2.545454545454545</v>
      </c>
      <c r="AM514" s="28">
        <v>0.54545454545454541</v>
      </c>
      <c r="AN514" s="28">
        <v>0</v>
      </c>
      <c r="AO514" s="28">
        <v>0.39285714285714279</v>
      </c>
      <c r="AP514" s="28">
        <v>0.5</v>
      </c>
      <c r="AQ514" s="28">
        <v>0.1071428571428571</v>
      </c>
      <c r="AR514" s="28">
        <v>0</v>
      </c>
      <c r="AS514" s="25">
        <v>1.1000000000000001</v>
      </c>
      <c r="AT514" s="25">
        <v>3.44</v>
      </c>
      <c r="AU514" s="25">
        <v>2.34</v>
      </c>
      <c r="AV514" s="25">
        <v>2.669090909090909</v>
      </c>
      <c r="AW514">
        <v>2.669090909090909</v>
      </c>
      <c r="AX514">
        <v>5.9831974772727277</v>
      </c>
      <c r="AY514" s="75">
        <v>0.52442413903612473</v>
      </c>
      <c r="AZ514" s="75">
        <v>0.54341863036636606</v>
      </c>
      <c r="BA514" s="75"/>
      <c r="BC514">
        <v>4.8554751705399558E-2</v>
      </c>
      <c r="BD514">
        <v>5.0313390832891547E-2</v>
      </c>
      <c r="BF514">
        <v>9.8868142538291098E-2</v>
      </c>
      <c r="BG514">
        <v>4.9434071269145549E-2</v>
      </c>
      <c r="BH514">
        <v>0.53392138470124539</v>
      </c>
      <c r="BI514" s="79" t="s">
        <v>1305</v>
      </c>
      <c r="BJ514" s="79">
        <f>850+273</f>
        <v>1123</v>
      </c>
      <c r="BK514" s="79">
        <v>2</v>
      </c>
      <c r="BM514" s="79" t="s">
        <v>1275</v>
      </c>
      <c r="BN514" s="79" t="s">
        <v>56</v>
      </c>
      <c r="BO514" s="79">
        <v>1</v>
      </c>
      <c r="BP514" s="79">
        <v>17</v>
      </c>
      <c r="BQ514" s="79">
        <v>0.6</v>
      </c>
      <c r="BR514" s="79">
        <v>0</v>
      </c>
      <c r="BS514" s="79" t="s">
        <v>464</v>
      </c>
      <c r="BT514" s="79" t="s">
        <v>464</v>
      </c>
      <c r="BU514" s="79" t="s">
        <v>1266</v>
      </c>
      <c r="BV514" s="79">
        <v>450</v>
      </c>
      <c r="BX514" s="79" t="s">
        <v>1287</v>
      </c>
      <c r="BZ514" s="81">
        <v>7</v>
      </c>
      <c r="CA514">
        <f t="shared" si="97"/>
        <v>1.9459101490553132</v>
      </c>
    </row>
    <row r="515" spans="1:79" x14ac:dyDescent="0.3">
      <c r="A515" s="2" t="s">
        <v>46</v>
      </c>
      <c r="B515" s="13" t="s">
        <v>722</v>
      </c>
      <c r="C515" s="13"/>
      <c r="D515" s="2">
        <v>3.87</v>
      </c>
      <c r="E515" s="2" t="s">
        <v>234</v>
      </c>
      <c r="F515" s="9" t="s">
        <v>551</v>
      </c>
      <c r="G515" t="s">
        <v>629</v>
      </c>
      <c r="I515" s="2"/>
      <c r="J515" s="25">
        <v>2</v>
      </c>
      <c r="K515">
        <v>4</v>
      </c>
      <c r="L515">
        <v>0</v>
      </c>
      <c r="M515" s="2"/>
      <c r="N515" s="2"/>
      <c r="O515" s="2"/>
      <c r="P515" s="2"/>
      <c r="Q515" s="2"/>
      <c r="R515" s="25">
        <v>7.41544296</v>
      </c>
      <c r="S515" s="25">
        <v>7.4154429599999991</v>
      </c>
      <c r="T515" s="25">
        <v>7.41544296</v>
      </c>
      <c r="U515">
        <v>7.8</v>
      </c>
      <c r="V515">
        <v>13.010999999999999</v>
      </c>
      <c r="W515">
        <v>5.5460000000000003</v>
      </c>
      <c r="X515">
        <v>0</v>
      </c>
      <c r="AA515" s="2"/>
      <c r="AB515">
        <v>14</v>
      </c>
      <c r="AC515" s="55">
        <f t="shared" si="123"/>
        <v>0</v>
      </c>
      <c r="AD515" s="57">
        <v>288.33429290182369</v>
      </c>
      <c r="AE515" s="55">
        <v>556.51188553357167</v>
      </c>
      <c r="AF515" s="55">
        <v>0</v>
      </c>
      <c r="AG515" s="52"/>
      <c r="AH515" s="51">
        <v>9.7109503410799117E-2</v>
      </c>
      <c r="AI515" s="52">
        <v>0.10062678166578309</v>
      </c>
      <c r="AJ515" s="52"/>
      <c r="AK515" s="28">
        <v>2</v>
      </c>
      <c r="AL515" s="28">
        <v>2.545454545454545</v>
      </c>
      <c r="AM515" s="28">
        <v>0.54545454545454541</v>
      </c>
      <c r="AN515" s="28">
        <v>0</v>
      </c>
      <c r="AO515" s="28">
        <v>0.39285714285714279</v>
      </c>
      <c r="AP515" s="28">
        <v>0.5</v>
      </c>
      <c r="AQ515" s="28">
        <v>0.1071428571428571</v>
      </c>
      <c r="AR515" s="28">
        <v>0</v>
      </c>
      <c r="AS515" s="25">
        <v>1.1000000000000001</v>
      </c>
      <c r="AT515" s="25">
        <v>3.44</v>
      </c>
      <c r="AU515" s="25">
        <v>2.34</v>
      </c>
      <c r="AV515" s="25">
        <v>2.669090909090909</v>
      </c>
      <c r="AW515">
        <v>2.669090909090909</v>
      </c>
      <c r="AX515">
        <v>5.9831974772727277</v>
      </c>
      <c r="AY515" s="75">
        <v>0.52442413903612473</v>
      </c>
      <c r="AZ515" s="75">
        <v>0.54341863036636606</v>
      </c>
      <c r="BA515" s="75"/>
      <c r="BC515">
        <v>4.8554751705399558E-2</v>
      </c>
      <c r="BD515">
        <v>5.0313390832891547E-2</v>
      </c>
      <c r="BF515">
        <v>9.8868142538291098E-2</v>
      </c>
      <c r="BG515">
        <v>4.9434071269145549E-2</v>
      </c>
      <c r="BH515">
        <v>0.53392138470124539</v>
      </c>
      <c r="BI515" s="79" t="s">
        <v>1305</v>
      </c>
      <c r="BJ515" s="79">
        <f>900+273</f>
        <v>1173</v>
      </c>
      <c r="BK515" s="79">
        <v>2</v>
      </c>
      <c r="BM515" s="79" t="s">
        <v>1275</v>
      </c>
      <c r="BN515" s="79" t="s">
        <v>56</v>
      </c>
      <c r="BO515" s="79">
        <v>1</v>
      </c>
      <c r="BP515" s="79">
        <v>12</v>
      </c>
      <c r="BQ515" s="79">
        <v>0.6</v>
      </c>
      <c r="BR515" s="79">
        <v>0</v>
      </c>
      <c r="BS515" s="79" t="s">
        <v>464</v>
      </c>
      <c r="BT515" s="79" t="s">
        <v>464</v>
      </c>
      <c r="BU515" s="79" t="s">
        <v>1266</v>
      </c>
      <c r="BV515" s="79">
        <v>450</v>
      </c>
      <c r="BX515" s="79" t="s">
        <v>1287</v>
      </c>
      <c r="BZ515" s="81">
        <v>11</v>
      </c>
      <c r="CA515">
        <f t="shared" ref="CA515:CA578" si="124">LN(BZ515)</f>
        <v>2.3978952727983707</v>
      </c>
    </row>
    <row r="516" spans="1:79" x14ac:dyDescent="0.3">
      <c r="A516" s="2" t="s">
        <v>46</v>
      </c>
      <c r="B516" s="13" t="s">
        <v>722</v>
      </c>
      <c r="C516" s="13"/>
      <c r="D516" s="2">
        <v>3.87</v>
      </c>
      <c r="E516" s="2" t="s">
        <v>234</v>
      </c>
      <c r="F516" s="9" t="s">
        <v>551</v>
      </c>
      <c r="G516" t="s">
        <v>629</v>
      </c>
      <c r="I516" s="2"/>
      <c r="J516" s="25">
        <v>2</v>
      </c>
      <c r="K516">
        <v>4</v>
      </c>
      <c r="L516">
        <v>0</v>
      </c>
      <c r="M516" s="2"/>
      <c r="N516" s="2"/>
      <c r="O516" s="2"/>
      <c r="P516" s="2"/>
      <c r="Q516" s="2"/>
      <c r="R516" s="25">
        <v>7.41544296</v>
      </c>
      <c r="S516" s="25">
        <v>7.4154429599999991</v>
      </c>
      <c r="T516" s="25">
        <v>7.41544296</v>
      </c>
      <c r="U516">
        <v>7.8</v>
      </c>
      <c r="V516">
        <v>13.010999999999999</v>
      </c>
      <c r="W516">
        <v>5.5460000000000003</v>
      </c>
      <c r="X516">
        <v>0</v>
      </c>
      <c r="AA516" s="2"/>
      <c r="AB516">
        <v>14</v>
      </c>
      <c r="AC516" s="55">
        <f t="shared" ref="AC516:AC519" si="125">M516*N516*O516</f>
        <v>0</v>
      </c>
      <c r="AD516" s="57">
        <v>288.33429290182369</v>
      </c>
      <c r="AE516" s="55">
        <v>556.51188553357167</v>
      </c>
      <c r="AF516" s="55">
        <v>0</v>
      </c>
      <c r="AG516" s="52"/>
      <c r="AH516" s="51">
        <v>9.7109503410799117E-2</v>
      </c>
      <c r="AI516" s="52">
        <v>0.10062678166578309</v>
      </c>
      <c r="AJ516" s="52"/>
      <c r="AK516" s="28">
        <v>2</v>
      </c>
      <c r="AL516" s="28">
        <v>2.545454545454545</v>
      </c>
      <c r="AM516" s="28">
        <v>0.54545454545454541</v>
      </c>
      <c r="AN516" s="28">
        <v>0</v>
      </c>
      <c r="AO516" s="28">
        <v>0.39285714285714279</v>
      </c>
      <c r="AP516" s="28">
        <v>0.5</v>
      </c>
      <c r="AQ516" s="28">
        <v>0.1071428571428571</v>
      </c>
      <c r="AR516" s="28">
        <v>0</v>
      </c>
      <c r="AS516" s="25">
        <v>1.1000000000000001</v>
      </c>
      <c r="AT516" s="25">
        <v>3.44</v>
      </c>
      <c r="AU516" s="25">
        <v>2.34</v>
      </c>
      <c r="AV516" s="25">
        <v>2.669090909090909</v>
      </c>
      <c r="AW516">
        <v>2.669090909090909</v>
      </c>
      <c r="AX516">
        <v>5.9831974772727277</v>
      </c>
      <c r="AY516" s="75">
        <v>0.52442413903612473</v>
      </c>
      <c r="AZ516" s="75">
        <v>0.54341863036636606</v>
      </c>
      <c r="BA516" s="75"/>
      <c r="BC516">
        <v>4.8554751705399558E-2</v>
      </c>
      <c r="BD516">
        <v>5.0313390832891547E-2</v>
      </c>
      <c r="BF516">
        <v>9.8868142538291098E-2</v>
      </c>
      <c r="BG516">
        <v>4.9434071269145549E-2</v>
      </c>
      <c r="BH516">
        <v>0.53392138470124539</v>
      </c>
      <c r="BI516" s="79" t="s">
        <v>1305</v>
      </c>
      <c r="BJ516" s="79">
        <f>950+273</f>
        <v>1223</v>
      </c>
      <c r="BK516" s="79">
        <v>2</v>
      </c>
      <c r="BM516" s="79" t="s">
        <v>1275</v>
      </c>
      <c r="BN516" s="79" t="s">
        <v>56</v>
      </c>
      <c r="BO516" s="79">
        <v>1</v>
      </c>
      <c r="BP516" s="79">
        <v>8</v>
      </c>
      <c r="BQ516" s="79">
        <v>0.6</v>
      </c>
      <c r="BR516" s="79">
        <v>0</v>
      </c>
      <c r="BS516" s="79" t="s">
        <v>464</v>
      </c>
      <c r="BT516" s="79" t="s">
        <v>464</v>
      </c>
      <c r="BU516" s="79" t="s">
        <v>1266</v>
      </c>
      <c r="BV516" s="79">
        <v>450</v>
      </c>
      <c r="BX516" s="79" t="s">
        <v>1287</v>
      </c>
      <c r="BZ516" s="81">
        <v>18</v>
      </c>
      <c r="CA516">
        <f t="shared" si="124"/>
        <v>2.8903717578961645</v>
      </c>
    </row>
    <row r="517" spans="1:79" x14ac:dyDescent="0.3">
      <c r="A517" s="2" t="s">
        <v>46</v>
      </c>
      <c r="B517" s="13" t="s">
        <v>722</v>
      </c>
      <c r="C517" s="13"/>
      <c r="D517" s="2">
        <v>3.87</v>
      </c>
      <c r="E517" s="2" t="s">
        <v>234</v>
      </c>
      <c r="F517" s="9" t="s">
        <v>551</v>
      </c>
      <c r="G517" t="s">
        <v>629</v>
      </c>
      <c r="I517" s="2"/>
      <c r="J517" s="25">
        <v>2</v>
      </c>
      <c r="K517">
        <v>4</v>
      </c>
      <c r="L517">
        <v>0</v>
      </c>
      <c r="M517" s="2"/>
      <c r="N517" s="2"/>
      <c r="O517" s="2"/>
      <c r="P517" s="2"/>
      <c r="Q517" s="2"/>
      <c r="R517" s="25">
        <v>7.41544296</v>
      </c>
      <c r="S517" s="25">
        <v>7.4154429599999991</v>
      </c>
      <c r="T517" s="25">
        <v>7.41544296</v>
      </c>
      <c r="U517">
        <v>7.8</v>
      </c>
      <c r="V517">
        <v>13.010999999999999</v>
      </c>
      <c r="W517">
        <v>5.5460000000000003</v>
      </c>
      <c r="X517">
        <v>0</v>
      </c>
      <c r="AA517" s="2"/>
      <c r="AB517">
        <v>14</v>
      </c>
      <c r="AC517" s="55">
        <f t="shared" si="125"/>
        <v>0</v>
      </c>
      <c r="AD517" s="57">
        <v>288.33429290182369</v>
      </c>
      <c r="AE517" s="55">
        <v>556.51188553357167</v>
      </c>
      <c r="AF517" s="55">
        <v>0</v>
      </c>
      <c r="AG517" s="52"/>
      <c r="AH517" s="51">
        <v>9.7109503410799117E-2</v>
      </c>
      <c r="AI517" s="52">
        <v>0.10062678166578309</v>
      </c>
      <c r="AJ517" s="52"/>
      <c r="AK517" s="28">
        <v>2</v>
      </c>
      <c r="AL517" s="28">
        <v>2.545454545454545</v>
      </c>
      <c r="AM517" s="28">
        <v>0.54545454545454541</v>
      </c>
      <c r="AN517" s="28">
        <v>0</v>
      </c>
      <c r="AO517" s="28">
        <v>0.39285714285714279</v>
      </c>
      <c r="AP517" s="28">
        <v>0.5</v>
      </c>
      <c r="AQ517" s="28">
        <v>0.1071428571428571</v>
      </c>
      <c r="AR517" s="28">
        <v>0</v>
      </c>
      <c r="AS517" s="25">
        <v>1.1000000000000001</v>
      </c>
      <c r="AT517" s="25">
        <v>3.44</v>
      </c>
      <c r="AU517" s="25">
        <v>2.34</v>
      </c>
      <c r="AV517" s="25">
        <v>2.669090909090909</v>
      </c>
      <c r="AW517">
        <v>2.669090909090909</v>
      </c>
      <c r="AX517">
        <v>5.9831974772727277</v>
      </c>
      <c r="AY517" s="75">
        <v>0.52442413903612473</v>
      </c>
      <c r="AZ517" s="75">
        <v>0.54341863036636606</v>
      </c>
      <c r="BA517" s="75"/>
      <c r="BC517">
        <v>4.8554751705399558E-2</v>
      </c>
      <c r="BD517">
        <v>5.0313390832891547E-2</v>
      </c>
      <c r="BF517">
        <v>9.8868142538291098E-2</v>
      </c>
      <c r="BG517">
        <v>4.9434071269145549E-2</v>
      </c>
      <c r="BH517">
        <v>0.53392138470124539</v>
      </c>
      <c r="BI517" s="79" t="s">
        <v>1305</v>
      </c>
      <c r="BJ517" s="79">
        <f>1000+273</f>
        <v>1273</v>
      </c>
      <c r="BK517" s="79">
        <v>2</v>
      </c>
      <c r="BM517" s="79" t="s">
        <v>1275</v>
      </c>
      <c r="BN517" s="79" t="s">
        <v>56</v>
      </c>
      <c r="BO517" s="79">
        <v>1</v>
      </c>
      <c r="BP517" s="79">
        <v>6</v>
      </c>
      <c r="BQ517" s="79">
        <v>0.6</v>
      </c>
      <c r="BR517" s="79">
        <v>0</v>
      </c>
      <c r="BS517" s="79" t="s">
        <v>464</v>
      </c>
      <c r="BT517" s="79" t="s">
        <v>464</v>
      </c>
      <c r="BU517" s="79" t="s">
        <v>1266</v>
      </c>
      <c r="BV517" s="79">
        <v>450</v>
      </c>
      <c r="BX517" s="79" t="s">
        <v>1287</v>
      </c>
      <c r="BZ517" s="81">
        <v>47</v>
      </c>
      <c r="CA517">
        <f t="shared" si="124"/>
        <v>3.8501476017100584</v>
      </c>
    </row>
    <row r="518" spans="1:79" x14ac:dyDescent="0.3">
      <c r="A518" s="2" t="s">
        <v>46</v>
      </c>
      <c r="B518" s="13" t="s">
        <v>722</v>
      </c>
      <c r="C518" s="13"/>
      <c r="D518" s="2">
        <v>3.87</v>
      </c>
      <c r="E518" s="2" t="s">
        <v>234</v>
      </c>
      <c r="F518" s="9" t="s">
        <v>551</v>
      </c>
      <c r="G518" t="s">
        <v>629</v>
      </c>
      <c r="I518" s="2"/>
      <c r="J518" s="25">
        <v>2</v>
      </c>
      <c r="K518">
        <v>4</v>
      </c>
      <c r="L518">
        <v>0</v>
      </c>
      <c r="M518" s="2"/>
      <c r="N518" s="2"/>
      <c r="O518" s="2"/>
      <c r="P518" s="2"/>
      <c r="Q518" s="2"/>
      <c r="R518" s="25">
        <v>7.41544296</v>
      </c>
      <c r="S518" s="25">
        <v>7.4154429599999991</v>
      </c>
      <c r="T518" s="25">
        <v>7.41544296</v>
      </c>
      <c r="U518">
        <v>7.8</v>
      </c>
      <c r="V518">
        <v>13.010999999999999</v>
      </c>
      <c r="W518">
        <v>5.5460000000000003</v>
      </c>
      <c r="X518">
        <v>0</v>
      </c>
      <c r="AA518" s="2"/>
      <c r="AB518">
        <v>14</v>
      </c>
      <c r="AC518" s="55">
        <f t="shared" si="125"/>
        <v>0</v>
      </c>
      <c r="AD518" s="57">
        <v>288.33429290182369</v>
      </c>
      <c r="AE518" s="55">
        <v>556.51188553357167</v>
      </c>
      <c r="AF518" s="55">
        <v>0</v>
      </c>
      <c r="AG518" s="52"/>
      <c r="AH518" s="51">
        <v>9.7109503410799117E-2</v>
      </c>
      <c r="AI518" s="52">
        <v>0.10062678166578309</v>
      </c>
      <c r="AJ518" s="52"/>
      <c r="AK518" s="28">
        <v>2</v>
      </c>
      <c r="AL518" s="28">
        <v>2.545454545454545</v>
      </c>
      <c r="AM518" s="28">
        <v>0.54545454545454541</v>
      </c>
      <c r="AN518" s="28">
        <v>0</v>
      </c>
      <c r="AO518" s="28">
        <v>0.39285714285714279</v>
      </c>
      <c r="AP518" s="28">
        <v>0.5</v>
      </c>
      <c r="AQ518" s="28">
        <v>0.1071428571428571</v>
      </c>
      <c r="AR518" s="28">
        <v>0</v>
      </c>
      <c r="AS518" s="25">
        <v>1.1000000000000001</v>
      </c>
      <c r="AT518" s="25">
        <v>3.44</v>
      </c>
      <c r="AU518" s="25">
        <v>2.34</v>
      </c>
      <c r="AV518" s="25">
        <v>2.669090909090909</v>
      </c>
      <c r="AW518">
        <v>2.669090909090909</v>
      </c>
      <c r="AX518">
        <v>5.9831974772727277</v>
      </c>
      <c r="AY518" s="75">
        <v>0.52442413903612473</v>
      </c>
      <c r="AZ518" s="75">
        <v>0.54341863036636606</v>
      </c>
      <c r="BA518" s="75"/>
      <c r="BC518">
        <v>4.8554751705399558E-2</v>
      </c>
      <c r="BD518">
        <v>5.0313390832891547E-2</v>
      </c>
      <c r="BF518">
        <v>9.8868142538291098E-2</v>
      </c>
      <c r="BG518">
        <v>4.9434071269145549E-2</v>
      </c>
      <c r="BH518">
        <v>0.53392138470124539</v>
      </c>
      <c r="BI518" s="79" t="s">
        <v>1305</v>
      </c>
      <c r="BJ518" s="79">
        <f>1050+273</f>
        <v>1323</v>
      </c>
      <c r="BK518" s="79">
        <v>2</v>
      </c>
      <c r="BM518" s="79" t="s">
        <v>1275</v>
      </c>
      <c r="BN518" s="79" t="s">
        <v>56</v>
      </c>
      <c r="BO518" s="79">
        <v>1</v>
      </c>
      <c r="BP518" s="79">
        <v>5</v>
      </c>
      <c r="BQ518" s="79">
        <v>0.6</v>
      </c>
      <c r="BR518" s="79">
        <v>0</v>
      </c>
      <c r="BS518" s="79" t="s">
        <v>464</v>
      </c>
      <c r="BT518" s="79" t="s">
        <v>464</v>
      </c>
      <c r="BU518" s="79" t="s">
        <v>1266</v>
      </c>
      <c r="BV518" s="79">
        <v>450</v>
      </c>
      <c r="BX518" s="79" t="s">
        <v>1287</v>
      </c>
      <c r="BZ518" s="81">
        <v>960</v>
      </c>
      <c r="CA518">
        <f t="shared" si="124"/>
        <v>6.866933284461882</v>
      </c>
    </row>
    <row r="519" spans="1:79" x14ac:dyDescent="0.3">
      <c r="A519" s="2" t="s">
        <v>46</v>
      </c>
      <c r="B519" s="13" t="s">
        <v>722</v>
      </c>
      <c r="C519" s="13"/>
      <c r="D519" s="2">
        <v>3.87</v>
      </c>
      <c r="E519" s="2" t="s">
        <v>234</v>
      </c>
      <c r="F519" s="9" t="s">
        <v>551</v>
      </c>
      <c r="G519" t="s">
        <v>629</v>
      </c>
      <c r="I519" s="2"/>
      <c r="J519" s="25">
        <v>2</v>
      </c>
      <c r="K519">
        <v>4</v>
      </c>
      <c r="L519">
        <v>0</v>
      </c>
      <c r="M519" s="2"/>
      <c r="N519" s="2"/>
      <c r="O519" s="2"/>
      <c r="P519" s="2"/>
      <c r="Q519" s="2"/>
      <c r="R519" s="25">
        <v>7.41544296</v>
      </c>
      <c r="S519" s="25">
        <v>7.4154429599999991</v>
      </c>
      <c r="T519" s="25">
        <v>7.41544296</v>
      </c>
      <c r="U519">
        <v>7.8</v>
      </c>
      <c r="V519">
        <v>13.010999999999999</v>
      </c>
      <c r="W519">
        <v>5.5460000000000003</v>
      </c>
      <c r="X519">
        <v>0</v>
      </c>
      <c r="AA519" s="2"/>
      <c r="AB519">
        <v>14</v>
      </c>
      <c r="AC519" s="55">
        <f t="shared" si="125"/>
        <v>0</v>
      </c>
      <c r="AD519" s="57">
        <v>288.33429290182369</v>
      </c>
      <c r="AE519" s="55">
        <v>556.51188553357167</v>
      </c>
      <c r="AF519" s="55">
        <v>0</v>
      </c>
      <c r="AG519" s="52"/>
      <c r="AH519" s="51">
        <v>9.7109503410799117E-2</v>
      </c>
      <c r="AI519" s="52">
        <v>0.10062678166578309</v>
      </c>
      <c r="AJ519" s="52"/>
      <c r="AK519" s="28">
        <v>2</v>
      </c>
      <c r="AL519" s="28">
        <v>2.545454545454545</v>
      </c>
      <c r="AM519" s="28">
        <v>0.54545454545454541</v>
      </c>
      <c r="AN519" s="28">
        <v>0</v>
      </c>
      <c r="AO519" s="28">
        <v>0.39285714285714279</v>
      </c>
      <c r="AP519" s="28">
        <v>0.5</v>
      </c>
      <c r="AQ519" s="28">
        <v>0.1071428571428571</v>
      </c>
      <c r="AR519" s="28">
        <v>0</v>
      </c>
      <c r="AS519" s="25">
        <v>1.1000000000000001</v>
      </c>
      <c r="AT519" s="25">
        <v>3.44</v>
      </c>
      <c r="AU519" s="25">
        <v>2.34</v>
      </c>
      <c r="AV519" s="25">
        <v>2.669090909090909</v>
      </c>
      <c r="AW519">
        <v>2.669090909090909</v>
      </c>
      <c r="AX519">
        <v>5.9831974772727277</v>
      </c>
      <c r="AY519" s="75">
        <v>0.52442413903612473</v>
      </c>
      <c r="AZ519" s="75">
        <v>0.54341863036636606</v>
      </c>
      <c r="BA519" s="75"/>
      <c r="BC519">
        <v>4.8554751705399558E-2</v>
      </c>
      <c r="BD519">
        <v>5.0313390832891547E-2</v>
      </c>
      <c r="BF519">
        <v>9.8868142538291098E-2</v>
      </c>
      <c r="BG519">
        <v>4.9434071269145549E-2</v>
      </c>
      <c r="BH519">
        <v>0.53392138470124539</v>
      </c>
      <c r="BI519" s="79" t="s">
        <v>1305</v>
      </c>
      <c r="BJ519" s="79">
        <f>1100+273</f>
        <v>1373</v>
      </c>
      <c r="BK519" s="79">
        <v>2</v>
      </c>
      <c r="BM519" s="79" t="s">
        <v>1275</v>
      </c>
      <c r="BN519" s="79" t="s">
        <v>56</v>
      </c>
      <c r="BO519" s="79">
        <v>1</v>
      </c>
      <c r="BP519" s="79">
        <v>2</v>
      </c>
      <c r="BQ519" s="79">
        <v>0.6</v>
      </c>
      <c r="BR519" s="79">
        <v>0</v>
      </c>
      <c r="BS519" s="79" t="s">
        <v>464</v>
      </c>
      <c r="BT519" s="79" t="s">
        <v>464</v>
      </c>
      <c r="BU519" s="79" t="s">
        <v>1266</v>
      </c>
      <c r="BV519" s="79">
        <v>450</v>
      </c>
      <c r="BX519" s="79" t="s">
        <v>1287</v>
      </c>
      <c r="BZ519" s="81">
        <v>790</v>
      </c>
      <c r="CA519">
        <f t="shared" si="124"/>
        <v>6.6720329454610674</v>
      </c>
    </row>
    <row r="520" spans="1:79" x14ac:dyDescent="0.3">
      <c r="A520" s="2" t="s">
        <v>46</v>
      </c>
      <c r="B520" s="13" t="s">
        <v>722</v>
      </c>
      <c r="C520" s="13"/>
      <c r="D520" s="2">
        <v>3.87</v>
      </c>
      <c r="E520" s="2" t="s">
        <v>234</v>
      </c>
      <c r="F520" s="9" t="s">
        <v>551</v>
      </c>
      <c r="G520" t="s">
        <v>629</v>
      </c>
      <c r="I520" s="2"/>
      <c r="J520" s="25">
        <v>2</v>
      </c>
      <c r="K520">
        <v>4</v>
      </c>
      <c r="L520">
        <v>0</v>
      </c>
      <c r="M520" s="2"/>
      <c r="N520" s="2"/>
      <c r="O520" s="2"/>
      <c r="P520" s="2"/>
      <c r="Q520" s="2"/>
      <c r="R520" s="25">
        <v>7.41544296</v>
      </c>
      <c r="S520" s="25">
        <v>7.4154429599999991</v>
      </c>
      <c r="T520" s="25">
        <v>7.41544296</v>
      </c>
      <c r="U520">
        <v>7.8</v>
      </c>
      <c r="V520">
        <v>13.010999999999999</v>
      </c>
      <c r="W520">
        <v>5.5460000000000003</v>
      </c>
      <c r="X520">
        <v>0</v>
      </c>
      <c r="AA520" s="2"/>
      <c r="AB520">
        <v>14</v>
      </c>
      <c r="AC520" s="55">
        <f t="shared" ref="AC520:AC524" si="126">M520*N520*O520</f>
        <v>0</v>
      </c>
      <c r="AD520" s="57">
        <v>288.33429290182369</v>
      </c>
      <c r="AE520" s="55">
        <v>556.51188553357167</v>
      </c>
      <c r="AF520" s="55">
        <v>0</v>
      </c>
      <c r="AG520" s="52"/>
      <c r="AH520" s="51">
        <v>9.7109503410799117E-2</v>
      </c>
      <c r="AI520" s="52">
        <v>0.10062678166578309</v>
      </c>
      <c r="AJ520" s="52"/>
      <c r="AK520" s="28">
        <v>2</v>
      </c>
      <c r="AL520" s="28">
        <v>2.545454545454545</v>
      </c>
      <c r="AM520" s="28">
        <v>0.54545454545454541</v>
      </c>
      <c r="AN520" s="28">
        <v>0</v>
      </c>
      <c r="AO520" s="28">
        <v>0.39285714285714279</v>
      </c>
      <c r="AP520" s="28">
        <v>0.5</v>
      </c>
      <c r="AQ520" s="28">
        <v>0.1071428571428571</v>
      </c>
      <c r="AR520" s="28">
        <v>0</v>
      </c>
      <c r="AS520" s="25">
        <v>1.1000000000000001</v>
      </c>
      <c r="AT520" s="25">
        <v>3.44</v>
      </c>
      <c r="AU520" s="25">
        <v>2.34</v>
      </c>
      <c r="AV520" s="25">
        <v>2.669090909090909</v>
      </c>
      <c r="AW520">
        <v>2.669090909090909</v>
      </c>
      <c r="AX520">
        <v>5.9831974772727277</v>
      </c>
      <c r="AY520" s="75">
        <v>0.52442413903612473</v>
      </c>
      <c r="AZ520" s="75">
        <v>0.54341863036636606</v>
      </c>
      <c r="BA520" s="75"/>
      <c r="BC520">
        <v>4.8554751705399558E-2</v>
      </c>
      <c r="BD520">
        <v>5.0313390832891547E-2</v>
      </c>
      <c r="BF520">
        <v>9.8868142538291098E-2</v>
      </c>
      <c r="BG520">
        <v>4.9434071269145549E-2</v>
      </c>
      <c r="BH520">
        <v>0.53392138470124539</v>
      </c>
      <c r="BI520" s="79" t="s">
        <v>1305</v>
      </c>
      <c r="BJ520" s="79">
        <f>1150+273</f>
        <v>1423</v>
      </c>
      <c r="BK520" s="79">
        <v>2</v>
      </c>
      <c r="BM520" s="79" t="s">
        <v>1275</v>
      </c>
      <c r="BN520" s="79" t="s">
        <v>56</v>
      </c>
      <c r="BO520" s="79">
        <v>1</v>
      </c>
      <c r="BP520" s="79">
        <v>1</v>
      </c>
      <c r="BQ520" s="79">
        <v>0.6</v>
      </c>
      <c r="BR520" s="79">
        <v>0</v>
      </c>
      <c r="BS520" s="79" t="s">
        <v>464</v>
      </c>
      <c r="BT520" s="79" t="s">
        <v>464</v>
      </c>
      <c r="BU520" s="79" t="s">
        <v>1266</v>
      </c>
      <c r="BV520" s="79">
        <v>450</v>
      </c>
      <c r="BX520" s="79" t="s">
        <v>1287</v>
      </c>
      <c r="BZ520" s="81">
        <v>442</v>
      </c>
      <c r="CA520">
        <f t="shared" si="124"/>
        <v>6.0913098820776979</v>
      </c>
    </row>
    <row r="521" spans="1:79" x14ac:dyDescent="0.3">
      <c r="A521" s="2" t="s">
        <v>46</v>
      </c>
      <c r="B521" s="13" t="s">
        <v>722</v>
      </c>
      <c r="C521" s="13"/>
      <c r="D521" s="2">
        <v>3.87</v>
      </c>
      <c r="E521" s="2" t="s">
        <v>234</v>
      </c>
      <c r="F521" s="9" t="s">
        <v>551</v>
      </c>
      <c r="G521" t="s">
        <v>629</v>
      </c>
      <c r="I521" s="2"/>
      <c r="J521" s="25">
        <v>2</v>
      </c>
      <c r="K521">
        <v>4</v>
      </c>
      <c r="L521">
        <v>0</v>
      </c>
      <c r="M521" s="2"/>
      <c r="N521" s="2"/>
      <c r="O521" s="2"/>
      <c r="P521" s="2"/>
      <c r="Q521" s="2"/>
      <c r="R521" s="25">
        <v>7.41544296</v>
      </c>
      <c r="S521" s="25">
        <v>7.4154429599999991</v>
      </c>
      <c r="T521" s="25">
        <v>7.41544296</v>
      </c>
      <c r="U521">
        <v>7.8</v>
      </c>
      <c r="V521">
        <v>13.010999999999999</v>
      </c>
      <c r="W521">
        <v>5.5460000000000003</v>
      </c>
      <c r="X521">
        <v>0</v>
      </c>
      <c r="AA521" s="2"/>
      <c r="AB521">
        <v>14</v>
      </c>
      <c r="AC521" s="55">
        <f t="shared" si="126"/>
        <v>0</v>
      </c>
      <c r="AD521" s="57">
        <v>288.33429290182369</v>
      </c>
      <c r="AE521" s="55">
        <v>556.51188553357167</v>
      </c>
      <c r="AF521" s="55">
        <v>0</v>
      </c>
      <c r="AG521" s="52"/>
      <c r="AH521" s="51">
        <v>9.7109503410799117E-2</v>
      </c>
      <c r="AI521" s="52">
        <v>0.10062678166578309</v>
      </c>
      <c r="AJ521" s="52"/>
      <c r="AK521" s="28">
        <v>2</v>
      </c>
      <c r="AL521" s="28">
        <v>2.545454545454545</v>
      </c>
      <c r="AM521" s="28">
        <v>0.54545454545454541</v>
      </c>
      <c r="AN521" s="28">
        <v>0</v>
      </c>
      <c r="AO521" s="28">
        <v>0.39285714285714279</v>
      </c>
      <c r="AP521" s="28">
        <v>0.5</v>
      </c>
      <c r="AQ521" s="28">
        <v>0.1071428571428571</v>
      </c>
      <c r="AR521" s="28">
        <v>0</v>
      </c>
      <c r="AS521" s="25">
        <v>1.1000000000000001</v>
      </c>
      <c r="AT521" s="25">
        <v>3.44</v>
      </c>
      <c r="AU521" s="25">
        <v>2.34</v>
      </c>
      <c r="AV521" s="25">
        <v>2.669090909090909</v>
      </c>
      <c r="AW521">
        <v>2.669090909090909</v>
      </c>
      <c r="AX521">
        <v>5.9831974772727277</v>
      </c>
      <c r="AY521" s="75">
        <v>0.52442413903612473</v>
      </c>
      <c r="AZ521" s="75">
        <v>0.54341863036636606</v>
      </c>
      <c r="BA521" s="75"/>
      <c r="BC521">
        <v>4.8554751705399558E-2</v>
      </c>
      <c r="BD521">
        <v>5.0313390832891547E-2</v>
      </c>
      <c r="BF521">
        <v>9.8868142538291098E-2</v>
      </c>
      <c r="BG521">
        <v>4.9434071269145549E-2</v>
      </c>
      <c r="BH521">
        <v>0.53392138470124539</v>
      </c>
      <c r="BI521" s="79" t="s">
        <v>1264</v>
      </c>
      <c r="BJ521" s="79">
        <f>1000+273</f>
        <v>1273</v>
      </c>
      <c r="BK521" s="79">
        <v>24</v>
      </c>
      <c r="BM521" s="79" t="s">
        <v>1275</v>
      </c>
      <c r="BN521" s="79" t="s">
        <v>56</v>
      </c>
      <c r="BO521" s="79">
        <v>1</v>
      </c>
      <c r="BP521" s="79">
        <v>2</v>
      </c>
      <c r="BQ521" s="79">
        <v>0.6</v>
      </c>
      <c r="BR521" s="79">
        <v>0</v>
      </c>
      <c r="BS521" s="79" t="s">
        <v>464</v>
      </c>
      <c r="BT521" s="79" t="s">
        <v>464</v>
      </c>
      <c r="BU521" s="79" t="s">
        <v>1266</v>
      </c>
      <c r="BV521" s="79">
        <v>450</v>
      </c>
      <c r="BX521" s="79" t="s">
        <v>1287</v>
      </c>
      <c r="BZ521" s="81">
        <v>340</v>
      </c>
      <c r="CA521">
        <f t="shared" si="124"/>
        <v>5.8289456176102075</v>
      </c>
    </row>
    <row r="522" spans="1:79" x14ac:dyDescent="0.3">
      <c r="A522" s="2" t="s">
        <v>46</v>
      </c>
      <c r="B522" s="13" t="s">
        <v>722</v>
      </c>
      <c r="C522" s="13"/>
      <c r="D522" s="2">
        <v>3.87</v>
      </c>
      <c r="E522" s="2" t="s">
        <v>234</v>
      </c>
      <c r="F522" s="9" t="s">
        <v>551</v>
      </c>
      <c r="G522" t="s">
        <v>629</v>
      </c>
      <c r="I522" s="2"/>
      <c r="J522" s="25">
        <v>2</v>
      </c>
      <c r="K522">
        <v>4</v>
      </c>
      <c r="L522">
        <v>0</v>
      </c>
      <c r="M522" s="2"/>
      <c r="N522" s="2"/>
      <c r="O522" s="2"/>
      <c r="P522" s="2"/>
      <c r="Q522" s="2"/>
      <c r="R522" s="25">
        <v>7.41544296</v>
      </c>
      <c r="S522" s="25">
        <v>7.4154429599999991</v>
      </c>
      <c r="T522" s="25">
        <v>7.41544296</v>
      </c>
      <c r="U522">
        <v>7.8</v>
      </c>
      <c r="V522">
        <v>13.010999999999999</v>
      </c>
      <c r="W522">
        <v>5.5460000000000003</v>
      </c>
      <c r="X522">
        <v>0</v>
      </c>
      <c r="AA522" s="2"/>
      <c r="AB522">
        <v>14</v>
      </c>
      <c r="AC522" s="55">
        <f t="shared" si="126"/>
        <v>0</v>
      </c>
      <c r="AD522" s="57">
        <v>288.33429290182369</v>
      </c>
      <c r="AE522" s="55">
        <v>556.51188553357167</v>
      </c>
      <c r="AF522" s="55">
        <v>0</v>
      </c>
      <c r="AG522" s="52"/>
      <c r="AH522" s="51">
        <v>9.7109503410799117E-2</v>
      </c>
      <c r="AI522" s="52">
        <v>0.10062678166578309</v>
      </c>
      <c r="AJ522" s="52"/>
      <c r="AK522" s="28">
        <v>2</v>
      </c>
      <c r="AL522" s="28">
        <v>2.545454545454545</v>
      </c>
      <c r="AM522" s="28">
        <v>0.54545454545454541</v>
      </c>
      <c r="AN522" s="28">
        <v>0</v>
      </c>
      <c r="AO522" s="28">
        <v>0.39285714285714279</v>
      </c>
      <c r="AP522" s="28">
        <v>0.5</v>
      </c>
      <c r="AQ522" s="28">
        <v>0.1071428571428571</v>
      </c>
      <c r="AR522" s="28">
        <v>0</v>
      </c>
      <c r="AS522" s="25">
        <v>1.1000000000000001</v>
      </c>
      <c r="AT522" s="25">
        <v>3.44</v>
      </c>
      <c r="AU522" s="25">
        <v>2.34</v>
      </c>
      <c r="AV522" s="25">
        <v>2.669090909090909</v>
      </c>
      <c r="AW522">
        <v>2.669090909090909</v>
      </c>
      <c r="AX522">
        <v>5.9831974772727277</v>
      </c>
      <c r="AY522" s="75">
        <v>0.52442413903612473</v>
      </c>
      <c r="AZ522" s="75">
        <v>0.54341863036636606</v>
      </c>
      <c r="BA522" s="75"/>
      <c r="BC522">
        <v>4.8554751705399558E-2</v>
      </c>
      <c r="BD522">
        <v>5.0313390832891547E-2</v>
      </c>
      <c r="BF522">
        <v>9.8868142538291098E-2</v>
      </c>
      <c r="BG522">
        <v>4.9434071269145549E-2</v>
      </c>
      <c r="BH522">
        <v>0.53392138470124539</v>
      </c>
      <c r="BI522" s="79" t="s">
        <v>1264</v>
      </c>
      <c r="BJ522" s="79">
        <f>1050+273</f>
        <v>1323</v>
      </c>
      <c r="BK522" s="79">
        <v>24</v>
      </c>
      <c r="BM522" s="79" t="s">
        <v>1275</v>
      </c>
      <c r="BN522" s="79" t="s">
        <v>56</v>
      </c>
      <c r="BO522" s="79">
        <v>1</v>
      </c>
      <c r="BP522" s="79">
        <v>2</v>
      </c>
      <c r="BQ522" s="79">
        <v>0.6</v>
      </c>
      <c r="BR522" s="79">
        <v>0</v>
      </c>
      <c r="BS522" s="79" t="s">
        <v>464</v>
      </c>
      <c r="BT522" s="79" t="s">
        <v>464</v>
      </c>
      <c r="BU522" s="79" t="s">
        <v>1266</v>
      </c>
      <c r="BV522" s="79">
        <v>450</v>
      </c>
      <c r="BX522" s="79" t="s">
        <v>1287</v>
      </c>
      <c r="BZ522" s="81">
        <v>387</v>
      </c>
      <c r="CA522">
        <f t="shared" si="124"/>
        <v>5.9584246930297819</v>
      </c>
    </row>
    <row r="523" spans="1:79" x14ac:dyDescent="0.3">
      <c r="A523" s="2" t="s">
        <v>46</v>
      </c>
      <c r="B523" s="13" t="s">
        <v>722</v>
      </c>
      <c r="C523" s="13"/>
      <c r="D523" s="2">
        <v>3.87</v>
      </c>
      <c r="E523" s="2" t="s">
        <v>234</v>
      </c>
      <c r="F523" s="9" t="s">
        <v>551</v>
      </c>
      <c r="G523" t="s">
        <v>629</v>
      </c>
      <c r="I523" s="2"/>
      <c r="J523" s="25">
        <v>2</v>
      </c>
      <c r="K523">
        <v>4</v>
      </c>
      <c r="L523">
        <v>0</v>
      </c>
      <c r="M523" s="2"/>
      <c r="N523" s="2"/>
      <c r="O523" s="2"/>
      <c r="P523" s="2"/>
      <c r="Q523" s="2"/>
      <c r="R523" s="25">
        <v>7.41544296</v>
      </c>
      <c r="S523" s="25">
        <v>7.4154429599999991</v>
      </c>
      <c r="T523" s="25">
        <v>7.41544296</v>
      </c>
      <c r="U523">
        <v>7.8</v>
      </c>
      <c r="V523">
        <v>13.010999999999999</v>
      </c>
      <c r="W523">
        <v>5.5460000000000003</v>
      </c>
      <c r="X523">
        <v>0</v>
      </c>
      <c r="AA523" s="2"/>
      <c r="AB523">
        <v>14</v>
      </c>
      <c r="AC523" s="55">
        <f t="shared" si="126"/>
        <v>0</v>
      </c>
      <c r="AD523" s="57">
        <v>288.33429290182369</v>
      </c>
      <c r="AE523" s="55">
        <v>556.51188553357167</v>
      </c>
      <c r="AF523" s="55">
        <v>0</v>
      </c>
      <c r="AG523" s="52"/>
      <c r="AH523" s="51">
        <v>9.7109503410799117E-2</v>
      </c>
      <c r="AI523" s="52">
        <v>0.10062678166578309</v>
      </c>
      <c r="AJ523" s="52"/>
      <c r="AK523" s="28">
        <v>2</v>
      </c>
      <c r="AL523" s="28">
        <v>2.545454545454545</v>
      </c>
      <c r="AM523" s="28">
        <v>0.54545454545454541</v>
      </c>
      <c r="AN523" s="28">
        <v>0</v>
      </c>
      <c r="AO523" s="28">
        <v>0.39285714285714279</v>
      </c>
      <c r="AP523" s="28">
        <v>0.5</v>
      </c>
      <c r="AQ523" s="28">
        <v>0.1071428571428571</v>
      </c>
      <c r="AR523" s="28">
        <v>0</v>
      </c>
      <c r="AS523" s="25">
        <v>1.1000000000000001</v>
      </c>
      <c r="AT523" s="25">
        <v>3.44</v>
      </c>
      <c r="AU523" s="25">
        <v>2.34</v>
      </c>
      <c r="AV523" s="25">
        <v>2.669090909090909</v>
      </c>
      <c r="AW523">
        <v>2.669090909090909</v>
      </c>
      <c r="AX523">
        <v>5.9831974772727277</v>
      </c>
      <c r="AY523" s="75">
        <v>0.52442413903612473</v>
      </c>
      <c r="AZ523" s="75">
        <v>0.54341863036636606</v>
      </c>
      <c r="BA523" s="75"/>
      <c r="BC523">
        <v>4.8554751705399558E-2</v>
      </c>
      <c r="BD523">
        <v>5.0313390832891547E-2</v>
      </c>
      <c r="BF523">
        <v>9.8868142538291098E-2</v>
      </c>
      <c r="BG523">
        <v>4.9434071269145549E-2</v>
      </c>
      <c r="BH523">
        <v>0.53392138470124539</v>
      </c>
      <c r="BI523" s="79" t="s">
        <v>1264</v>
      </c>
      <c r="BJ523" s="79">
        <f>1100+273</f>
        <v>1373</v>
      </c>
      <c r="BK523" s="79">
        <v>24</v>
      </c>
      <c r="BM523" s="79" t="s">
        <v>1275</v>
      </c>
      <c r="BN523" s="79" t="s">
        <v>56</v>
      </c>
      <c r="BO523" s="79">
        <v>1</v>
      </c>
      <c r="BP523" s="79">
        <v>1</v>
      </c>
      <c r="BQ523" s="79">
        <v>0.6</v>
      </c>
      <c r="BR523" s="79">
        <v>0</v>
      </c>
      <c r="BS523" s="79" t="s">
        <v>464</v>
      </c>
      <c r="BT523" s="79" t="s">
        <v>464</v>
      </c>
      <c r="BU523" s="79" t="s">
        <v>1266</v>
      </c>
      <c r="BV523" s="79">
        <v>450</v>
      </c>
      <c r="BX523" s="79" t="s">
        <v>1287</v>
      </c>
      <c r="BZ523" s="81">
        <v>408</v>
      </c>
      <c r="CA523">
        <f t="shared" si="124"/>
        <v>6.0112671744041615</v>
      </c>
    </row>
    <row r="524" spans="1:79" x14ac:dyDescent="0.3">
      <c r="A524" s="2" t="s">
        <v>46</v>
      </c>
      <c r="B524" s="13" t="s">
        <v>722</v>
      </c>
      <c r="C524" s="13"/>
      <c r="D524" s="2">
        <v>3.87</v>
      </c>
      <c r="E524" s="2" t="s">
        <v>234</v>
      </c>
      <c r="F524" s="9" t="s">
        <v>551</v>
      </c>
      <c r="G524" t="s">
        <v>629</v>
      </c>
      <c r="I524" s="2"/>
      <c r="J524" s="25">
        <v>2</v>
      </c>
      <c r="K524">
        <v>4</v>
      </c>
      <c r="L524">
        <v>0</v>
      </c>
      <c r="M524" s="2"/>
      <c r="N524" s="2"/>
      <c r="O524" s="2"/>
      <c r="P524" s="2"/>
      <c r="Q524" s="2"/>
      <c r="R524" s="25">
        <v>7.41544296</v>
      </c>
      <c r="S524" s="25">
        <v>7.4154429599999991</v>
      </c>
      <c r="T524" s="25">
        <v>7.41544296</v>
      </c>
      <c r="U524">
        <v>7.8</v>
      </c>
      <c r="V524">
        <v>13.010999999999999</v>
      </c>
      <c r="W524">
        <v>5.5460000000000003</v>
      </c>
      <c r="X524">
        <v>0</v>
      </c>
      <c r="AA524" s="2"/>
      <c r="AB524">
        <v>14</v>
      </c>
      <c r="AC524" s="55">
        <f t="shared" si="126"/>
        <v>0</v>
      </c>
      <c r="AD524" s="57">
        <v>288.33429290182369</v>
      </c>
      <c r="AE524" s="55">
        <v>556.51188553357167</v>
      </c>
      <c r="AF524" s="55">
        <v>0</v>
      </c>
      <c r="AG524" s="52"/>
      <c r="AH524" s="51">
        <v>9.7109503410799117E-2</v>
      </c>
      <c r="AI524" s="52">
        <v>0.10062678166578309</v>
      </c>
      <c r="AJ524" s="52"/>
      <c r="AK524" s="28">
        <v>2</v>
      </c>
      <c r="AL524" s="28">
        <v>2.545454545454545</v>
      </c>
      <c r="AM524" s="28">
        <v>0.54545454545454541</v>
      </c>
      <c r="AN524" s="28">
        <v>0</v>
      </c>
      <c r="AO524" s="28">
        <v>0.39285714285714279</v>
      </c>
      <c r="AP524" s="28">
        <v>0.5</v>
      </c>
      <c r="AQ524" s="28">
        <v>0.1071428571428571</v>
      </c>
      <c r="AR524" s="28">
        <v>0</v>
      </c>
      <c r="AS524" s="25">
        <v>1.1000000000000001</v>
      </c>
      <c r="AT524" s="25">
        <v>3.44</v>
      </c>
      <c r="AU524" s="25">
        <v>2.34</v>
      </c>
      <c r="AV524" s="25">
        <v>2.669090909090909</v>
      </c>
      <c r="AW524">
        <v>2.669090909090909</v>
      </c>
      <c r="AX524">
        <v>5.9831974772727277</v>
      </c>
      <c r="AY524" s="75">
        <v>0.52442413903612473</v>
      </c>
      <c r="AZ524" s="75">
        <v>0.54341863036636606</v>
      </c>
      <c r="BA524" s="75"/>
      <c r="BC524">
        <v>4.8554751705399558E-2</v>
      </c>
      <c r="BD524">
        <v>5.0313390832891547E-2</v>
      </c>
      <c r="BF524">
        <v>9.8868142538291098E-2</v>
      </c>
      <c r="BG524">
        <v>4.9434071269145549E-2</v>
      </c>
      <c r="BH524">
        <v>0.53392138470124539</v>
      </c>
      <c r="BI524" s="79" t="s">
        <v>1264</v>
      </c>
      <c r="BJ524" s="79">
        <f>1150+273</f>
        <v>1423</v>
      </c>
      <c r="BK524" s="79">
        <v>24</v>
      </c>
      <c r="BM524" s="79" t="s">
        <v>1275</v>
      </c>
      <c r="BN524" s="79" t="s">
        <v>56</v>
      </c>
      <c r="BO524" s="79">
        <v>1</v>
      </c>
      <c r="BP524" s="79">
        <v>1</v>
      </c>
      <c r="BQ524" s="79">
        <v>0.6</v>
      </c>
      <c r="BR524" s="79">
        <v>0</v>
      </c>
      <c r="BS524" s="79" t="s">
        <v>464</v>
      </c>
      <c r="BT524" s="79" t="s">
        <v>464</v>
      </c>
      <c r="BU524" s="79" t="s">
        <v>1266</v>
      </c>
      <c r="BV524" s="79">
        <v>450</v>
      </c>
      <c r="BX524" s="79" t="s">
        <v>1287</v>
      </c>
      <c r="BZ524" s="81">
        <v>440</v>
      </c>
      <c r="CA524">
        <f t="shared" si="124"/>
        <v>6.0867747269123065</v>
      </c>
    </row>
    <row r="525" spans="1:79" x14ac:dyDescent="0.3">
      <c r="A525" s="2" t="s">
        <v>19</v>
      </c>
      <c r="B525" s="90" t="s">
        <v>705</v>
      </c>
      <c r="C525" s="34"/>
      <c r="D525" s="2">
        <v>3.53</v>
      </c>
      <c r="E525" s="2" t="s">
        <v>235</v>
      </c>
      <c r="F525" s="35">
        <v>-2</v>
      </c>
      <c r="G525" s="2" t="s">
        <v>1167</v>
      </c>
      <c r="H525" s="2"/>
      <c r="I525" s="2"/>
      <c r="J525" s="29">
        <v>0</v>
      </c>
      <c r="K525" s="2">
        <v>0</v>
      </c>
      <c r="L525" s="2">
        <v>4</v>
      </c>
      <c r="M525" s="2"/>
      <c r="N525" s="2"/>
      <c r="O525" s="2"/>
      <c r="P525" s="2" t="s">
        <v>450</v>
      </c>
      <c r="Q525" s="5"/>
      <c r="R525" s="41">
        <v>0</v>
      </c>
      <c r="S525" s="41"/>
      <c r="T525" s="41"/>
      <c r="U525">
        <v>0</v>
      </c>
      <c r="X525">
        <v>24.8627</v>
      </c>
      <c r="Y525">
        <v>5.4355000000000002</v>
      </c>
      <c r="Z525">
        <v>5.4478</v>
      </c>
      <c r="AA525" s="5"/>
      <c r="AB525" s="5">
        <v>18</v>
      </c>
      <c r="AC525" s="55">
        <f t="shared" si="70"/>
        <v>0</v>
      </c>
      <c r="AD525" s="57">
        <v>0</v>
      </c>
      <c r="AE525" s="55">
        <v>0</v>
      </c>
      <c r="AF525" s="55">
        <f t="shared" ref="AF525:AF533" si="127">X525*Y525*Z525</f>
        <v>736.22226122963002</v>
      </c>
      <c r="AG525" s="52"/>
      <c r="AH525" s="51"/>
      <c r="AI525" s="52"/>
      <c r="AJ525" s="67">
        <f t="shared" ref="AJ525:AJ533" si="128">L525*AB525/AF525</f>
        <v>9.7796553828386576E-2</v>
      </c>
      <c r="AK525" s="5">
        <v>1.8666666666666669</v>
      </c>
      <c r="AL525" s="5">
        <v>2.8</v>
      </c>
      <c r="AM525" s="5">
        <v>1.8666666666666669</v>
      </c>
      <c r="AN525" s="5">
        <v>1.8666666666666669</v>
      </c>
      <c r="AO525" s="5">
        <v>0.22222222222222221</v>
      </c>
      <c r="AP525" s="5">
        <v>0.33333333333333331</v>
      </c>
      <c r="AQ525" s="5">
        <v>0.22222222222222221</v>
      </c>
      <c r="AR525" s="5">
        <v>0.22222222222222221</v>
      </c>
      <c r="AS525" s="41">
        <v>1</v>
      </c>
      <c r="AT525" s="41">
        <v>3.44</v>
      </c>
      <c r="AU525" s="41">
        <v>2.44</v>
      </c>
      <c r="AV525" s="41">
        <v>2.68</v>
      </c>
      <c r="AW525" s="5">
        <v>2.68</v>
      </c>
      <c r="AX525" s="5">
        <v>5.9932041966666656</v>
      </c>
      <c r="AY525" s="75"/>
      <c r="AZ525" s="75"/>
      <c r="BA525" s="75"/>
      <c r="BE525">
        <v>4.8898276914193288E-2</v>
      </c>
      <c r="BF525">
        <v>9.7796553828386576E-2</v>
      </c>
      <c r="BG525">
        <v>4.8898276914193288E-2</v>
      </c>
      <c r="BH525">
        <v>0</v>
      </c>
      <c r="BI525" s="79" t="s">
        <v>1400</v>
      </c>
      <c r="BJ525" s="79">
        <f t="shared" ref="BJ525:BJ533" si="129">850+273</f>
        <v>1123</v>
      </c>
      <c r="BK525" s="79">
        <v>4</v>
      </c>
      <c r="BM525" s="79" t="s">
        <v>464</v>
      </c>
      <c r="BN525" s="79" t="s">
        <v>464</v>
      </c>
      <c r="BO525" s="79">
        <v>0</v>
      </c>
      <c r="BQ525" s="79">
        <v>1.5</v>
      </c>
      <c r="BR525" s="79">
        <v>0</v>
      </c>
      <c r="BS525" s="79" t="s">
        <v>1413</v>
      </c>
      <c r="BT525" s="79" t="s">
        <v>464</v>
      </c>
      <c r="BU525" s="79" t="s">
        <v>1271</v>
      </c>
      <c r="BV525" s="79">
        <v>300</v>
      </c>
      <c r="BX525" s="79" t="s">
        <v>1311</v>
      </c>
      <c r="BZ525" s="81">
        <v>0</v>
      </c>
      <c r="CA525" t="e">
        <f t="shared" si="124"/>
        <v>#NUM!</v>
      </c>
    </row>
    <row r="526" spans="1:79" x14ac:dyDescent="0.3">
      <c r="A526" s="2" t="s">
        <v>20</v>
      </c>
      <c r="B526" s="90" t="s">
        <v>706</v>
      </c>
      <c r="C526" s="34"/>
      <c r="D526" s="2">
        <v>3.42</v>
      </c>
      <c r="E526" s="2" t="s">
        <v>235</v>
      </c>
      <c r="F526" s="35">
        <v>-2</v>
      </c>
      <c r="G526" s="2" t="s">
        <v>1168</v>
      </c>
      <c r="H526" s="2"/>
      <c r="I526" s="2"/>
      <c r="J526" s="29">
        <v>0</v>
      </c>
      <c r="K526" s="2">
        <v>0</v>
      </c>
      <c r="L526" s="2">
        <v>4</v>
      </c>
      <c r="M526" s="2"/>
      <c r="N526" s="2"/>
      <c r="O526" s="2"/>
      <c r="P526" s="2" t="s">
        <v>450</v>
      </c>
      <c r="Q526" s="5"/>
      <c r="R526" s="41">
        <v>0</v>
      </c>
      <c r="S526" s="41"/>
      <c r="T526" s="41"/>
      <c r="U526">
        <v>0</v>
      </c>
      <c r="X526">
        <v>24.556999999999999</v>
      </c>
      <c r="Y526">
        <v>5.5289999999999999</v>
      </c>
      <c r="Z526">
        <v>5.5289999999999999</v>
      </c>
      <c r="AA526" s="5"/>
      <c r="AB526" s="5">
        <v>18</v>
      </c>
      <c r="AC526" s="55">
        <f t="shared" si="70"/>
        <v>0</v>
      </c>
      <c r="AD526" s="57">
        <v>0</v>
      </c>
      <c r="AE526" s="55">
        <v>0</v>
      </c>
      <c r="AF526" s="55">
        <f t="shared" si="127"/>
        <v>750.7035854369999</v>
      </c>
      <c r="AG526" s="52"/>
      <c r="AH526" s="51"/>
      <c r="AI526" s="52"/>
      <c r="AJ526" s="67">
        <f t="shared" si="128"/>
        <v>9.5910025470422294E-2</v>
      </c>
      <c r="AK526" s="5">
        <v>1.8666666666666669</v>
      </c>
      <c r="AL526" s="5">
        <v>2.8</v>
      </c>
      <c r="AM526" s="5">
        <v>1.8666666666666669</v>
      </c>
      <c r="AN526" s="5">
        <v>1.8666666666666669</v>
      </c>
      <c r="AO526" s="5">
        <v>0.22222222222222221</v>
      </c>
      <c r="AP526" s="5">
        <v>0.33333333333333331</v>
      </c>
      <c r="AQ526" s="5">
        <v>0.22222222222222221</v>
      </c>
      <c r="AR526" s="5">
        <v>0.22222222222222221</v>
      </c>
      <c r="AS526" s="41">
        <v>0.95</v>
      </c>
      <c r="AT526" s="41">
        <v>3.44</v>
      </c>
      <c r="AU526" s="41">
        <v>2.4900000000000002</v>
      </c>
      <c r="AV526" s="41">
        <v>2.6733333333333329</v>
      </c>
      <c r="AW526" s="5">
        <v>2.6733333333333329</v>
      </c>
      <c r="AX526" s="5">
        <v>5.9671526619999993</v>
      </c>
      <c r="AY526" s="75"/>
      <c r="AZ526" s="75"/>
      <c r="BA526" s="75"/>
      <c r="BE526">
        <v>4.7955012735211147E-2</v>
      </c>
      <c r="BF526">
        <v>9.5910025470422294E-2</v>
      </c>
      <c r="BG526">
        <v>4.7955012735211147E-2</v>
      </c>
      <c r="BH526">
        <v>0</v>
      </c>
      <c r="BI526" s="79" t="s">
        <v>1400</v>
      </c>
      <c r="BJ526" s="79">
        <f t="shared" si="129"/>
        <v>1123</v>
      </c>
      <c r="BK526" s="79">
        <v>4</v>
      </c>
      <c r="BM526" s="79" t="s">
        <v>464</v>
      </c>
      <c r="BN526" s="79" t="s">
        <v>464</v>
      </c>
      <c r="BO526" s="79">
        <v>0</v>
      </c>
      <c r="BQ526" s="79">
        <v>1.5</v>
      </c>
      <c r="BR526" s="79">
        <v>0</v>
      </c>
      <c r="BS526" s="79" t="s">
        <v>1413</v>
      </c>
      <c r="BT526" s="79" t="s">
        <v>464</v>
      </c>
      <c r="BU526" s="79" t="s">
        <v>1271</v>
      </c>
      <c r="BV526" s="79">
        <v>300</v>
      </c>
      <c r="BX526" s="79" t="s">
        <v>1311</v>
      </c>
      <c r="BZ526" s="81">
        <v>0</v>
      </c>
      <c r="CA526" t="e">
        <f t="shared" si="124"/>
        <v>#NUM!</v>
      </c>
    </row>
    <row r="527" spans="1:79" x14ac:dyDescent="0.3">
      <c r="A527" s="2" t="s">
        <v>21</v>
      </c>
      <c r="B527" s="90" t="s">
        <v>707</v>
      </c>
      <c r="C527" s="34"/>
      <c r="D527" s="2">
        <v>2.82</v>
      </c>
      <c r="E527" s="2" t="s">
        <v>235</v>
      </c>
      <c r="F527" s="35">
        <v>-2</v>
      </c>
      <c r="G527" s="2" t="s">
        <v>1169</v>
      </c>
      <c r="H527" s="2"/>
      <c r="I527" s="2"/>
      <c r="J527" s="29">
        <v>0</v>
      </c>
      <c r="K527" s="2">
        <v>0</v>
      </c>
      <c r="L527" s="2">
        <v>4</v>
      </c>
      <c r="M527" s="2"/>
      <c r="N527" s="2"/>
      <c r="O527" s="2"/>
      <c r="P527" s="2" t="s">
        <v>440</v>
      </c>
      <c r="Q527" s="5"/>
      <c r="R527" s="41">
        <v>0</v>
      </c>
      <c r="S527" s="41"/>
      <c r="T527" s="41"/>
      <c r="U527">
        <v>0</v>
      </c>
      <c r="X527">
        <v>25.574999999999999</v>
      </c>
      <c r="Y527">
        <v>5.5629999999999997</v>
      </c>
      <c r="Z527">
        <v>5.5629999999999997</v>
      </c>
      <c r="AA527" s="5"/>
      <c r="AB527" s="5">
        <v>18</v>
      </c>
      <c r="AC527" s="55">
        <f t="shared" si="70"/>
        <v>0</v>
      </c>
      <c r="AD527" s="57">
        <v>0</v>
      </c>
      <c r="AE527" s="55">
        <v>0</v>
      </c>
      <c r="AF527" s="55">
        <f t="shared" si="127"/>
        <v>791.4687321749999</v>
      </c>
      <c r="AG527" s="52"/>
      <c r="AH527" s="51"/>
      <c r="AI527" s="52"/>
      <c r="AJ527" s="67">
        <f t="shared" si="128"/>
        <v>9.0970112997565952E-2</v>
      </c>
      <c r="AK527" s="5">
        <v>1.8666666666666669</v>
      </c>
      <c r="AL527" s="5">
        <v>2.8</v>
      </c>
      <c r="AM527" s="5">
        <v>1.8666666666666669</v>
      </c>
      <c r="AN527" s="5">
        <v>1.8666666666666669</v>
      </c>
      <c r="AO527" s="5">
        <v>0.22222222222222221</v>
      </c>
      <c r="AP527" s="5">
        <v>0.33333333333333331</v>
      </c>
      <c r="AQ527" s="5">
        <v>0.22222222222222221</v>
      </c>
      <c r="AR527" s="5">
        <v>0.22222222222222221</v>
      </c>
      <c r="AS527" s="41">
        <v>0.89</v>
      </c>
      <c r="AT527" s="41">
        <v>3.44</v>
      </c>
      <c r="AU527" s="41">
        <v>2.5499999999999998</v>
      </c>
      <c r="AV527" s="41">
        <v>2.6653333333333342</v>
      </c>
      <c r="AW527" s="5">
        <v>2.6653333333333329</v>
      </c>
      <c r="AX527" s="5">
        <v>5.9411098053333333</v>
      </c>
      <c r="AY527" s="75"/>
      <c r="AZ527" s="75"/>
      <c r="BA527" s="75"/>
      <c r="BE527">
        <v>4.5485056498782983E-2</v>
      </c>
      <c r="BF527">
        <v>9.0970112997565952E-2</v>
      </c>
      <c r="BG527">
        <v>4.5485056498782983E-2</v>
      </c>
      <c r="BH527">
        <v>0</v>
      </c>
      <c r="BI527" s="79" t="s">
        <v>1400</v>
      </c>
      <c r="BJ527" s="79">
        <f t="shared" si="129"/>
        <v>1123</v>
      </c>
      <c r="BK527" s="79">
        <v>4</v>
      </c>
      <c r="BM527" s="79" t="s">
        <v>464</v>
      </c>
      <c r="BN527" s="79" t="s">
        <v>464</v>
      </c>
      <c r="BO527" s="79">
        <v>0</v>
      </c>
      <c r="BQ527" s="79">
        <v>1.5</v>
      </c>
      <c r="BR527" s="79">
        <v>0</v>
      </c>
      <c r="BS527" s="79" t="s">
        <v>1413</v>
      </c>
      <c r="BT527" s="79" t="s">
        <v>464</v>
      </c>
      <c r="BU527" s="79" t="s">
        <v>1271</v>
      </c>
      <c r="BV527" s="79">
        <v>300</v>
      </c>
      <c r="BX527" s="79" t="s">
        <v>1311</v>
      </c>
      <c r="BZ527" s="81">
        <v>0</v>
      </c>
      <c r="CA527" t="e">
        <f t="shared" si="124"/>
        <v>#NUM!</v>
      </c>
    </row>
    <row r="528" spans="1:79" x14ac:dyDescent="0.3">
      <c r="A528" s="2" t="s">
        <v>19</v>
      </c>
      <c r="B528" s="90" t="s">
        <v>705</v>
      </c>
      <c r="C528" s="34"/>
      <c r="D528" s="2">
        <v>3.53</v>
      </c>
      <c r="E528" s="2" t="s">
        <v>235</v>
      </c>
      <c r="F528" s="35">
        <v>-2</v>
      </c>
      <c r="G528" s="2" t="s">
        <v>1167</v>
      </c>
      <c r="H528" s="2"/>
      <c r="I528" s="2"/>
      <c r="J528" s="29">
        <v>0</v>
      </c>
      <c r="K528" s="2">
        <v>0</v>
      </c>
      <c r="L528" s="2">
        <v>4</v>
      </c>
      <c r="M528" s="2"/>
      <c r="N528" s="2"/>
      <c r="O528" s="2"/>
      <c r="P528" s="2" t="s">
        <v>450</v>
      </c>
      <c r="Q528" s="5"/>
      <c r="R528" s="41">
        <v>0</v>
      </c>
      <c r="S528" s="41"/>
      <c r="T528" s="41"/>
      <c r="U528">
        <v>0</v>
      </c>
      <c r="X528">
        <v>24.8627</v>
      </c>
      <c r="Y528">
        <v>5.4355000000000002</v>
      </c>
      <c r="Z528">
        <v>5.4478</v>
      </c>
      <c r="AA528" s="5"/>
      <c r="AB528" s="5">
        <v>18</v>
      </c>
      <c r="AC528" s="55">
        <f t="shared" ref="AC528:AC530" si="130">M528*N528*O528</f>
        <v>0</v>
      </c>
      <c r="AD528" s="57">
        <v>0</v>
      </c>
      <c r="AE528" s="55">
        <v>0</v>
      </c>
      <c r="AF528" s="55">
        <f t="shared" ref="AF528:AF530" si="131">X528*Y528*Z528</f>
        <v>736.22226122963002</v>
      </c>
      <c r="AG528" s="52"/>
      <c r="AH528" s="51"/>
      <c r="AI528" s="52"/>
      <c r="AJ528" s="67">
        <f t="shared" ref="AJ528:AJ530" si="132">L528*AB528/AF528</f>
        <v>9.7796553828386576E-2</v>
      </c>
      <c r="AK528" s="5">
        <v>1.8666666666666669</v>
      </c>
      <c r="AL528" s="5">
        <v>2.8</v>
      </c>
      <c r="AM528" s="5">
        <v>1.8666666666666669</v>
      </c>
      <c r="AN528" s="5">
        <v>1.8666666666666669</v>
      </c>
      <c r="AO528" s="5">
        <v>0.22222222222222221</v>
      </c>
      <c r="AP528" s="5">
        <v>0.33333333333333331</v>
      </c>
      <c r="AQ528" s="5">
        <v>0.22222222222222221</v>
      </c>
      <c r="AR528" s="5">
        <v>0.22222222222222221</v>
      </c>
      <c r="AS528" s="41">
        <v>1</v>
      </c>
      <c r="AT528" s="41">
        <v>3.44</v>
      </c>
      <c r="AU528" s="41">
        <v>2.44</v>
      </c>
      <c r="AV528" s="41">
        <v>2.68</v>
      </c>
      <c r="AW528" s="5">
        <v>2.68</v>
      </c>
      <c r="AX528" s="5">
        <v>5.9932041966666656</v>
      </c>
      <c r="AY528" s="75"/>
      <c r="AZ528" s="75"/>
      <c r="BA528" s="75"/>
      <c r="BE528">
        <v>4.8898276914193288E-2</v>
      </c>
      <c r="BF528">
        <v>9.7796553828386576E-2</v>
      </c>
      <c r="BG528">
        <v>4.8898276914193288E-2</v>
      </c>
      <c r="BH528">
        <v>0</v>
      </c>
      <c r="BI528" s="79" t="s">
        <v>1400</v>
      </c>
      <c r="BJ528" s="79">
        <f t="shared" si="129"/>
        <v>1123</v>
      </c>
      <c r="BK528" s="79">
        <v>4</v>
      </c>
      <c r="BM528" s="79" t="s">
        <v>1268</v>
      </c>
      <c r="BN528" s="79" t="s">
        <v>863</v>
      </c>
      <c r="BO528" s="79">
        <v>0.5</v>
      </c>
      <c r="BQ528" s="79">
        <v>1.5</v>
      </c>
      <c r="BR528" s="79">
        <v>0</v>
      </c>
      <c r="BS528" s="79" t="s">
        <v>1413</v>
      </c>
      <c r="BT528" s="79" t="s">
        <v>464</v>
      </c>
      <c r="BU528" s="79" t="s">
        <v>1271</v>
      </c>
      <c r="BV528" s="79">
        <v>300</v>
      </c>
      <c r="BX528" s="79" t="s">
        <v>1311</v>
      </c>
      <c r="BZ528" s="81">
        <v>104.1</v>
      </c>
      <c r="CA528">
        <f t="shared" si="124"/>
        <v>4.6453519756209234</v>
      </c>
    </row>
    <row r="529" spans="1:79" x14ac:dyDescent="0.3">
      <c r="A529" s="2" t="s">
        <v>20</v>
      </c>
      <c r="B529" s="90" t="s">
        <v>706</v>
      </c>
      <c r="C529" s="34"/>
      <c r="D529" s="2">
        <v>3.42</v>
      </c>
      <c r="E529" s="2" t="s">
        <v>235</v>
      </c>
      <c r="F529" s="35">
        <v>-2</v>
      </c>
      <c r="G529" s="2" t="s">
        <v>1168</v>
      </c>
      <c r="H529" s="2"/>
      <c r="I529" s="2"/>
      <c r="J529" s="29">
        <v>0</v>
      </c>
      <c r="K529" s="2">
        <v>0</v>
      </c>
      <c r="L529" s="2">
        <v>4</v>
      </c>
      <c r="M529" s="2"/>
      <c r="N529" s="2"/>
      <c r="O529" s="2"/>
      <c r="P529" s="2" t="s">
        <v>450</v>
      </c>
      <c r="Q529" s="5"/>
      <c r="R529" s="41">
        <v>0</v>
      </c>
      <c r="S529" s="41"/>
      <c r="T529" s="41"/>
      <c r="U529">
        <v>0</v>
      </c>
      <c r="X529">
        <v>24.556999999999999</v>
      </c>
      <c r="Y529">
        <v>5.5289999999999999</v>
      </c>
      <c r="Z529">
        <v>5.5289999999999999</v>
      </c>
      <c r="AA529" s="5"/>
      <c r="AB529" s="5">
        <v>18</v>
      </c>
      <c r="AC529" s="55">
        <f t="shared" si="130"/>
        <v>0</v>
      </c>
      <c r="AD529" s="57">
        <v>0</v>
      </c>
      <c r="AE529" s="55">
        <v>0</v>
      </c>
      <c r="AF529" s="55">
        <f t="shared" si="131"/>
        <v>750.7035854369999</v>
      </c>
      <c r="AG529" s="52"/>
      <c r="AH529" s="51"/>
      <c r="AI529" s="52"/>
      <c r="AJ529" s="67">
        <f t="shared" si="132"/>
        <v>9.5910025470422294E-2</v>
      </c>
      <c r="AK529" s="5">
        <v>1.8666666666666669</v>
      </c>
      <c r="AL529" s="5">
        <v>2.8</v>
      </c>
      <c r="AM529" s="5">
        <v>1.8666666666666669</v>
      </c>
      <c r="AN529" s="5">
        <v>1.8666666666666669</v>
      </c>
      <c r="AO529" s="5">
        <v>0.22222222222222221</v>
      </c>
      <c r="AP529" s="5">
        <v>0.33333333333333331</v>
      </c>
      <c r="AQ529" s="5">
        <v>0.22222222222222221</v>
      </c>
      <c r="AR529" s="5">
        <v>0.22222222222222221</v>
      </c>
      <c r="AS529" s="41">
        <v>0.95</v>
      </c>
      <c r="AT529" s="41">
        <v>3.44</v>
      </c>
      <c r="AU529" s="41">
        <v>2.4900000000000002</v>
      </c>
      <c r="AV529" s="41">
        <v>2.6733333333333329</v>
      </c>
      <c r="AW529" s="5">
        <v>2.6733333333333329</v>
      </c>
      <c r="AX529" s="5">
        <v>5.9671526619999993</v>
      </c>
      <c r="AY529" s="75"/>
      <c r="AZ529" s="75"/>
      <c r="BA529" s="75"/>
      <c r="BE529">
        <v>4.7955012735211147E-2</v>
      </c>
      <c r="BF529">
        <v>9.5910025470422294E-2</v>
      </c>
      <c r="BG529">
        <v>4.7955012735211147E-2</v>
      </c>
      <c r="BH529">
        <v>0</v>
      </c>
      <c r="BI529" s="79" t="s">
        <v>1400</v>
      </c>
      <c r="BJ529" s="79">
        <f t="shared" si="129"/>
        <v>1123</v>
      </c>
      <c r="BK529" s="79">
        <v>4</v>
      </c>
      <c r="BM529" s="79" t="s">
        <v>1268</v>
      </c>
      <c r="BN529" s="79" t="s">
        <v>863</v>
      </c>
      <c r="BO529" s="79">
        <v>0.5</v>
      </c>
      <c r="BQ529" s="79">
        <v>1.5</v>
      </c>
      <c r="BR529" s="79">
        <v>0</v>
      </c>
      <c r="BS529" s="79" t="s">
        <v>1413</v>
      </c>
      <c r="BT529" s="79" t="s">
        <v>464</v>
      </c>
      <c r="BU529" s="79" t="s">
        <v>1271</v>
      </c>
      <c r="BV529" s="79">
        <v>300</v>
      </c>
      <c r="BX529" s="79" t="s">
        <v>1311</v>
      </c>
      <c r="BZ529" s="81">
        <v>8.9</v>
      </c>
      <c r="CA529">
        <f t="shared" si="124"/>
        <v>2.1860512767380942</v>
      </c>
    </row>
    <row r="530" spans="1:79" x14ac:dyDescent="0.3">
      <c r="A530" s="2" t="s">
        <v>21</v>
      </c>
      <c r="B530" s="90" t="s">
        <v>707</v>
      </c>
      <c r="C530" s="34"/>
      <c r="D530" s="2">
        <v>2.82</v>
      </c>
      <c r="E530" s="2" t="s">
        <v>235</v>
      </c>
      <c r="F530" s="35">
        <v>-2</v>
      </c>
      <c r="G530" s="2" t="s">
        <v>1169</v>
      </c>
      <c r="H530" s="2"/>
      <c r="I530" s="2"/>
      <c r="J530" s="29">
        <v>0</v>
      </c>
      <c r="K530" s="2">
        <v>0</v>
      </c>
      <c r="L530" s="2">
        <v>4</v>
      </c>
      <c r="M530" s="2"/>
      <c r="N530" s="2"/>
      <c r="O530" s="2"/>
      <c r="P530" s="2" t="s">
        <v>440</v>
      </c>
      <c r="Q530" s="5"/>
      <c r="R530" s="41">
        <v>0</v>
      </c>
      <c r="S530" s="41"/>
      <c r="T530" s="41"/>
      <c r="U530">
        <v>0</v>
      </c>
      <c r="X530">
        <v>25.574999999999999</v>
      </c>
      <c r="Y530">
        <v>5.5629999999999997</v>
      </c>
      <c r="Z530">
        <v>5.5629999999999997</v>
      </c>
      <c r="AA530" s="5"/>
      <c r="AB530" s="5">
        <v>18</v>
      </c>
      <c r="AC530" s="55">
        <f t="shared" si="130"/>
        <v>0</v>
      </c>
      <c r="AD530" s="57">
        <v>0</v>
      </c>
      <c r="AE530" s="55">
        <v>0</v>
      </c>
      <c r="AF530" s="55">
        <f t="shared" si="131"/>
        <v>791.4687321749999</v>
      </c>
      <c r="AG530" s="52"/>
      <c r="AH530" s="51"/>
      <c r="AI530" s="52"/>
      <c r="AJ530" s="67">
        <f t="shared" si="132"/>
        <v>9.0970112997565952E-2</v>
      </c>
      <c r="AK530" s="5">
        <v>1.8666666666666669</v>
      </c>
      <c r="AL530" s="5">
        <v>2.8</v>
      </c>
      <c r="AM530" s="5">
        <v>1.8666666666666669</v>
      </c>
      <c r="AN530" s="5">
        <v>1.8666666666666669</v>
      </c>
      <c r="AO530" s="5">
        <v>0.22222222222222221</v>
      </c>
      <c r="AP530" s="5">
        <v>0.33333333333333331</v>
      </c>
      <c r="AQ530" s="5">
        <v>0.22222222222222221</v>
      </c>
      <c r="AR530" s="5">
        <v>0.22222222222222221</v>
      </c>
      <c r="AS530" s="41">
        <v>0.89</v>
      </c>
      <c r="AT530" s="41">
        <v>3.44</v>
      </c>
      <c r="AU530" s="41">
        <v>2.5499999999999998</v>
      </c>
      <c r="AV530" s="41">
        <v>2.6653333333333342</v>
      </c>
      <c r="AW530" s="5">
        <v>2.6653333333333329</v>
      </c>
      <c r="AX530" s="5">
        <v>5.9411098053333333</v>
      </c>
      <c r="AY530" s="75"/>
      <c r="AZ530" s="75"/>
      <c r="BA530" s="75"/>
      <c r="BE530">
        <v>4.5485056498782983E-2</v>
      </c>
      <c r="BF530">
        <v>9.0970112997565952E-2</v>
      </c>
      <c r="BG530">
        <v>4.5485056498782983E-2</v>
      </c>
      <c r="BH530">
        <v>0</v>
      </c>
      <c r="BI530" s="79" t="s">
        <v>1400</v>
      </c>
      <c r="BJ530" s="79">
        <f t="shared" si="129"/>
        <v>1123</v>
      </c>
      <c r="BK530" s="79">
        <v>4</v>
      </c>
      <c r="BM530" s="79" t="s">
        <v>1268</v>
      </c>
      <c r="BN530" s="79" t="s">
        <v>863</v>
      </c>
      <c r="BO530" s="79">
        <v>0.5</v>
      </c>
      <c r="BQ530" s="79">
        <v>1.5</v>
      </c>
      <c r="BR530" s="79">
        <v>0</v>
      </c>
      <c r="BS530" s="79" t="s">
        <v>1413</v>
      </c>
      <c r="BT530" s="79" t="s">
        <v>464</v>
      </c>
      <c r="BU530" s="79" t="s">
        <v>1271</v>
      </c>
      <c r="BV530" s="79">
        <v>300</v>
      </c>
      <c r="BX530" s="79" t="s">
        <v>1311</v>
      </c>
      <c r="BZ530" s="81">
        <v>6.2</v>
      </c>
      <c r="CA530">
        <f t="shared" si="124"/>
        <v>1.824549292051046</v>
      </c>
    </row>
    <row r="531" spans="1:79" x14ac:dyDescent="0.3">
      <c r="A531" s="2" t="s">
        <v>19</v>
      </c>
      <c r="B531" s="37" t="s">
        <v>705</v>
      </c>
      <c r="C531" s="13"/>
      <c r="D531" s="2">
        <v>3.51</v>
      </c>
      <c r="E531" s="2" t="s">
        <v>235</v>
      </c>
      <c r="F531" s="9">
        <v>-1</v>
      </c>
      <c r="G531" t="s">
        <v>1167</v>
      </c>
      <c r="I531" s="2"/>
      <c r="J531" s="25">
        <v>0</v>
      </c>
      <c r="K531">
        <v>0</v>
      </c>
      <c r="L531">
        <v>4</v>
      </c>
      <c r="M531" s="2"/>
      <c r="N531" s="2"/>
      <c r="O531" s="2"/>
      <c r="P531" s="2" t="s">
        <v>450</v>
      </c>
      <c r="Q531" s="2"/>
      <c r="R531" s="25">
        <v>0</v>
      </c>
      <c r="S531" s="25"/>
      <c r="T531" s="25"/>
      <c r="U531">
        <v>0</v>
      </c>
      <c r="X531">
        <v>24.8627</v>
      </c>
      <c r="Y531">
        <v>5.4355000000000002</v>
      </c>
      <c r="Z531">
        <v>5.4478</v>
      </c>
      <c r="AA531" s="2"/>
      <c r="AB531">
        <v>18</v>
      </c>
      <c r="AC531" s="55">
        <f t="shared" si="70"/>
        <v>0</v>
      </c>
      <c r="AD531" s="57">
        <v>0</v>
      </c>
      <c r="AE531" s="55">
        <v>0</v>
      </c>
      <c r="AF531" s="55">
        <f t="shared" si="127"/>
        <v>736.22226122963002</v>
      </c>
      <c r="AG531" s="52"/>
      <c r="AH531" s="51"/>
      <c r="AI531" s="52"/>
      <c r="AJ531" s="67">
        <f t="shared" si="128"/>
        <v>9.7796553828386576E-2</v>
      </c>
      <c r="AK531" s="28">
        <v>1.8666666666666669</v>
      </c>
      <c r="AL531" s="28">
        <v>2.8</v>
      </c>
      <c r="AM531" s="28">
        <v>1.8666666666666669</v>
      </c>
      <c r="AN531" s="28">
        <v>1.8666666666666669</v>
      </c>
      <c r="AO531" s="28">
        <v>0.22222222222222221</v>
      </c>
      <c r="AP531" s="28">
        <v>0.33333333333333331</v>
      </c>
      <c r="AQ531" s="28">
        <v>0.22222222222222221</v>
      </c>
      <c r="AR531" s="28">
        <v>0.22222222222222221</v>
      </c>
      <c r="AS531" s="25">
        <v>1</v>
      </c>
      <c r="AT531" s="25">
        <v>3.44</v>
      </c>
      <c r="AU531" s="25">
        <v>2.44</v>
      </c>
      <c r="AV531" s="25">
        <v>2.68</v>
      </c>
      <c r="AW531">
        <v>2.68</v>
      </c>
      <c r="AX531">
        <v>5.9932041966666656</v>
      </c>
      <c r="AY531" s="75"/>
      <c r="AZ531" s="75"/>
      <c r="BA531" s="75"/>
      <c r="BE531">
        <v>4.8898276914193288E-2</v>
      </c>
      <c r="BF531">
        <v>9.7796553828386576E-2</v>
      </c>
      <c r="BG531">
        <v>4.8898276914193288E-2</v>
      </c>
      <c r="BH531">
        <v>0</v>
      </c>
      <c r="BI531" s="79" t="s">
        <v>1264</v>
      </c>
      <c r="BJ531" s="79">
        <f t="shared" si="129"/>
        <v>1123</v>
      </c>
      <c r="BK531" s="79">
        <v>4</v>
      </c>
      <c r="BM531" s="79" t="s">
        <v>1268</v>
      </c>
      <c r="BN531" s="79" t="s">
        <v>863</v>
      </c>
      <c r="BO531" s="79">
        <v>0.5</v>
      </c>
      <c r="BQ531" s="79">
        <v>1.5</v>
      </c>
      <c r="BR531" s="79">
        <v>0</v>
      </c>
      <c r="BS531" s="79" t="s">
        <v>1413</v>
      </c>
      <c r="BT531" s="79" t="s">
        <v>464</v>
      </c>
      <c r="BU531" s="79" t="s">
        <v>1271</v>
      </c>
      <c r="BV531" s="79">
        <v>300</v>
      </c>
      <c r="BX531" s="79" t="s">
        <v>1311</v>
      </c>
      <c r="BZ531" s="81">
        <v>6.7</v>
      </c>
      <c r="CA531">
        <f t="shared" si="124"/>
        <v>1.9021075263969205</v>
      </c>
    </row>
    <row r="532" spans="1:79" x14ac:dyDescent="0.3">
      <c r="A532" s="2" t="s">
        <v>20</v>
      </c>
      <c r="B532" s="37" t="s">
        <v>706</v>
      </c>
      <c r="C532" s="13"/>
      <c r="D532" s="2">
        <v>3.48</v>
      </c>
      <c r="E532" s="2" t="s">
        <v>235</v>
      </c>
      <c r="F532" s="9">
        <v>-1</v>
      </c>
      <c r="G532" t="s">
        <v>1168</v>
      </c>
      <c r="I532" s="2"/>
      <c r="J532" s="25">
        <v>0</v>
      </c>
      <c r="K532">
        <v>0</v>
      </c>
      <c r="L532">
        <v>4</v>
      </c>
      <c r="M532" s="2"/>
      <c r="N532" s="2"/>
      <c r="O532" s="2"/>
      <c r="P532" s="2" t="s">
        <v>450</v>
      </c>
      <c r="Q532" s="2"/>
      <c r="R532" s="25">
        <v>0</v>
      </c>
      <c r="S532" s="25"/>
      <c r="T532" s="25"/>
      <c r="U532">
        <v>0</v>
      </c>
      <c r="X532">
        <v>24.556999999999999</v>
      </c>
      <c r="Y532">
        <v>5.5289999999999999</v>
      </c>
      <c r="Z532">
        <v>5.5289999999999999</v>
      </c>
      <c r="AA532" s="2"/>
      <c r="AB532">
        <v>18</v>
      </c>
      <c r="AC532" s="55">
        <f t="shared" si="70"/>
        <v>0</v>
      </c>
      <c r="AD532" s="57">
        <v>0</v>
      </c>
      <c r="AE532" s="55">
        <v>0</v>
      </c>
      <c r="AF532" s="55">
        <f t="shared" si="127"/>
        <v>750.7035854369999</v>
      </c>
      <c r="AG532" s="52"/>
      <c r="AH532" s="51"/>
      <c r="AI532" s="52"/>
      <c r="AJ532" s="67">
        <f t="shared" si="128"/>
        <v>9.5910025470422294E-2</v>
      </c>
      <c r="AK532" s="28">
        <v>1.8666666666666669</v>
      </c>
      <c r="AL532" s="28">
        <v>2.8</v>
      </c>
      <c r="AM532" s="28">
        <v>1.8666666666666669</v>
      </c>
      <c r="AN532" s="28">
        <v>1.8666666666666669</v>
      </c>
      <c r="AO532" s="28">
        <v>0.22222222222222221</v>
      </c>
      <c r="AP532" s="28">
        <v>0.33333333333333331</v>
      </c>
      <c r="AQ532" s="28">
        <v>0.22222222222222221</v>
      </c>
      <c r="AR532" s="28">
        <v>0.22222222222222221</v>
      </c>
      <c r="AS532" s="25">
        <v>0.95</v>
      </c>
      <c r="AT532" s="25">
        <v>3.44</v>
      </c>
      <c r="AU532" s="25">
        <v>2.4900000000000002</v>
      </c>
      <c r="AV532" s="25">
        <v>2.6733333333333329</v>
      </c>
      <c r="AW532">
        <v>2.6733333333333329</v>
      </c>
      <c r="AX532">
        <v>5.9671526619999993</v>
      </c>
      <c r="AY532" s="75"/>
      <c r="AZ532" s="75"/>
      <c r="BA532" s="75"/>
      <c r="BE532">
        <v>4.7955012735211147E-2</v>
      </c>
      <c r="BF532">
        <v>9.5910025470422294E-2</v>
      </c>
      <c r="BG532">
        <v>4.7955012735211147E-2</v>
      </c>
      <c r="BH532">
        <v>0</v>
      </c>
      <c r="BI532" s="79" t="s">
        <v>1264</v>
      </c>
      <c r="BJ532" s="79">
        <f t="shared" si="129"/>
        <v>1123</v>
      </c>
      <c r="BK532" s="79">
        <v>4</v>
      </c>
      <c r="BM532" s="79" t="s">
        <v>1268</v>
      </c>
      <c r="BN532" s="79" t="s">
        <v>863</v>
      </c>
      <c r="BO532" s="79">
        <v>0.5</v>
      </c>
      <c r="BQ532" s="79">
        <v>1.5</v>
      </c>
      <c r="BR532" s="79">
        <v>0</v>
      </c>
      <c r="BS532" s="79" t="s">
        <v>1413</v>
      </c>
      <c r="BT532" s="79" t="s">
        <v>464</v>
      </c>
      <c r="BU532" s="79" t="s">
        <v>1271</v>
      </c>
      <c r="BV532" s="79">
        <v>300</v>
      </c>
      <c r="BX532" s="79" t="s">
        <v>1311</v>
      </c>
      <c r="BZ532" s="81">
        <v>0.9</v>
      </c>
      <c r="CA532">
        <f t="shared" si="124"/>
        <v>-0.10536051565782628</v>
      </c>
    </row>
    <row r="533" spans="1:79" x14ac:dyDescent="0.3">
      <c r="A533" s="2" t="s">
        <v>21</v>
      </c>
      <c r="B533" s="37" t="s">
        <v>707</v>
      </c>
      <c r="C533" s="13"/>
      <c r="D533" s="2">
        <v>3.08</v>
      </c>
      <c r="E533" s="2" t="s">
        <v>235</v>
      </c>
      <c r="F533" s="9">
        <v>-1</v>
      </c>
      <c r="G533" t="s">
        <v>1169</v>
      </c>
      <c r="I533" s="2"/>
      <c r="J533" s="25">
        <v>0</v>
      </c>
      <c r="K533">
        <v>0</v>
      </c>
      <c r="L533">
        <v>4</v>
      </c>
      <c r="M533" s="2"/>
      <c r="N533" s="2"/>
      <c r="O533" s="2"/>
      <c r="P533" s="2" t="s">
        <v>440</v>
      </c>
      <c r="Q533" s="2"/>
      <c r="R533" s="25">
        <v>0</v>
      </c>
      <c r="S533" s="25"/>
      <c r="T533" s="25"/>
      <c r="U533">
        <v>0</v>
      </c>
      <c r="X533">
        <v>25.574999999999999</v>
      </c>
      <c r="Y533">
        <v>5.5629999999999997</v>
      </c>
      <c r="Z533">
        <v>5.5629999999999997</v>
      </c>
      <c r="AA533" s="2"/>
      <c r="AB533">
        <v>18</v>
      </c>
      <c r="AC533" s="55">
        <f t="shared" si="70"/>
        <v>0</v>
      </c>
      <c r="AD533" s="57">
        <v>0</v>
      </c>
      <c r="AE533" s="55">
        <v>0</v>
      </c>
      <c r="AF533" s="55">
        <f t="shared" si="127"/>
        <v>791.4687321749999</v>
      </c>
      <c r="AG533" s="52"/>
      <c r="AH533" s="51"/>
      <c r="AI533" s="52"/>
      <c r="AJ533" s="67">
        <f t="shared" si="128"/>
        <v>9.0970112997565952E-2</v>
      </c>
      <c r="AK533" s="28">
        <v>1.8666666666666669</v>
      </c>
      <c r="AL533" s="28">
        <v>2.8</v>
      </c>
      <c r="AM533" s="28">
        <v>1.8666666666666669</v>
      </c>
      <c r="AN533" s="28">
        <v>1.8666666666666669</v>
      </c>
      <c r="AO533" s="28">
        <v>0.22222222222222221</v>
      </c>
      <c r="AP533" s="28">
        <v>0.33333333333333331</v>
      </c>
      <c r="AQ533" s="28">
        <v>0.22222222222222221</v>
      </c>
      <c r="AR533" s="28">
        <v>0.22222222222222221</v>
      </c>
      <c r="AS533" s="25">
        <v>0.89</v>
      </c>
      <c r="AT533" s="25">
        <v>3.44</v>
      </c>
      <c r="AU533" s="25">
        <v>2.5499999999999998</v>
      </c>
      <c r="AV533" s="25">
        <v>2.6653333333333342</v>
      </c>
      <c r="AW533">
        <v>2.6653333333333329</v>
      </c>
      <c r="AX533">
        <v>5.9411098053333333</v>
      </c>
      <c r="AY533" s="75"/>
      <c r="AZ533" s="75"/>
      <c r="BA533" s="75"/>
      <c r="BE533">
        <v>4.5485056498782983E-2</v>
      </c>
      <c r="BF533">
        <v>9.0970112997565952E-2</v>
      </c>
      <c r="BG533">
        <v>4.5485056498782983E-2</v>
      </c>
      <c r="BH533">
        <v>0</v>
      </c>
      <c r="BI533" s="79" t="s">
        <v>1264</v>
      </c>
      <c r="BJ533" s="79">
        <f t="shared" si="129"/>
        <v>1123</v>
      </c>
      <c r="BK533" s="79">
        <v>4</v>
      </c>
      <c r="BM533" s="79" t="s">
        <v>1268</v>
      </c>
      <c r="BN533" s="79" t="s">
        <v>863</v>
      </c>
      <c r="BO533" s="79">
        <v>0.5</v>
      </c>
      <c r="BQ533" s="79">
        <v>1.5</v>
      </c>
      <c r="BR533" s="79">
        <v>0</v>
      </c>
      <c r="BS533" s="79" t="s">
        <v>1413</v>
      </c>
      <c r="BT533" s="79" t="s">
        <v>464</v>
      </c>
      <c r="BU533" s="79" t="s">
        <v>1271</v>
      </c>
      <c r="BV533" s="79">
        <v>300</v>
      </c>
      <c r="BX533" s="79" t="s">
        <v>1311</v>
      </c>
      <c r="BZ533" s="81">
        <v>0.4</v>
      </c>
      <c r="CA533">
        <f t="shared" si="124"/>
        <v>-0.916290731874155</v>
      </c>
    </row>
    <row r="534" spans="1:79" x14ac:dyDescent="0.3">
      <c r="A534" s="2" t="s">
        <v>236</v>
      </c>
      <c r="B534" s="13" t="s">
        <v>810</v>
      </c>
      <c r="C534" s="13"/>
      <c r="D534" s="2">
        <v>4.5999999999999996</v>
      </c>
      <c r="E534" s="2" t="s">
        <v>238</v>
      </c>
      <c r="F534" s="9" t="s">
        <v>586</v>
      </c>
      <c r="G534" t="s">
        <v>662</v>
      </c>
      <c r="I534" s="2"/>
      <c r="J534" s="25">
        <v>8</v>
      </c>
      <c r="K534">
        <v>1</v>
      </c>
      <c r="L534">
        <v>0</v>
      </c>
      <c r="M534" s="2"/>
      <c r="N534" s="2"/>
      <c r="O534" s="2"/>
      <c r="P534" s="2"/>
      <c r="Q534" s="2"/>
      <c r="R534" s="25">
        <v>7.5714817599999993</v>
      </c>
      <c r="S534" s="25">
        <v>7.4441355800000002</v>
      </c>
      <c r="T534" s="25">
        <v>14.785262019999999</v>
      </c>
      <c r="U534">
        <v>10.442</v>
      </c>
      <c r="V534">
        <v>10.442</v>
      </c>
      <c r="W534">
        <v>10.442</v>
      </c>
      <c r="X534">
        <v>0</v>
      </c>
      <c r="AA534" s="2"/>
      <c r="AB534">
        <v>12</v>
      </c>
      <c r="AC534" s="55">
        <f t="shared" si="70"/>
        <v>0</v>
      </c>
      <c r="AD534" s="57">
        <v>583.54908217201648</v>
      </c>
      <c r="AE534" s="55">
        <v>1138.547270888</v>
      </c>
      <c r="AF534" s="55">
        <v>0</v>
      </c>
      <c r="AG534" s="52"/>
      <c r="AH534" s="51">
        <v>0.1645105834845636</v>
      </c>
      <c r="AI534" s="52">
        <v>1.053974683953237E-2</v>
      </c>
      <c r="AJ534" s="52"/>
      <c r="AK534" s="28">
        <v>1.8</v>
      </c>
      <c r="AL534" s="28">
        <v>2.4</v>
      </c>
      <c r="AM534" s="28">
        <v>0.6</v>
      </c>
      <c r="AN534" s="28">
        <v>2.8</v>
      </c>
      <c r="AO534" s="28">
        <v>0.23684210526315791</v>
      </c>
      <c r="AP534" s="28">
        <v>0.31578947368421051</v>
      </c>
      <c r="AQ534" s="28">
        <v>7.8947368421052627E-2</v>
      </c>
      <c r="AR534" s="28">
        <v>0.36842105263157893</v>
      </c>
      <c r="AS534" s="25">
        <v>0.93</v>
      </c>
      <c r="AT534" s="25">
        <v>3.44</v>
      </c>
      <c r="AU534" s="25">
        <v>2.5099999999999998</v>
      </c>
      <c r="AV534" s="25">
        <v>2.5499999999999998</v>
      </c>
      <c r="AW534">
        <v>2.5499999999999998</v>
      </c>
      <c r="AX534">
        <v>5.8797175109999991</v>
      </c>
      <c r="AY534" s="75">
        <v>0.46150059156666667</v>
      </c>
      <c r="AZ534" s="75"/>
      <c r="BA534" s="75"/>
      <c r="BC534">
        <v>8.2255291742281814E-2</v>
      </c>
      <c r="BD534">
        <v>5.2698734197661841E-3</v>
      </c>
      <c r="BF534">
        <v>8.7525165162047988E-2</v>
      </c>
      <c r="BG534">
        <v>4.3762582581024001E-2</v>
      </c>
      <c r="BH534">
        <v>0.46150059156666667</v>
      </c>
      <c r="BI534" s="79" t="s">
        <v>1414</v>
      </c>
      <c r="BJ534" s="79">
        <v>873</v>
      </c>
      <c r="BK534" s="79">
        <v>1</v>
      </c>
      <c r="BM534" s="79" t="s">
        <v>1275</v>
      </c>
      <c r="BN534" s="79" t="s">
        <v>56</v>
      </c>
      <c r="BO534" s="79">
        <v>0.2</v>
      </c>
      <c r="BP534" s="79">
        <v>51</v>
      </c>
      <c r="BQ534" s="79">
        <v>1.25</v>
      </c>
      <c r="BR534" s="79">
        <v>0</v>
      </c>
      <c r="BS534" s="79" t="s">
        <v>464</v>
      </c>
      <c r="BT534" s="79" t="s">
        <v>464</v>
      </c>
      <c r="BU534" s="79" t="s">
        <v>1266</v>
      </c>
      <c r="BV534" s="79">
        <v>450</v>
      </c>
      <c r="BW534" s="79">
        <v>200</v>
      </c>
      <c r="BY534" s="79">
        <v>293</v>
      </c>
      <c r="BZ534" s="81">
        <f>391*2</f>
        <v>782</v>
      </c>
      <c r="CA534">
        <f t="shared" si="124"/>
        <v>6.6618547405453112</v>
      </c>
    </row>
    <row r="535" spans="1:79" x14ac:dyDescent="0.3">
      <c r="A535" s="2" t="s">
        <v>237</v>
      </c>
      <c r="B535" s="13" t="s">
        <v>811</v>
      </c>
      <c r="C535" s="13"/>
      <c r="D535" s="2">
        <v>4.5</v>
      </c>
      <c r="E535" s="2" t="s">
        <v>238</v>
      </c>
      <c r="F535" s="9" t="s">
        <v>563</v>
      </c>
      <c r="G535">
        <v>-1</v>
      </c>
      <c r="I535" s="2"/>
      <c r="J535" s="25">
        <v>1</v>
      </c>
      <c r="K535">
        <v>0</v>
      </c>
      <c r="L535">
        <v>0</v>
      </c>
      <c r="M535" s="2"/>
      <c r="N535" s="2"/>
      <c r="O535" s="2"/>
      <c r="P535" s="2"/>
      <c r="Q535" s="2"/>
      <c r="R535" s="25">
        <v>3.9948813699999999</v>
      </c>
      <c r="S535" s="25">
        <v>3.9948813699999999</v>
      </c>
      <c r="T535" s="25">
        <v>3.9948813699999999</v>
      </c>
      <c r="U535">
        <v>0</v>
      </c>
      <c r="X535">
        <v>0</v>
      </c>
      <c r="AA535" s="2"/>
      <c r="AB535">
        <v>12</v>
      </c>
      <c r="AC535" s="55">
        <f t="shared" si="70"/>
        <v>0</v>
      </c>
      <c r="AD535" s="57">
        <v>63.754620030366901</v>
      </c>
      <c r="AE535" s="55">
        <v>0</v>
      </c>
      <c r="AF535" s="55">
        <v>0</v>
      </c>
      <c r="AG535" s="52"/>
      <c r="AH535" s="51">
        <v>0.18822165349404149</v>
      </c>
      <c r="AI535" s="52"/>
      <c r="AJ535" s="52"/>
      <c r="AK535" s="28">
        <v>1.8</v>
      </c>
      <c r="AL535" s="28">
        <v>2.4</v>
      </c>
      <c r="AM535" s="28">
        <v>0.6</v>
      </c>
      <c r="AN535" s="28">
        <v>2.8</v>
      </c>
      <c r="AO535" s="28">
        <v>0.23684210526315791</v>
      </c>
      <c r="AP535" s="28">
        <v>0.31578947368421051</v>
      </c>
      <c r="AQ535" s="28">
        <v>7.8947368421052627E-2</v>
      </c>
      <c r="AR535" s="28">
        <v>0.36842105263157893</v>
      </c>
      <c r="AS535" s="25">
        <v>0.82</v>
      </c>
      <c r="AT535" s="25">
        <v>3.44</v>
      </c>
      <c r="AU535" s="25">
        <v>2.62</v>
      </c>
      <c r="AV535" s="25">
        <v>2.528</v>
      </c>
      <c r="AW535">
        <v>2.528</v>
      </c>
      <c r="AX535">
        <v>5.7952294759999994</v>
      </c>
      <c r="AY535" s="75">
        <v>0.65619545508850963</v>
      </c>
      <c r="AZ535" s="75"/>
      <c r="BA535" s="75"/>
      <c r="BC535">
        <v>9.4110826747020773E-2</v>
      </c>
      <c r="BF535">
        <v>0.18822165349404149</v>
      </c>
      <c r="BG535">
        <v>9.4110826747020773E-2</v>
      </c>
      <c r="BH535">
        <v>0.65619545508850963</v>
      </c>
      <c r="BI535" s="79" t="s">
        <v>1414</v>
      </c>
      <c r="BJ535" s="79">
        <v>873</v>
      </c>
      <c r="BK535" s="79">
        <v>1</v>
      </c>
      <c r="BM535" s="79" t="s">
        <v>1275</v>
      </c>
      <c r="BN535" s="79" t="s">
        <v>56</v>
      </c>
      <c r="BO535" s="79">
        <v>0.2</v>
      </c>
      <c r="BP535" s="79">
        <v>48</v>
      </c>
      <c r="BQ535" s="79">
        <v>1.25</v>
      </c>
      <c r="BR535" s="79">
        <v>0</v>
      </c>
      <c r="BS535" s="79" t="s">
        <v>464</v>
      </c>
      <c r="BT535" s="79" t="s">
        <v>464</v>
      </c>
      <c r="BU535" s="79" t="s">
        <v>1266</v>
      </c>
      <c r="BV535" s="79">
        <v>450</v>
      </c>
      <c r="BW535" s="79">
        <v>200</v>
      </c>
      <c r="BY535" s="79">
        <v>293</v>
      </c>
      <c r="BZ535" s="81">
        <f>437*2</f>
        <v>874</v>
      </c>
      <c r="CA535">
        <f t="shared" si="124"/>
        <v>6.7730803756555353</v>
      </c>
    </row>
    <row r="536" spans="1:79" x14ac:dyDescent="0.3">
      <c r="A536" s="2" t="s">
        <v>239</v>
      </c>
      <c r="B536" s="13" t="s">
        <v>812</v>
      </c>
      <c r="C536" s="13"/>
      <c r="D536" s="2">
        <v>4.4000000000000004</v>
      </c>
      <c r="E536" s="2" t="s">
        <v>238</v>
      </c>
      <c r="F536" s="9" t="s">
        <v>590</v>
      </c>
      <c r="G536" t="s">
        <v>663</v>
      </c>
      <c r="I536" s="2"/>
      <c r="J536" s="25">
        <v>16</v>
      </c>
      <c r="K536">
        <v>8</v>
      </c>
      <c r="L536">
        <v>0</v>
      </c>
      <c r="M536" s="2"/>
      <c r="N536" s="2"/>
      <c r="O536" s="2"/>
      <c r="P536" s="2"/>
      <c r="Q536" s="2"/>
      <c r="R536" s="25">
        <v>7.4248940299999999</v>
      </c>
      <c r="S536" s="25">
        <v>7.4248940300000008</v>
      </c>
      <c r="T536" s="25">
        <v>48.809404000000001</v>
      </c>
      <c r="U536">
        <v>10.37</v>
      </c>
      <c r="V536">
        <v>10.37</v>
      </c>
      <c r="W536">
        <v>10.37</v>
      </c>
      <c r="X536">
        <v>0</v>
      </c>
      <c r="AA536" s="2"/>
      <c r="AB536">
        <v>14</v>
      </c>
      <c r="AC536" s="55">
        <f t="shared" si="70"/>
        <v>0</v>
      </c>
      <c r="AD536" s="57">
        <v>2333.5692942103669</v>
      </c>
      <c r="AE536" s="55">
        <v>1115.157653</v>
      </c>
      <c r="AF536" s="55">
        <v>0</v>
      </c>
      <c r="AG536" s="52"/>
      <c r="AH536" s="51">
        <v>9.5990292876988306E-2</v>
      </c>
      <c r="AI536" s="52">
        <v>0.10043422981378219</v>
      </c>
      <c r="AJ536" s="52"/>
      <c r="AK536" s="28">
        <v>2</v>
      </c>
      <c r="AL536" s="28">
        <v>2.545454545454545</v>
      </c>
      <c r="AM536" s="28">
        <v>0.54545454545454541</v>
      </c>
      <c r="AN536" s="28">
        <v>2.545454545454545</v>
      </c>
      <c r="AO536" s="28">
        <v>0.26190476190476192</v>
      </c>
      <c r="AP536" s="28">
        <v>0.33333333333333331</v>
      </c>
      <c r="AQ536" s="28">
        <v>7.1428571428571425E-2</v>
      </c>
      <c r="AR536" s="28">
        <v>0.33333333333333331</v>
      </c>
      <c r="AS536" s="25">
        <v>1</v>
      </c>
      <c r="AT536" s="25">
        <v>3.44</v>
      </c>
      <c r="AU536" s="25">
        <v>2.44</v>
      </c>
      <c r="AV536" s="25">
        <v>2.643636363636364</v>
      </c>
      <c r="AW536">
        <v>2.643636363636364</v>
      </c>
      <c r="AX536">
        <v>6.0715871381818181</v>
      </c>
      <c r="AY536" s="75">
        <v>0.51451783825131059</v>
      </c>
      <c r="AZ536" s="75">
        <v>0.53833779709834217</v>
      </c>
      <c r="BA536" s="75"/>
      <c r="BC536">
        <v>4.7995146438494153E-2</v>
      </c>
      <c r="BD536">
        <v>5.0217114906891097E-2</v>
      </c>
      <c r="BF536">
        <v>9.8212261345385243E-2</v>
      </c>
      <c r="BG536">
        <v>4.9106130672692622E-2</v>
      </c>
      <c r="BH536">
        <v>0.52642781767482638</v>
      </c>
      <c r="BI536" s="79" t="s">
        <v>1414</v>
      </c>
      <c r="BJ536" s="79">
        <v>873</v>
      </c>
      <c r="BK536" s="79">
        <v>0</v>
      </c>
      <c r="BM536" s="79" t="s">
        <v>1275</v>
      </c>
      <c r="BN536" s="79" t="s">
        <v>56</v>
      </c>
      <c r="BO536" s="79">
        <v>0.2</v>
      </c>
      <c r="BP536" s="79">
        <v>145</v>
      </c>
      <c r="BQ536" s="79">
        <v>1.25</v>
      </c>
      <c r="BR536" s="79">
        <v>0</v>
      </c>
      <c r="BS536" s="79" t="s">
        <v>464</v>
      </c>
      <c r="BT536" s="79" t="s">
        <v>464</v>
      </c>
      <c r="BU536" s="79" t="s">
        <v>1266</v>
      </c>
      <c r="BV536" s="79">
        <v>450</v>
      </c>
      <c r="BW536" s="79">
        <v>200</v>
      </c>
      <c r="BY536" s="79">
        <v>293</v>
      </c>
      <c r="BZ536" s="81">
        <f>90</f>
        <v>90</v>
      </c>
      <c r="CA536">
        <f t="shared" si="124"/>
        <v>4.499809670330265</v>
      </c>
    </row>
    <row r="537" spans="1:79" x14ac:dyDescent="0.3">
      <c r="A537" s="2" t="s">
        <v>239</v>
      </c>
      <c r="B537" s="13" t="s">
        <v>812</v>
      </c>
      <c r="C537" s="13"/>
      <c r="D537" s="2">
        <v>4.4000000000000004</v>
      </c>
      <c r="E537" s="2" t="s">
        <v>238</v>
      </c>
      <c r="F537" s="9" t="s">
        <v>590</v>
      </c>
      <c r="G537" t="s">
        <v>663</v>
      </c>
      <c r="I537" s="2"/>
      <c r="J537" s="25">
        <v>16</v>
      </c>
      <c r="K537">
        <v>8</v>
      </c>
      <c r="L537">
        <v>0</v>
      </c>
      <c r="M537" s="2"/>
      <c r="N537" s="2"/>
      <c r="O537" s="2"/>
      <c r="P537" s="2"/>
      <c r="Q537" s="2"/>
      <c r="R537" s="25">
        <v>7.4248940299999999</v>
      </c>
      <c r="S537" s="25">
        <v>7.4248940300000008</v>
      </c>
      <c r="T537" s="25">
        <v>48.809404000000001</v>
      </c>
      <c r="U537">
        <v>10.37</v>
      </c>
      <c r="V537">
        <v>10.37</v>
      </c>
      <c r="W537">
        <v>10.37</v>
      </c>
      <c r="X537">
        <v>0</v>
      </c>
      <c r="AA537" s="2"/>
      <c r="AB537">
        <v>14</v>
      </c>
      <c r="AC537" s="55">
        <f t="shared" si="70"/>
        <v>0</v>
      </c>
      <c r="AD537" s="57">
        <v>2333.5692942103669</v>
      </c>
      <c r="AE537" s="55">
        <v>1115.157653</v>
      </c>
      <c r="AF537" s="55">
        <v>0</v>
      </c>
      <c r="AG537" s="52"/>
      <c r="AH537" s="51">
        <v>9.5990292876988306E-2</v>
      </c>
      <c r="AI537" s="52">
        <v>0.10043422981378219</v>
      </c>
      <c r="AJ537" s="52"/>
      <c r="AK537" s="28">
        <v>2</v>
      </c>
      <c r="AL537" s="28">
        <v>2.545454545454545</v>
      </c>
      <c r="AM537" s="28">
        <v>0.54545454545454541</v>
      </c>
      <c r="AN537" s="28">
        <v>2.545454545454545</v>
      </c>
      <c r="AO537" s="28">
        <v>0.26190476190476192</v>
      </c>
      <c r="AP537" s="28">
        <v>0.33333333333333331</v>
      </c>
      <c r="AQ537" s="28">
        <v>7.1428571428571425E-2</v>
      </c>
      <c r="AR537" s="28">
        <v>0.33333333333333331</v>
      </c>
      <c r="AS537" s="25">
        <v>1</v>
      </c>
      <c r="AT537" s="25">
        <v>3.44</v>
      </c>
      <c r="AU537" s="25">
        <v>2.44</v>
      </c>
      <c r="AV537" s="25">
        <v>2.643636363636364</v>
      </c>
      <c r="AW537">
        <v>2.643636363636364</v>
      </c>
      <c r="AX537">
        <v>6.0715871381818181</v>
      </c>
      <c r="AY537" s="75">
        <v>0.51451783825131059</v>
      </c>
      <c r="AZ537" s="75">
        <v>0.53833779709834217</v>
      </c>
      <c r="BA537" s="75"/>
      <c r="BC537">
        <v>4.7995146438494153E-2</v>
      </c>
      <c r="BD537">
        <v>5.0217114906891097E-2</v>
      </c>
      <c r="BF537">
        <v>9.8212261345385243E-2</v>
      </c>
      <c r="BG537">
        <v>4.9106130672692622E-2</v>
      </c>
      <c r="BH537">
        <v>0.52642781767482638</v>
      </c>
      <c r="BI537" s="79" t="s">
        <v>1414</v>
      </c>
      <c r="BJ537" s="79">
        <v>750</v>
      </c>
      <c r="BK537" s="79">
        <v>1</v>
      </c>
      <c r="BM537" s="79" t="s">
        <v>1275</v>
      </c>
      <c r="BN537" s="79" t="s">
        <v>56</v>
      </c>
      <c r="BO537" s="79">
        <v>0.2</v>
      </c>
      <c r="BP537" s="79">
        <v>110</v>
      </c>
      <c r="BQ537" s="79">
        <v>1.25</v>
      </c>
      <c r="BR537" s="79">
        <v>0</v>
      </c>
      <c r="BS537" s="79" t="s">
        <v>464</v>
      </c>
      <c r="BT537" s="79" t="s">
        <v>464</v>
      </c>
      <c r="BU537" s="79" t="s">
        <v>1266</v>
      </c>
      <c r="BV537" s="79">
        <v>450</v>
      </c>
      <c r="BW537" s="79">
        <v>200</v>
      </c>
      <c r="BY537" s="79">
        <v>293</v>
      </c>
      <c r="BZ537" s="81">
        <v>180</v>
      </c>
      <c r="CA537">
        <f t="shared" si="124"/>
        <v>5.1929568508902104</v>
      </c>
    </row>
    <row r="538" spans="1:79" x14ac:dyDescent="0.3">
      <c r="A538" s="2" t="s">
        <v>239</v>
      </c>
      <c r="B538" s="13" t="s">
        <v>812</v>
      </c>
      <c r="C538" s="13"/>
      <c r="D538" s="2">
        <v>4.4000000000000004</v>
      </c>
      <c r="E538" s="2" t="s">
        <v>238</v>
      </c>
      <c r="F538" s="9" t="s">
        <v>590</v>
      </c>
      <c r="G538" t="s">
        <v>663</v>
      </c>
      <c r="I538" s="2"/>
      <c r="J538" s="25">
        <v>16</v>
      </c>
      <c r="K538">
        <v>8</v>
      </c>
      <c r="L538">
        <v>0</v>
      </c>
      <c r="M538" s="2"/>
      <c r="N538" s="2"/>
      <c r="O538" s="2"/>
      <c r="P538" s="2"/>
      <c r="Q538" s="2"/>
      <c r="R538" s="25">
        <v>7.4248940299999999</v>
      </c>
      <c r="S538" s="25">
        <v>7.4248940300000008</v>
      </c>
      <c r="T538" s="25">
        <v>48.809404000000001</v>
      </c>
      <c r="U538">
        <v>10.37</v>
      </c>
      <c r="V538">
        <v>10.37</v>
      </c>
      <c r="W538">
        <v>10.37</v>
      </c>
      <c r="X538">
        <v>0</v>
      </c>
      <c r="AA538" s="2"/>
      <c r="AB538">
        <v>14</v>
      </c>
      <c r="AC538" s="55">
        <f t="shared" si="70"/>
        <v>0</v>
      </c>
      <c r="AD538" s="57">
        <v>2333.5692942103669</v>
      </c>
      <c r="AE538" s="55">
        <v>1115.157653</v>
      </c>
      <c r="AF538" s="55">
        <v>0</v>
      </c>
      <c r="AG538" s="52"/>
      <c r="AH538" s="51">
        <v>9.5990292876988306E-2</v>
      </c>
      <c r="AI538" s="52">
        <v>0.10043422981378219</v>
      </c>
      <c r="AJ538" s="52"/>
      <c r="AK538" s="28">
        <v>2</v>
      </c>
      <c r="AL538" s="28">
        <v>2.545454545454545</v>
      </c>
      <c r="AM538" s="28">
        <v>0.54545454545454541</v>
      </c>
      <c r="AN538" s="28">
        <v>2.545454545454545</v>
      </c>
      <c r="AO538" s="28">
        <v>0.26190476190476192</v>
      </c>
      <c r="AP538" s="28">
        <v>0.33333333333333331</v>
      </c>
      <c r="AQ538" s="28">
        <v>7.1428571428571425E-2</v>
      </c>
      <c r="AR538" s="28">
        <v>0.33333333333333331</v>
      </c>
      <c r="AS538" s="25">
        <v>1</v>
      </c>
      <c r="AT538" s="25">
        <v>3.44</v>
      </c>
      <c r="AU538" s="25">
        <v>2.44</v>
      </c>
      <c r="AV538" s="25">
        <v>2.643636363636364</v>
      </c>
      <c r="AW538">
        <v>2.643636363636364</v>
      </c>
      <c r="AX538">
        <v>6.0715871381818181</v>
      </c>
      <c r="AY538" s="75">
        <v>0.51451783825131059</v>
      </c>
      <c r="AZ538" s="75">
        <v>0.53833779709834217</v>
      </c>
      <c r="BA538" s="75"/>
      <c r="BC538">
        <v>4.7995146438494153E-2</v>
      </c>
      <c r="BD538">
        <v>5.0217114906891097E-2</v>
      </c>
      <c r="BF538">
        <v>9.8212261345385243E-2</v>
      </c>
      <c r="BG538">
        <v>4.9106130672692622E-2</v>
      </c>
      <c r="BH538">
        <v>0.52642781767482638</v>
      </c>
      <c r="BI538" s="79" t="s">
        <v>1414</v>
      </c>
      <c r="BJ538" s="79">
        <v>873</v>
      </c>
      <c r="BK538" s="79">
        <v>1</v>
      </c>
      <c r="BM538" s="79" t="s">
        <v>1275</v>
      </c>
      <c r="BN538" s="79" t="s">
        <v>56</v>
      </c>
      <c r="BO538" s="79">
        <v>0.2</v>
      </c>
      <c r="BP538" s="79">
        <v>63</v>
      </c>
      <c r="BQ538" s="79">
        <v>1.25</v>
      </c>
      <c r="BR538" s="79">
        <v>0</v>
      </c>
      <c r="BS538" s="79" t="s">
        <v>464</v>
      </c>
      <c r="BT538" s="79" t="s">
        <v>464</v>
      </c>
      <c r="BU538" s="79" t="s">
        <v>1266</v>
      </c>
      <c r="BV538" s="79">
        <v>450</v>
      </c>
      <c r="BW538" s="79">
        <v>200</v>
      </c>
      <c r="BY538" s="79">
        <v>293</v>
      </c>
      <c r="BZ538" s="81">
        <f>170*2</f>
        <v>340</v>
      </c>
      <c r="CA538">
        <f t="shared" si="124"/>
        <v>5.8289456176102075</v>
      </c>
    </row>
    <row r="539" spans="1:79" x14ac:dyDescent="0.3">
      <c r="A539" s="2" t="s">
        <v>239</v>
      </c>
      <c r="B539" s="13" t="s">
        <v>812</v>
      </c>
      <c r="C539" s="13"/>
      <c r="D539" s="2">
        <v>4.4000000000000004</v>
      </c>
      <c r="E539" s="2" t="s">
        <v>238</v>
      </c>
      <c r="F539" s="9" t="s">
        <v>590</v>
      </c>
      <c r="G539" t="s">
        <v>663</v>
      </c>
      <c r="I539" s="2"/>
      <c r="J539" s="25">
        <v>16</v>
      </c>
      <c r="K539">
        <v>8</v>
      </c>
      <c r="L539">
        <v>0</v>
      </c>
      <c r="M539" s="2"/>
      <c r="N539" s="2"/>
      <c r="O539" s="2"/>
      <c r="P539" s="2"/>
      <c r="Q539" s="2"/>
      <c r="R539" s="25">
        <v>7.4248940299999999</v>
      </c>
      <c r="S539" s="25">
        <v>7.4248940300000008</v>
      </c>
      <c r="T539" s="25">
        <v>48.809404000000001</v>
      </c>
      <c r="U539">
        <v>10.37</v>
      </c>
      <c r="V539">
        <v>10.37</v>
      </c>
      <c r="W539">
        <v>10.37</v>
      </c>
      <c r="X539">
        <v>0</v>
      </c>
      <c r="AA539" s="2"/>
      <c r="AB539">
        <v>14</v>
      </c>
      <c r="AC539" s="55">
        <f t="shared" ref="AC539" si="133">M539*N539*O539</f>
        <v>0</v>
      </c>
      <c r="AD539" s="57">
        <v>2333.5692942103669</v>
      </c>
      <c r="AE539" s="55">
        <v>1115.157653</v>
      </c>
      <c r="AF539" s="55">
        <v>0</v>
      </c>
      <c r="AG539" s="52"/>
      <c r="AH539" s="51">
        <v>9.5990292876988306E-2</v>
      </c>
      <c r="AI539" s="52">
        <v>0.10043422981378219</v>
      </c>
      <c r="AJ539" s="52"/>
      <c r="AK539" s="28">
        <v>2</v>
      </c>
      <c r="AL539" s="28">
        <v>2.545454545454545</v>
      </c>
      <c r="AM539" s="28">
        <v>0.54545454545454541</v>
      </c>
      <c r="AN539" s="28">
        <v>2.545454545454545</v>
      </c>
      <c r="AO539" s="28">
        <v>0.26190476190476192</v>
      </c>
      <c r="AP539" s="28">
        <v>0.33333333333333331</v>
      </c>
      <c r="AQ539" s="28">
        <v>7.1428571428571425E-2</v>
      </c>
      <c r="AR539" s="28">
        <v>0.33333333333333331</v>
      </c>
      <c r="AS539" s="25">
        <v>1</v>
      </c>
      <c r="AT539" s="25">
        <v>3.44</v>
      </c>
      <c r="AU539" s="25">
        <v>2.44</v>
      </c>
      <c r="AV539" s="25">
        <v>2.643636363636364</v>
      </c>
      <c r="AW539">
        <v>2.643636363636364</v>
      </c>
      <c r="AX539">
        <v>6.0715871381818181</v>
      </c>
      <c r="AY539" s="75">
        <v>0.51451783825131059</v>
      </c>
      <c r="AZ539" s="75">
        <v>0.53833779709834217</v>
      </c>
      <c r="BA539" s="75"/>
      <c r="BC539">
        <v>4.7995146438494153E-2</v>
      </c>
      <c r="BD539">
        <v>5.0217114906891097E-2</v>
      </c>
      <c r="BF539">
        <v>9.8212261345385243E-2</v>
      </c>
      <c r="BG539">
        <v>4.9106130672692622E-2</v>
      </c>
      <c r="BH539">
        <v>0.52642781767482638</v>
      </c>
      <c r="BI539" s="79" t="s">
        <v>1414</v>
      </c>
      <c r="BJ539" s="79">
        <v>950</v>
      </c>
      <c r="BK539" s="79">
        <v>1</v>
      </c>
      <c r="BM539" s="79" t="s">
        <v>1275</v>
      </c>
      <c r="BN539" s="79" t="s">
        <v>56</v>
      </c>
      <c r="BO539" s="79">
        <v>0.2</v>
      </c>
      <c r="BP539" s="79">
        <v>25</v>
      </c>
      <c r="BQ539" s="79">
        <v>1.25</v>
      </c>
      <c r="BR539" s="79">
        <v>0</v>
      </c>
      <c r="BS539" s="79" t="s">
        <v>464</v>
      </c>
      <c r="BT539" s="79" t="s">
        <v>464</v>
      </c>
      <c r="BU539" s="79" t="s">
        <v>1266</v>
      </c>
      <c r="BV539" s="79">
        <v>450</v>
      </c>
      <c r="BW539" s="79">
        <v>200</v>
      </c>
      <c r="BY539" s="79">
        <v>293</v>
      </c>
      <c r="BZ539" s="81">
        <v>240</v>
      </c>
      <c r="CA539">
        <f t="shared" si="124"/>
        <v>5.4806389233419912</v>
      </c>
    </row>
    <row r="540" spans="1:79" x14ac:dyDescent="0.3">
      <c r="A540" s="2" t="s">
        <v>239</v>
      </c>
      <c r="B540" s="13" t="s">
        <v>812</v>
      </c>
      <c r="C540" s="13"/>
      <c r="D540" s="2">
        <v>4.4000000000000004</v>
      </c>
      <c r="E540" s="2" t="s">
        <v>238</v>
      </c>
      <c r="F540" s="9" t="s">
        <v>590</v>
      </c>
      <c r="G540" t="s">
        <v>663</v>
      </c>
      <c r="I540" s="2"/>
      <c r="J540" s="25">
        <v>16</v>
      </c>
      <c r="K540">
        <v>8</v>
      </c>
      <c r="L540">
        <v>0</v>
      </c>
      <c r="M540" s="2"/>
      <c r="N540" s="2"/>
      <c r="O540" s="2"/>
      <c r="P540" s="2"/>
      <c r="Q540" s="2"/>
      <c r="R540" s="25">
        <v>7.4248940299999999</v>
      </c>
      <c r="S540" s="25">
        <v>7.4248940300000008</v>
      </c>
      <c r="T540" s="25">
        <v>48.809404000000001</v>
      </c>
      <c r="U540">
        <v>10.37</v>
      </c>
      <c r="V540">
        <v>10.37</v>
      </c>
      <c r="W540">
        <v>10.37</v>
      </c>
      <c r="X540">
        <v>0</v>
      </c>
      <c r="AA540" s="2"/>
      <c r="AB540">
        <v>14</v>
      </c>
      <c r="AC540" s="55">
        <f t="shared" ref="AC540" si="134">M540*N540*O540</f>
        <v>0</v>
      </c>
      <c r="AD540" s="57">
        <v>2333.5692942103669</v>
      </c>
      <c r="AE540" s="55">
        <v>1115.157653</v>
      </c>
      <c r="AF540" s="55">
        <v>0</v>
      </c>
      <c r="AG540" s="52"/>
      <c r="AH540" s="51">
        <v>9.5990292876988306E-2</v>
      </c>
      <c r="AI540" s="52">
        <v>0.10043422981378219</v>
      </c>
      <c r="AJ540" s="52"/>
      <c r="AK540" s="28">
        <v>2</v>
      </c>
      <c r="AL540" s="28">
        <v>2.545454545454545</v>
      </c>
      <c r="AM540" s="28">
        <v>0.54545454545454541</v>
      </c>
      <c r="AN540" s="28">
        <v>2.545454545454545</v>
      </c>
      <c r="AO540" s="28">
        <v>0.26190476190476192</v>
      </c>
      <c r="AP540" s="28">
        <v>0.33333333333333331</v>
      </c>
      <c r="AQ540" s="28">
        <v>7.1428571428571425E-2</v>
      </c>
      <c r="AR540" s="28">
        <v>0.33333333333333331</v>
      </c>
      <c r="AS540" s="25">
        <v>1</v>
      </c>
      <c r="AT540" s="25">
        <v>3.44</v>
      </c>
      <c r="AU540" s="25">
        <v>2.44</v>
      </c>
      <c r="AV540" s="25">
        <v>2.643636363636364</v>
      </c>
      <c r="AW540">
        <v>2.643636363636364</v>
      </c>
      <c r="AX540">
        <v>6.0715871381818181</v>
      </c>
      <c r="AY540" s="75">
        <v>0.51451783825131059</v>
      </c>
      <c r="AZ540" s="75">
        <v>0.53833779709834217</v>
      </c>
      <c r="BA540" s="75"/>
      <c r="BC540">
        <v>4.7995146438494153E-2</v>
      </c>
      <c r="BD540">
        <v>5.0217114906891097E-2</v>
      </c>
      <c r="BF540">
        <v>9.8212261345385243E-2</v>
      </c>
      <c r="BG540">
        <v>4.9106130672692622E-2</v>
      </c>
      <c r="BH540">
        <v>0.52642781767482638</v>
      </c>
      <c r="BI540" s="79" t="s">
        <v>1414</v>
      </c>
      <c r="BJ540" s="79">
        <v>1250</v>
      </c>
      <c r="BK540" s="79">
        <v>1</v>
      </c>
      <c r="BM540" s="79" t="s">
        <v>1275</v>
      </c>
      <c r="BN540" s="79" t="s">
        <v>56</v>
      </c>
      <c r="BO540" s="79">
        <v>0.2</v>
      </c>
      <c r="BP540" s="79">
        <v>5</v>
      </c>
      <c r="BQ540" s="79">
        <v>1.25</v>
      </c>
      <c r="BR540" s="79">
        <v>0</v>
      </c>
      <c r="BS540" s="79" t="s">
        <v>464</v>
      </c>
      <c r="BT540" s="79" t="s">
        <v>464</v>
      </c>
      <c r="BU540" s="79" t="s">
        <v>1266</v>
      </c>
      <c r="BV540" s="79">
        <v>450</v>
      </c>
      <c r="BW540" s="79">
        <v>200</v>
      </c>
      <c r="BY540" s="79">
        <v>293</v>
      </c>
      <c r="BZ540" s="81">
        <v>210</v>
      </c>
      <c r="CA540">
        <f t="shared" si="124"/>
        <v>5.3471075307174685</v>
      </c>
    </row>
    <row r="541" spans="1:79" x14ac:dyDescent="0.3">
      <c r="A541" s="2" t="s">
        <v>48</v>
      </c>
      <c r="B541" s="13" t="s">
        <v>724</v>
      </c>
      <c r="C541" s="13"/>
      <c r="D541" s="2">
        <v>4.0999999999999996</v>
      </c>
      <c r="E541" s="2" t="s">
        <v>238</v>
      </c>
      <c r="F541" s="9" t="s">
        <v>552</v>
      </c>
      <c r="G541" t="s">
        <v>630</v>
      </c>
      <c r="I541" s="2"/>
      <c r="J541" s="25">
        <v>2</v>
      </c>
      <c r="K541">
        <v>8</v>
      </c>
      <c r="L541">
        <v>0</v>
      </c>
      <c r="M541" s="2"/>
      <c r="N541" s="2"/>
      <c r="O541" s="2"/>
      <c r="P541" s="2"/>
      <c r="Q541" s="2"/>
      <c r="R541" s="25">
        <v>7.4836094600000003</v>
      </c>
      <c r="S541" s="25">
        <v>7.4836094600000003</v>
      </c>
      <c r="T541" s="25">
        <v>7.4836094600000003</v>
      </c>
      <c r="U541">
        <v>10.34</v>
      </c>
      <c r="V541">
        <v>10.34</v>
      </c>
      <c r="W541">
        <v>10.34</v>
      </c>
      <c r="X541">
        <v>0</v>
      </c>
      <c r="AA541" s="2"/>
      <c r="AB541">
        <v>14</v>
      </c>
      <c r="AC541" s="55">
        <f t="shared" si="70"/>
        <v>0</v>
      </c>
      <c r="AD541" s="57">
        <v>296.35915518228359</v>
      </c>
      <c r="AE541" s="55">
        <v>1105.507304</v>
      </c>
      <c r="AF541" s="55">
        <v>0</v>
      </c>
      <c r="AG541" s="52"/>
      <c r="AH541" s="51">
        <v>9.4479956196318104E-2</v>
      </c>
      <c r="AI541" s="52">
        <v>0.1013109543417363</v>
      </c>
      <c r="AJ541" s="52"/>
      <c r="AK541" s="28">
        <v>1.8181818181818179</v>
      </c>
      <c r="AL541" s="28">
        <v>2.545454545454545</v>
      </c>
      <c r="AM541" s="28">
        <v>0.72727272727272729</v>
      </c>
      <c r="AN541" s="28">
        <v>0</v>
      </c>
      <c r="AO541" s="28">
        <v>0.35714285714285721</v>
      </c>
      <c r="AP541" s="28">
        <v>0.5</v>
      </c>
      <c r="AQ541" s="28">
        <v>0.1428571428571429</v>
      </c>
      <c r="AR541" s="28">
        <v>0</v>
      </c>
      <c r="AS541" s="25">
        <v>1</v>
      </c>
      <c r="AT541" s="25">
        <v>3.44</v>
      </c>
      <c r="AU541" s="25">
        <v>2.44</v>
      </c>
      <c r="AV541" s="25">
        <v>2.6618181818181821</v>
      </c>
      <c r="AW541">
        <v>2.6618181818181821</v>
      </c>
      <c r="AX541">
        <v>6.0537295018181814</v>
      </c>
      <c r="AY541" s="75">
        <v>0.50642227837041764</v>
      </c>
      <c r="AZ541" s="75">
        <v>0.5430371307011983</v>
      </c>
      <c r="BA541" s="75"/>
      <c r="BC541">
        <v>4.7239978098159073E-2</v>
      </c>
      <c r="BD541">
        <v>5.0655477170868157E-2</v>
      </c>
      <c r="BF541">
        <v>9.789545526902721E-2</v>
      </c>
      <c r="BG541">
        <v>4.8947727634513619E-2</v>
      </c>
      <c r="BH541">
        <v>0.52472970453580792</v>
      </c>
      <c r="BI541" s="79" t="s">
        <v>1414</v>
      </c>
      <c r="BJ541" s="79">
        <v>873</v>
      </c>
      <c r="BK541" s="79">
        <v>1</v>
      </c>
      <c r="BM541" s="79" t="s">
        <v>1275</v>
      </c>
      <c r="BN541" s="79" t="s">
        <v>56</v>
      </c>
      <c r="BO541" s="79">
        <v>0.2</v>
      </c>
      <c r="BP541" s="79">
        <v>60</v>
      </c>
      <c r="BQ541" s="79">
        <v>1.25</v>
      </c>
      <c r="BR541" s="79">
        <v>0</v>
      </c>
      <c r="BS541" s="79" t="s">
        <v>464</v>
      </c>
      <c r="BT541" s="79" t="s">
        <v>464</v>
      </c>
      <c r="BU541" s="79" t="s">
        <v>1266</v>
      </c>
      <c r="BV541" s="79">
        <v>450</v>
      </c>
      <c r="BW541" s="79">
        <v>200</v>
      </c>
      <c r="BY541" s="79">
        <v>293</v>
      </c>
      <c r="BZ541" s="81">
        <f>0.6*2</f>
        <v>1.2</v>
      </c>
      <c r="CA541">
        <f t="shared" si="124"/>
        <v>0.18232155679395459</v>
      </c>
    </row>
    <row r="542" spans="1:79" x14ac:dyDescent="0.3">
      <c r="A542" s="2" t="s">
        <v>46</v>
      </c>
      <c r="B542" s="13" t="s">
        <v>722</v>
      </c>
      <c r="C542" s="13"/>
      <c r="D542" s="2">
        <v>3.31</v>
      </c>
      <c r="E542" s="2" t="s">
        <v>240</v>
      </c>
      <c r="F542" s="9" t="s">
        <v>551</v>
      </c>
      <c r="G542" t="s">
        <v>629</v>
      </c>
      <c r="I542" s="2"/>
      <c r="J542" s="25">
        <v>2</v>
      </c>
      <c r="K542">
        <v>4</v>
      </c>
      <c r="L542">
        <v>0</v>
      </c>
      <c r="M542" s="2"/>
      <c r="N542" s="2"/>
      <c r="O542" s="2"/>
      <c r="P542" s="2"/>
      <c r="Q542" s="2"/>
      <c r="R542" s="25">
        <v>7.41544296</v>
      </c>
      <c r="S542" s="25">
        <v>7.4154429599999991</v>
      </c>
      <c r="T542" s="25">
        <v>7.41544296</v>
      </c>
      <c r="U542">
        <v>7.8</v>
      </c>
      <c r="V542">
        <v>13.010999999999999</v>
      </c>
      <c r="W542">
        <v>5.5460000000000003</v>
      </c>
      <c r="X542">
        <v>0</v>
      </c>
      <c r="AA542" s="2"/>
      <c r="AB542">
        <v>14</v>
      </c>
      <c r="AC542" s="55">
        <f t="shared" ref="AC542" si="135">M542*N542*O542</f>
        <v>0</v>
      </c>
      <c r="AD542" s="57">
        <v>288.33429290182369</v>
      </c>
      <c r="AE542" s="55">
        <v>556.51188553357167</v>
      </c>
      <c r="AF542" s="55">
        <v>0</v>
      </c>
      <c r="AG542" s="52"/>
      <c r="AH542" s="51">
        <v>9.7109503410799117E-2</v>
      </c>
      <c r="AI542" s="52">
        <v>0.10062678166578309</v>
      </c>
      <c r="AJ542" s="52"/>
      <c r="AK542" s="28">
        <v>2</v>
      </c>
      <c r="AL542" s="28">
        <v>2.545454545454545</v>
      </c>
      <c r="AM542" s="28">
        <v>0.54545454545454541</v>
      </c>
      <c r="AN542" s="28">
        <v>0</v>
      </c>
      <c r="AO542" s="28">
        <v>0.39285714285714279</v>
      </c>
      <c r="AP542" s="28">
        <v>0.5</v>
      </c>
      <c r="AQ542" s="28">
        <v>0.1071428571428571</v>
      </c>
      <c r="AR542" s="28">
        <v>0</v>
      </c>
      <c r="AS542" s="25">
        <v>1.1000000000000001</v>
      </c>
      <c r="AT542" s="25">
        <v>3.44</v>
      </c>
      <c r="AU542" s="25">
        <v>2.34</v>
      </c>
      <c r="AV542" s="25">
        <v>2.669090909090909</v>
      </c>
      <c r="AW542">
        <v>2.669090909090909</v>
      </c>
      <c r="AX542">
        <v>5.9831974772727277</v>
      </c>
      <c r="AY542" s="75">
        <v>0.52442413903612473</v>
      </c>
      <c r="AZ542" s="75">
        <v>0.54341863036636606</v>
      </c>
      <c r="BA542" s="75"/>
      <c r="BC542">
        <v>4.8554751705399558E-2</v>
      </c>
      <c r="BD542">
        <v>5.0313390832891547E-2</v>
      </c>
      <c r="BF542">
        <v>9.8868142538291098E-2</v>
      </c>
      <c r="BG542">
        <v>4.9434071269145549E-2</v>
      </c>
      <c r="BH542">
        <v>0.53392138470124539</v>
      </c>
      <c r="BI542" s="79" t="s">
        <v>1414</v>
      </c>
      <c r="BJ542" s="79">
        <f>200+273</f>
        <v>473</v>
      </c>
      <c r="BK542" s="79">
        <v>24</v>
      </c>
      <c r="BM542" s="79" t="s">
        <v>464</v>
      </c>
      <c r="BN542" s="79" t="s">
        <v>464</v>
      </c>
      <c r="BO542" s="79">
        <v>0</v>
      </c>
      <c r="BP542" s="79">
        <v>69.8</v>
      </c>
      <c r="BQ542" s="79">
        <v>2</v>
      </c>
      <c r="BR542" s="79">
        <v>16</v>
      </c>
      <c r="BS542" s="79" t="s">
        <v>464</v>
      </c>
      <c r="BT542" s="79" t="s">
        <v>464</v>
      </c>
      <c r="BU542" s="79" t="s">
        <v>1266</v>
      </c>
      <c r="BV542" s="79">
        <v>400</v>
      </c>
      <c r="BX542" s="79" t="s">
        <v>1287</v>
      </c>
      <c r="BZ542" s="81">
        <v>750</v>
      </c>
      <c r="CA542">
        <f t="shared" si="124"/>
        <v>6.620073206530356</v>
      </c>
    </row>
    <row r="543" spans="1:79" x14ac:dyDescent="0.3">
      <c r="A543" s="2" t="s">
        <v>46</v>
      </c>
      <c r="B543" s="13" t="s">
        <v>722</v>
      </c>
      <c r="C543" s="13"/>
      <c r="D543" s="2">
        <v>3.31</v>
      </c>
      <c r="E543" s="2" t="s">
        <v>240</v>
      </c>
      <c r="F543" s="9" t="s">
        <v>551</v>
      </c>
      <c r="G543" t="s">
        <v>629</v>
      </c>
      <c r="I543" s="2"/>
      <c r="J543" s="25">
        <v>2</v>
      </c>
      <c r="K543">
        <v>4</v>
      </c>
      <c r="L543">
        <v>0</v>
      </c>
      <c r="M543" s="2"/>
      <c r="N543" s="2"/>
      <c r="O543" s="2"/>
      <c r="P543" s="2"/>
      <c r="Q543" s="2"/>
      <c r="R543" s="25">
        <v>7.41544296</v>
      </c>
      <c r="S543" s="25">
        <v>7.4154429599999991</v>
      </c>
      <c r="T543" s="25">
        <v>7.41544296</v>
      </c>
      <c r="U543">
        <v>7.8</v>
      </c>
      <c r="V543">
        <v>13.010999999999999</v>
      </c>
      <c r="W543">
        <v>5.5460000000000003</v>
      </c>
      <c r="X543">
        <v>0</v>
      </c>
      <c r="AA543" s="2"/>
      <c r="AB543">
        <v>14</v>
      </c>
      <c r="AC543" s="55">
        <f t="shared" si="70"/>
        <v>0</v>
      </c>
      <c r="AD543" s="57">
        <v>288.33429290182369</v>
      </c>
      <c r="AE543" s="55">
        <v>556.51188553357167</v>
      </c>
      <c r="AF543" s="55">
        <v>0</v>
      </c>
      <c r="AG543" s="52"/>
      <c r="AH543" s="51">
        <v>9.7109503410799117E-2</v>
      </c>
      <c r="AI543" s="52">
        <v>0.10062678166578309</v>
      </c>
      <c r="AJ543" s="52"/>
      <c r="AK543" s="28">
        <v>2</v>
      </c>
      <c r="AL543" s="28">
        <v>2.545454545454545</v>
      </c>
      <c r="AM543" s="28">
        <v>0.54545454545454541</v>
      </c>
      <c r="AN543" s="28">
        <v>0</v>
      </c>
      <c r="AO543" s="28">
        <v>0.39285714285714279</v>
      </c>
      <c r="AP543" s="28">
        <v>0.5</v>
      </c>
      <c r="AQ543" s="28">
        <v>0.1071428571428571</v>
      </c>
      <c r="AR543" s="28">
        <v>0</v>
      </c>
      <c r="AS543" s="25">
        <v>1.1000000000000001</v>
      </c>
      <c r="AT543" s="25">
        <v>3.44</v>
      </c>
      <c r="AU543" s="25">
        <v>2.34</v>
      </c>
      <c r="AV543" s="25">
        <v>2.669090909090909</v>
      </c>
      <c r="AW543">
        <v>2.669090909090909</v>
      </c>
      <c r="AX543">
        <v>5.9831974772727277</v>
      </c>
      <c r="AY543" s="75">
        <v>0.52442413903612473</v>
      </c>
      <c r="AZ543" s="75">
        <v>0.54341863036636606</v>
      </c>
      <c r="BA543" s="75"/>
      <c r="BC543">
        <v>4.8554751705399558E-2</v>
      </c>
      <c r="BD543">
        <v>5.0313390832891547E-2</v>
      </c>
      <c r="BF543">
        <v>9.8868142538291098E-2</v>
      </c>
      <c r="BG543">
        <v>4.9434071269145549E-2</v>
      </c>
      <c r="BH543">
        <v>0.53392138470124539</v>
      </c>
      <c r="BI543" s="79" t="s">
        <v>1264</v>
      </c>
      <c r="BJ543" s="79">
        <f>1050+273</f>
        <v>1323</v>
      </c>
      <c r="BM543" s="79" t="s">
        <v>464</v>
      </c>
      <c r="BN543" s="79" t="s">
        <v>464</v>
      </c>
      <c r="BO543" s="79">
        <v>0</v>
      </c>
      <c r="BP543" s="79">
        <v>1.2</v>
      </c>
      <c r="BQ543" s="79">
        <v>2</v>
      </c>
      <c r="BR543" s="79">
        <v>16</v>
      </c>
      <c r="BS543" s="79" t="s">
        <v>464</v>
      </c>
      <c r="BT543" s="79" t="s">
        <v>464</v>
      </c>
      <c r="BU543" s="79" t="s">
        <v>1266</v>
      </c>
      <c r="BV543" s="79">
        <v>400</v>
      </c>
      <c r="BX543" s="79" t="s">
        <v>1287</v>
      </c>
      <c r="BZ543" s="81">
        <v>20</v>
      </c>
      <c r="CA543">
        <f t="shared" si="124"/>
        <v>2.9957322735539909</v>
      </c>
    </row>
    <row r="544" spans="1:79" x14ac:dyDescent="0.3">
      <c r="A544" s="2" t="s">
        <v>246</v>
      </c>
      <c r="B544" s="13" t="s">
        <v>815</v>
      </c>
      <c r="C544" s="13"/>
      <c r="D544" s="2">
        <v>2.3199999999999998</v>
      </c>
      <c r="E544" s="2" t="s">
        <v>245</v>
      </c>
      <c r="F544" s="9" t="s">
        <v>592</v>
      </c>
      <c r="G544" t="s">
        <v>666</v>
      </c>
      <c r="H544" t="s">
        <v>1173</v>
      </c>
      <c r="I544" s="2"/>
      <c r="J544" s="25">
        <v>1</v>
      </c>
      <c r="K544">
        <v>2</v>
      </c>
      <c r="L544">
        <v>2</v>
      </c>
      <c r="M544" s="2"/>
      <c r="N544" s="2"/>
      <c r="O544" s="2"/>
      <c r="P544" s="2"/>
      <c r="Q544" s="2"/>
      <c r="R544" s="25">
        <v>4.2561477500000002</v>
      </c>
      <c r="S544" s="25">
        <v>4.2561477500000002</v>
      </c>
      <c r="T544" s="25">
        <v>5.9211799999999997</v>
      </c>
      <c r="U544">
        <v>4.1500000000000004</v>
      </c>
      <c r="V544">
        <v>4.1500000000000004</v>
      </c>
      <c r="W544">
        <v>6.7370000000000001</v>
      </c>
      <c r="X544">
        <v>0</v>
      </c>
      <c r="AA544" s="2"/>
      <c r="AB544">
        <v>2</v>
      </c>
      <c r="AC544" s="55">
        <f t="shared" si="70"/>
        <v>0</v>
      </c>
      <c r="AD544" s="57">
        <v>92.890714642371009</v>
      </c>
      <c r="AE544" s="55">
        <v>100.4831803948563</v>
      </c>
      <c r="AF544" s="55">
        <v>100.1</v>
      </c>
      <c r="AG544" s="52"/>
      <c r="AH544" s="51">
        <f>J544*AB544/AD544</f>
        <v>2.1530677287821442E-2</v>
      </c>
      <c r="AI544" s="52"/>
      <c r="AJ544" s="67">
        <f>L544*AB544/AF544</f>
        <v>3.996003996003996E-2</v>
      </c>
      <c r="AK544" s="28">
        <v>2</v>
      </c>
      <c r="AL544" s="28">
        <v>2</v>
      </c>
      <c r="AM544" s="28">
        <v>5</v>
      </c>
      <c r="AN544" s="28">
        <v>0</v>
      </c>
      <c r="AO544" s="28">
        <v>0.22222222222222221</v>
      </c>
      <c r="AP544" s="28">
        <v>0.22222222222222221</v>
      </c>
      <c r="AQ544" s="28">
        <v>0.55555555555555558</v>
      </c>
      <c r="AR544" s="28">
        <v>0</v>
      </c>
      <c r="AS544" s="25">
        <v>1.69</v>
      </c>
      <c r="AT544" s="25">
        <v>2.58</v>
      </c>
      <c r="AU544" s="25">
        <v>0.89000000000000012</v>
      </c>
      <c r="AV544" s="25">
        <v>2.1349999999999998</v>
      </c>
      <c r="AW544">
        <v>2.1349999999999998</v>
      </c>
      <c r="AX544">
        <v>5.1777336280000004</v>
      </c>
      <c r="AY544" s="75">
        <v>0.2799432770686035</v>
      </c>
      <c r="AZ544" s="75">
        <v>0.51758176769574038</v>
      </c>
      <c r="BA544" s="75">
        <v>0.51949166816826697</v>
      </c>
      <c r="BC544">
        <v>0</v>
      </c>
      <c r="BD544">
        <v>0</v>
      </c>
      <c r="BE544">
        <v>0</v>
      </c>
      <c r="BF544">
        <v>3.0745358623930699E-2</v>
      </c>
      <c r="BG544">
        <v>0</v>
      </c>
      <c r="BH544">
        <v>0.43900557097753701</v>
      </c>
      <c r="BI544" s="79" t="s">
        <v>1414</v>
      </c>
      <c r="BJ544" s="79">
        <f t="shared" ref="BJ544:BJ554" si="136">180+273</f>
        <v>453</v>
      </c>
      <c r="BK544" s="79">
        <v>24</v>
      </c>
      <c r="BM544" s="79" t="s">
        <v>464</v>
      </c>
      <c r="BN544" s="79" t="s">
        <v>464</v>
      </c>
      <c r="BO544" s="79">
        <v>0</v>
      </c>
      <c r="BP544" s="79">
        <v>8.6829999999999998</v>
      </c>
      <c r="BS544" s="79" t="s">
        <v>1415</v>
      </c>
      <c r="BT544" s="79" t="s">
        <v>1416</v>
      </c>
      <c r="BU544" s="79" t="s">
        <v>1271</v>
      </c>
      <c r="BV544" s="79">
        <v>300</v>
      </c>
      <c r="BW544" s="79">
        <v>430</v>
      </c>
      <c r="BX544" s="79" t="s">
        <v>1311</v>
      </c>
      <c r="BZ544" s="81">
        <v>200</v>
      </c>
      <c r="CA544">
        <f t="shared" si="124"/>
        <v>5.2983173665480363</v>
      </c>
    </row>
    <row r="545" spans="1:80" s="2" customFormat="1" x14ac:dyDescent="0.3">
      <c r="A545" s="2" t="s">
        <v>247</v>
      </c>
      <c r="B545" s="33" t="s">
        <v>940</v>
      </c>
      <c r="C545" s="34"/>
      <c r="D545" s="2">
        <v>2.41</v>
      </c>
      <c r="E545" s="2" t="s">
        <v>245</v>
      </c>
      <c r="F545" s="40">
        <v>-2</v>
      </c>
      <c r="G545" s="5">
        <v>-1</v>
      </c>
      <c r="J545" s="29">
        <v>0</v>
      </c>
      <c r="K545" s="2">
        <v>0</v>
      </c>
      <c r="L545" s="2">
        <v>0</v>
      </c>
      <c r="M545" s="2">
        <v>-1</v>
      </c>
      <c r="R545" s="29">
        <v>0</v>
      </c>
      <c r="S545" s="29"/>
      <c r="T545" s="29"/>
      <c r="U545" s="2">
        <v>0</v>
      </c>
      <c r="X545" s="2">
        <v>0</v>
      </c>
      <c r="AB545" s="2">
        <v>0</v>
      </c>
      <c r="AC545" s="2">
        <f t="shared" si="70"/>
        <v>0</v>
      </c>
      <c r="AD545" s="29">
        <v>0</v>
      </c>
      <c r="AE545" s="2">
        <v>0</v>
      </c>
      <c r="AF545" s="2">
        <v>0</v>
      </c>
      <c r="AH545" s="29"/>
      <c r="AK545" s="2">
        <v>2</v>
      </c>
      <c r="AL545" s="2">
        <v>0</v>
      </c>
      <c r="AM545" s="2">
        <v>10</v>
      </c>
      <c r="AN545" s="2">
        <v>0</v>
      </c>
      <c r="AO545" s="2">
        <v>0.16666666666666671</v>
      </c>
      <c r="AP545" s="2">
        <v>0</v>
      </c>
      <c r="AQ545" s="2">
        <v>0.83333333333333337</v>
      </c>
      <c r="AR545" s="2">
        <v>0</v>
      </c>
      <c r="AS545" s="29">
        <v>1.65</v>
      </c>
      <c r="AT545" s="29">
        <v>1.69</v>
      </c>
      <c r="AU545" s="29">
        <v>4.0000000000000042E-2</v>
      </c>
      <c r="AV545" s="29">
        <v>1.6859999999999999</v>
      </c>
      <c r="AW545" s="2">
        <v>1.6859999999999999</v>
      </c>
      <c r="AX545" s="2">
        <v>4.1619288499999998</v>
      </c>
      <c r="BF545" s="2">
        <v>0</v>
      </c>
      <c r="BG545" s="2">
        <v>0</v>
      </c>
      <c r="BH545" s="2">
        <v>0</v>
      </c>
      <c r="BI545" s="79" t="s">
        <v>1414</v>
      </c>
      <c r="BJ545" s="79">
        <f t="shared" si="136"/>
        <v>453</v>
      </c>
      <c r="BK545" s="79">
        <v>24</v>
      </c>
      <c r="BL545" s="79"/>
      <c r="BM545" s="79" t="s">
        <v>464</v>
      </c>
      <c r="BN545" s="79" t="s">
        <v>464</v>
      </c>
      <c r="BO545" s="79">
        <v>0</v>
      </c>
      <c r="BP545" s="79">
        <v>8.6829999999999998</v>
      </c>
      <c r="BQ545" s="79"/>
      <c r="BR545" s="79"/>
      <c r="BS545" s="79" t="s">
        <v>1415</v>
      </c>
      <c r="BT545" s="79" t="s">
        <v>1416</v>
      </c>
      <c r="BU545" s="79" t="s">
        <v>1271</v>
      </c>
      <c r="BV545" s="79">
        <v>300</v>
      </c>
      <c r="BW545" s="79">
        <v>430</v>
      </c>
      <c r="BX545" s="79" t="s">
        <v>1311</v>
      </c>
      <c r="BY545" s="79"/>
      <c r="BZ545" s="81">
        <v>200</v>
      </c>
      <c r="CA545">
        <f t="shared" si="124"/>
        <v>5.2983173665480363</v>
      </c>
      <c r="CB545"/>
    </row>
    <row r="546" spans="1:80" s="2" customFormat="1" x14ac:dyDescent="0.3">
      <c r="A546" s="2" t="s">
        <v>1417</v>
      </c>
      <c r="B546" s="33" t="s">
        <v>941</v>
      </c>
      <c r="C546" s="34"/>
      <c r="D546" s="2">
        <v>2.54</v>
      </c>
      <c r="E546" s="2" t="s">
        <v>245</v>
      </c>
      <c r="F546" s="40">
        <v>-2</v>
      </c>
      <c r="G546" s="5">
        <v>-1</v>
      </c>
      <c r="J546" s="29">
        <v>0</v>
      </c>
      <c r="K546" s="2">
        <v>0</v>
      </c>
      <c r="L546" s="2">
        <v>0</v>
      </c>
      <c r="M546" s="2">
        <v>-1</v>
      </c>
      <c r="R546" s="29">
        <v>0</v>
      </c>
      <c r="S546" s="29"/>
      <c r="T546" s="29"/>
      <c r="U546" s="2">
        <v>0</v>
      </c>
      <c r="X546" s="2">
        <v>0</v>
      </c>
      <c r="AB546" s="2">
        <v>0</v>
      </c>
      <c r="AC546" s="2">
        <f t="shared" ref="AC546" si="137">M546*N546*O546</f>
        <v>0</v>
      </c>
      <c r="AD546" s="29">
        <v>0</v>
      </c>
      <c r="AE546" s="2">
        <v>0</v>
      </c>
      <c r="AF546" s="2">
        <v>0</v>
      </c>
      <c r="AH546" s="29"/>
      <c r="AK546" s="2">
        <v>2</v>
      </c>
      <c r="AL546" s="2">
        <v>0</v>
      </c>
      <c r="AM546" s="2">
        <v>10</v>
      </c>
      <c r="AN546" s="2">
        <v>0</v>
      </c>
      <c r="AO546" s="2">
        <v>0.16666666666666671</v>
      </c>
      <c r="AP546" s="2">
        <v>0</v>
      </c>
      <c r="AQ546" s="2">
        <v>0.83333333333333348</v>
      </c>
      <c r="AR546" s="2">
        <v>0</v>
      </c>
      <c r="AS546" s="29">
        <v>1.65</v>
      </c>
      <c r="AT546" s="29">
        <v>1.69</v>
      </c>
      <c r="AU546" s="29">
        <v>4.0000000000000042E-2</v>
      </c>
      <c r="AV546" s="29">
        <v>1.6779999999999999</v>
      </c>
      <c r="AW546" s="2">
        <v>1.6779999999999999</v>
      </c>
      <c r="AX546" s="2">
        <v>4.2119665499999996</v>
      </c>
      <c r="BF546" s="2">
        <v>0</v>
      </c>
      <c r="BG546" s="2">
        <v>0</v>
      </c>
      <c r="BH546" s="2">
        <v>0</v>
      </c>
      <c r="BI546" s="79" t="s">
        <v>1414</v>
      </c>
      <c r="BJ546" s="79">
        <f t="shared" si="136"/>
        <v>453</v>
      </c>
      <c r="BK546" s="79">
        <v>24</v>
      </c>
      <c r="BL546" s="79"/>
      <c r="BM546" s="79" t="s">
        <v>464</v>
      </c>
      <c r="BN546" s="79" t="s">
        <v>464</v>
      </c>
      <c r="BO546" s="79">
        <v>0</v>
      </c>
      <c r="BP546" s="79">
        <v>8.6829999999999998</v>
      </c>
      <c r="BQ546" s="79"/>
      <c r="BR546" s="79"/>
      <c r="BS546" s="79" t="s">
        <v>1415</v>
      </c>
      <c r="BT546" s="79" t="s">
        <v>1416</v>
      </c>
      <c r="BU546" s="79" t="s">
        <v>1271</v>
      </c>
      <c r="BV546" s="79">
        <v>300</v>
      </c>
      <c r="BW546" s="79">
        <v>430</v>
      </c>
      <c r="BX546" s="79" t="s">
        <v>1311</v>
      </c>
      <c r="BY546" s="79"/>
      <c r="BZ546" s="81">
        <v>1000</v>
      </c>
      <c r="CA546">
        <f t="shared" si="124"/>
        <v>6.9077552789821368</v>
      </c>
      <c r="CB546"/>
    </row>
    <row r="547" spans="1:80" s="2" customFormat="1" x14ac:dyDescent="0.3">
      <c r="A547" s="2" t="s">
        <v>252</v>
      </c>
      <c r="B547" s="33" t="s">
        <v>941</v>
      </c>
      <c r="C547" s="34"/>
      <c r="D547" s="2">
        <v>2.54</v>
      </c>
      <c r="E547" s="2" t="s">
        <v>245</v>
      </c>
      <c r="F547" s="40">
        <v>-2</v>
      </c>
      <c r="G547" s="5">
        <v>-1</v>
      </c>
      <c r="J547" s="29">
        <v>0</v>
      </c>
      <c r="K547" s="2">
        <v>0</v>
      </c>
      <c r="L547" s="2">
        <v>0</v>
      </c>
      <c r="M547" s="2">
        <v>-1</v>
      </c>
      <c r="R547" s="29">
        <v>0</v>
      </c>
      <c r="S547" s="29"/>
      <c r="T547" s="29"/>
      <c r="U547" s="2">
        <v>0</v>
      </c>
      <c r="X547" s="2">
        <v>0</v>
      </c>
      <c r="AB547" s="2">
        <v>0</v>
      </c>
      <c r="AC547" s="2">
        <f t="shared" si="70"/>
        <v>0</v>
      </c>
      <c r="AD547" s="29">
        <v>0</v>
      </c>
      <c r="AE547" s="2">
        <v>0</v>
      </c>
      <c r="AF547" s="2">
        <v>0</v>
      </c>
      <c r="AH547" s="29"/>
      <c r="AK547" s="2">
        <v>2</v>
      </c>
      <c r="AL547" s="2">
        <v>0</v>
      </c>
      <c r="AM547" s="2">
        <v>10</v>
      </c>
      <c r="AN547" s="2">
        <v>0</v>
      </c>
      <c r="AO547" s="2">
        <v>0.16666666666666671</v>
      </c>
      <c r="AP547" s="2">
        <v>0</v>
      </c>
      <c r="AQ547" s="2">
        <v>0.83333333333333348</v>
      </c>
      <c r="AR547" s="2">
        <v>0</v>
      </c>
      <c r="AS547" s="29">
        <v>1.65</v>
      </c>
      <c r="AT547" s="29">
        <v>1.69</v>
      </c>
      <c r="AU547" s="29">
        <v>4.0000000000000042E-2</v>
      </c>
      <c r="AV547" s="29">
        <v>1.6779999999999999</v>
      </c>
      <c r="AW547" s="2">
        <v>1.6779999999999999</v>
      </c>
      <c r="AX547" s="2">
        <v>4.2119665499999996</v>
      </c>
      <c r="BF547" s="2">
        <v>0</v>
      </c>
      <c r="BG547" s="2">
        <v>0</v>
      </c>
      <c r="BH547" s="2">
        <v>0</v>
      </c>
      <c r="BI547" s="79" t="s">
        <v>1414</v>
      </c>
      <c r="BJ547" s="79">
        <f t="shared" si="136"/>
        <v>453</v>
      </c>
      <c r="BK547" s="79">
        <v>24</v>
      </c>
      <c r="BL547" s="79"/>
      <c r="BM547" s="79" t="s">
        <v>464</v>
      </c>
      <c r="BN547" s="79" t="s">
        <v>464</v>
      </c>
      <c r="BO547" s="79">
        <v>0</v>
      </c>
      <c r="BP547" s="79">
        <v>8.6829999999999998</v>
      </c>
      <c r="BQ547" s="79"/>
      <c r="BR547" s="79"/>
      <c r="BS547" s="79" t="s">
        <v>1415</v>
      </c>
      <c r="BT547" s="79" t="s">
        <v>1416</v>
      </c>
      <c r="BU547" s="79" t="s">
        <v>1271</v>
      </c>
      <c r="BV547" s="79">
        <v>300</v>
      </c>
      <c r="BW547" s="79">
        <v>430</v>
      </c>
      <c r="BX547" s="79" t="s">
        <v>1311</v>
      </c>
      <c r="BY547" s="79"/>
      <c r="BZ547" s="81">
        <v>6000</v>
      </c>
      <c r="CA547">
        <f t="shared" si="124"/>
        <v>8.6995147482101913</v>
      </c>
      <c r="CB547"/>
    </row>
    <row r="548" spans="1:80" s="2" customFormat="1" x14ac:dyDescent="0.3">
      <c r="A548" s="2" t="s">
        <v>1418</v>
      </c>
      <c r="B548" s="33" t="s">
        <v>942</v>
      </c>
      <c r="C548" s="34"/>
      <c r="D548" s="2">
        <v>2.68</v>
      </c>
      <c r="E548" s="2" t="s">
        <v>245</v>
      </c>
      <c r="F548" s="40">
        <v>-2</v>
      </c>
      <c r="G548" s="5">
        <v>-1</v>
      </c>
      <c r="J548" s="29">
        <v>0</v>
      </c>
      <c r="K548" s="2">
        <v>0</v>
      </c>
      <c r="L548" s="2">
        <v>0</v>
      </c>
      <c r="M548" s="2">
        <v>-1</v>
      </c>
      <c r="R548" s="29">
        <v>0</v>
      </c>
      <c r="S548" s="29"/>
      <c r="T548" s="29"/>
      <c r="U548" s="2">
        <v>0</v>
      </c>
      <c r="X548" s="2">
        <v>0</v>
      </c>
      <c r="AB548" s="2">
        <v>0</v>
      </c>
      <c r="AC548" s="2">
        <f t="shared" ref="AC548" si="138">M548*N548*O548</f>
        <v>0</v>
      </c>
      <c r="AD548" s="29">
        <v>0</v>
      </c>
      <c r="AE548" s="2">
        <v>0</v>
      </c>
      <c r="AF548" s="2">
        <v>0</v>
      </c>
      <c r="AH548" s="29"/>
      <c r="AK548" s="2">
        <v>2</v>
      </c>
      <c r="AL548" s="2">
        <v>0</v>
      </c>
      <c r="AM548" s="2">
        <v>10</v>
      </c>
      <c r="AN548" s="2">
        <v>0</v>
      </c>
      <c r="AO548" s="2">
        <v>0.16666666666666671</v>
      </c>
      <c r="AP548" s="2">
        <v>0</v>
      </c>
      <c r="AQ548" s="2">
        <v>0.83333333333333337</v>
      </c>
      <c r="AR548" s="2">
        <v>0</v>
      </c>
      <c r="AS548" s="29">
        <v>1.65</v>
      </c>
      <c r="AT548" s="29">
        <v>1.69</v>
      </c>
      <c r="AU548" s="29">
        <v>4.0000000000000042E-2</v>
      </c>
      <c r="AV548" s="29">
        <v>1.67</v>
      </c>
      <c r="AW548" s="2">
        <v>1.67</v>
      </c>
      <c r="AX548" s="2">
        <v>4.2620042500000004</v>
      </c>
      <c r="BF548" s="2">
        <v>0</v>
      </c>
      <c r="BG548" s="2">
        <v>0</v>
      </c>
      <c r="BH548" s="2">
        <v>0</v>
      </c>
      <c r="BI548" s="79" t="s">
        <v>1414</v>
      </c>
      <c r="BJ548" s="79">
        <f t="shared" si="136"/>
        <v>453</v>
      </c>
      <c r="BK548" s="79">
        <v>24</v>
      </c>
      <c r="BL548" s="79"/>
      <c r="BM548" s="79" t="s">
        <v>464</v>
      </c>
      <c r="BN548" s="79" t="s">
        <v>464</v>
      </c>
      <c r="BO548" s="79">
        <v>0</v>
      </c>
      <c r="BP548" s="79">
        <v>8.6829999999999998</v>
      </c>
      <c r="BQ548" s="79"/>
      <c r="BR548" s="79"/>
      <c r="BS548" s="79" t="s">
        <v>1415</v>
      </c>
      <c r="BT548" s="79" t="s">
        <v>1416</v>
      </c>
      <c r="BU548" s="79" t="s">
        <v>1271</v>
      </c>
      <c r="BV548" s="79">
        <v>300</v>
      </c>
      <c r="BW548" s="79">
        <v>430</v>
      </c>
      <c r="BX548" s="79" t="s">
        <v>1311</v>
      </c>
      <c r="BY548" s="79"/>
      <c r="BZ548" s="81">
        <v>16000</v>
      </c>
      <c r="CA548">
        <f t="shared" si="124"/>
        <v>9.6803440012219184</v>
      </c>
      <c r="CB548"/>
    </row>
    <row r="549" spans="1:80" s="2" customFormat="1" x14ac:dyDescent="0.3">
      <c r="A549" s="2" t="s">
        <v>251</v>
      </c>
      <c r="B549" s="33" t="s">
        <v>942</v>
      </c>
      <c r="C549" s="34"/>
      <c r="D549" s="2">
        <v>2.68</v>
      </c>
      <c r="E549" s="2" t="s">
        <v>245</v>
      </c>
      <c r="F549" s="40">
        <v>-2</v>
      </c>
      <c r="G549" s="5">
        <v>-1</v>
      </c>
      <c r="J549" s="29">
        <v>0</v>
      </c>
      <c r="K549" s="2">
        <v>0</v>
      </c>
      <c r="L549" s="2">
        <v>0</v>
      </c>
      <c r="M549" s="2">
        <v>-1</v>
      </c>
      <c r="R549" s="29">
        <v>0</v>
      </c>
      <c r="S549" s="29"/>
      <c r="T549" s="29"/>
      <c r="U549" s="2">
        <v>0</v>
      </c>
      <c r="X549" s="2">
        <v>0</v>
      </c>
      <c r="AB549" s="2">
        <v>0</v>
      </c>
      <c r="AC549" s="2">
        <f t="shared" si="70"/>
        <v>0</v>
      </c>
      <c r="AD549" s="29">
        <v>0</v>
      </c>
      <c r="AE549" s="2">
        <v>0</v>
      </c>
      <c r="AF549" s="2">
        <v>0</v>
      </c>
      <c r="AH549" s="29"/>
      <c r="AK549" s="2">
        <v>2</v>
      </c>
      <c r="AL549" s="2">
        <v>0</v>
      </c>
      <c r="AM549" s="2">
        <v>10</v>
      </c>
      <c r="AN549" s="2">
        <v>0</v>
      </c>
      <c r="AO549" s="2">
        <v>0.16666666666666671</v>
      </c>
      <c r="AP549" s="2">
        <v>0</v>
      </c>
      <c r="AQ549" s="2">
        <v>0.83333333333333337</v>
      </c>
      <c r="AR549" s="2">
        <v>0</v>
      </c>
      <c r="AS549" s="29">
        <v>1.65</v>
      </c>
      <c r="AT549" s="29">
        <v>1.69</v>
      </c>
      <c r="AU549" s="29">
        <v>4.0000000000000042E-2</v>
      </c>
      <c r="AV549" s="29">
        <v>1.67</v>
      </c>
      <c r="AW549" s="2">
        <v>1.67</v>
      </c>
      <c r="AX549" s="2">
        <v>4.2620042500000004</v>
      </c>
      <c r="BF549" s="2">
        <v>0</v>
      </c>
      <c r="BG549" s="2">
        <v>0</v>
      </c>
      <c r="BH549" s="2">
        <v>0</v>
      </c>
      <c r="BI549" s="79" t="s">
        <v>1414</v>
      </c>
      <c r="BJ549" s="79">
        <f t="shared" si="136"/>
        <v>453</v>
      </c>
      <c r="BK549" s="79">
        <v>24</v>
      </c>
      <c r="BL549" s="79"/>
      <c r="BM549" s="79" t="s">
        <v>464</v>
      </c>
      <c r="BN549" s="79" t="s">
        <v>464</v>
      </c>
      <c r="BO549" s="79">
        <v>0</v>
      </c>
      <c r="BP549" s="79">
        <v>8.6829999999999998</v>
      </c>
      <c r="BQ549" s="79"/>
      <c r="BR549" s="79"/>
      <c r="BS549" s="79" t="s">
        <v>1415</v>
      </c>
      <c r="BT549" s="79" t="s">
        <v>1416</v>
      </c>
      <c r="BU549" s="79" t="s">
        <v>1271</v>
      </c>
      <c r="BV549" s="79">
        <v>300</v>
      </c>
      <c r="BW549" s="79">
        <v>430</v>
      </c>
      <c r="BX549" s="79" t="s">
        <v>1311</v>
      </c>
      <c r="BY549" s="79"/>
      <c r="BZ549" s="81">
        <v>18000</v>
      </c>
      <c r="CA549">
        <f t="shared" si="124"/>
        <v>9.7981270368783022</v>
      </c>
      <c r="CB549"/>
    </row>
    <row r="550" spans="1:80" s="2" customFormat="1" x14ac:dyDescent="0.3">
      <c r="A550" s="2" t="s">
        <v>1419</v>
      </c>
      <c r="B550" s="33" t="s">
        <v>943</v>
      </c>
      <c r="C550" s="34"/>
      <c r="D550" s="2">
        <v>2.91</v>
      </c>
      <c r="E550" s="2" t="s">
        <v>245</v>
      </c>
      <c r="F550" s="40">
        <v>-2</v>
      </c>
      <c r="G550" s="5">
        <v>-1</v>
      </c>
      <c r="J550" s="29">
        <v>0</v>
      </c>
      <c r="K550" s="2">
        <v>0</v>
      </c>
      <c r="L550" s="2">
        <v>0</v>
      </c>
      <c r="M550" s="2">
        <v>-1</v>
      </c>
      <c r="R550" s="29">
        <v>0</v>
      </c>
      <c r="S550" s="29"/>
      <c r="T550" s="29"/>
      <c r="U550" s="2">
        <v>0</v>
      </c>
      <c r="X550" s="2">
        <v>0</v>
      </c>
      <c r="AB550" s="2">
        <v>0</v>
      </c>
      <c r="AC550" s="2">
        <f t="shared" ref="AC550" si="139">M550*N550*O550</f>
        <v>0</v>
      </c>
      <c r="AD550" s="29">
        <v>0</v>
      </c>
      <c r="AE550" s="2">
        <v>0</v>
      </c>
      <c r="AF550" s="2">
        <v>0</v>
      </c>
      <c r="AH550" s="29"/>
      <c r="AK550" s="2">
        <v>2</v>
      </c>
      <c r="AL550" s="2">
        <v>0</v>
      </c>
      <c r="AM550" s="2">
        <v>10</v>
      </c>
      <c r="AN550" s="2">
        <v>0</v>
      </c>
      <c r="AO550" s="2">
        <v>0.16666666666666671</v>
      </c>
      <c r="AP550" s="2">
        <v>0</v>
      </c>
      <c r="AQ550" s="2">
        <v>0.83333333333333348</v>
      </c>
      <c r="AR550" s="2">
        <v>0</v>
      </c>
      <c r="AS550" s="29">
        <v>1.65</v>
      </c>
      <c r="AT550" s="29">
        <v>1.69</v>
      </c>
      <c r="AU550" s="29">
        <v>4.0000000000000042E-2</v>
      </c>
      <c r="AV550" s="29">
        <v>1.6619999999999999</v>
      </c>
      <c r="AW550" s="2">
        <v>1.6619999999999999</v>
      </c>
      <c r="AX550" s="2">
        <v>4.3120419500000002</v>
      </c>
      <c r="BF550" s="2">
        <v>0</v>
      </c>
      <c r="BG550" s="2">
        <v>0</v>
      </c>
      <c r="BH550" s="2">
        <v>0</v>
      </c>
      <c r="BI550" s="79" t="s">
        <v>1414</v>
      </c>
      <c r="BJ550" s="79">
        <f t="shared" si="136"/>
        <v>453</v>
      </c>
      <c r="BK550" s="79">
        <v>24</v>
      </c>
      <c r="BL550" s="79"/>
      <c r="BM550" s="79" t="s">
        <v>464</v>
      </c>
      <c r="BN550" s="79" t="s">
        <v>464</v>
      </c>
      <c r="BO550" s="79">
        <v>0</v>
      </c>
      <c r="BP550" s="79">
        <v>8.6829999999999998</v>
      </c>
      <c r="BQ550" s="79"/>
      <c r="BR550" s="79"/>
      <c r="BS550" s="79" t="s">
        <v>1415</v>
      </c>
      <c r="BT550" s="79" t="s">
        <v>1416</v>
      </c>
      <c r="BU550" s="79" t="s">
        <v>1271</v>
      </c>
      <c r="BV550" s="79">
        <v>300</v>
      </c>
      <c r="BW550" s="79">
        <v>430</v>
      </c>
      <c r="BX550" s="79" t="s">
        <v>1311</v>
      </c>
      <c r="BY550" s="79"/>
      <c r="BZ550" s="81">
        <v>16000</v>
      </c>
      <c r="CA550">
        <f t="shared" si="124"/>
        <v>9.6803440012219184</v>
      </c>
      <c r="CB550"/>
    </row>
    <row r="551" spans="1:80" s="2" customFormat="1" x14ac:dyDescent="0.3">
      <c r="A551" s="2" t="s">
        <v>1420</v>
      </c>
      <c r="B551" s="33" t="s">
        <v>943</v>
      </c>
      <c r="C551" s="34"/>
      <c r="D551" s="2">
        <v>2.91</v>
      </c>
      <c r="E551" s="2" t="s">
        <v>245</v>
      </c>
      <c r="F551" s="40">
        <v>-2</v>
      </c>
      <c r="G551" s="5">
        <v>-1</v>
      </c>
      <c r="J551" s="29">
        <v>0</v>
      </c>
      <c r="K551" s="2">
        <v>0</v>
      </c>
      <c r="L551" s="2">
        <v>0</v>
      </c>
      <c r="M551" s="2">
        <v>-1</v>
      </c>
      <c r="R551" s="29">
        <v>0</v>
      </c>
      <c r="S551" s="29"/>
      <c r="T551" s="29"/>
      <c r="U551" s="2">
        <v>0</v>
      </c>
      <c r="X551" s="2">
        <v>0</v>
      </c>
      <c r="AB551" s="2">
        <v>0</v>
      </c>
      <c r="AC551" s="2">
        <f t="shared" si="70"/>
        <v>0</v>
      </c>
      <c r="AD551" s="29">
        <v>0</v>
      </c>
      <c r="AE551" s="2">
        <v>0</v>
      </c>
      <c r="AF551" s="2">
        <v>0</v>
      </c>
      <c r="AH551" s="29"/>
      <c r="AK551" s="2">
        <v>2</v>
      </c>
      <c r="AL551" s="2">
        <v>0</v>
      </c>
      <c r="AM551" s="2">
        <v>10</v>
      </c>
      <c r="AN551" s="2">
        <v>0</v>
      </c>
      <c r="AO551" s="2">
        <v>0.16666666666666671</v>
      </c>
      <c r="AP551" s="2">
        <v>0</v>
      </c>
      <c r="AQ551" s="2">
        <v>0.83333333333333348</v>
      </c>
      <c r="AR551" s="2">
        <v>0</v>
      </c>
      <c r="AS551" s="29">
        <v>1.65</v>
      </c>
      <c r="AT551" s="29">
        <v>1.69</v>
      </c>
      <c r="AU551" s="29">
        <v>4.0000000000000042E-2</v>
      </c>
      <c r="AV551" s="29">
        <v>1.6619999999999999</v>
      </c>
      <c r="AW551" s="2">
        <v>1.6619999999999999</v>
      </c>
      <c r="AX551" s="2">
        <v>4.3120419500000002</v>
      </c>
      <c r="BF551" s="2">
        <v>0</v>
      </c>
      <c r="BG551" s="2">
        <v>0</v>
      </c>
      <c r="BH551" s="2">
        <v>0</v>
      </c>
      <c r="BI551" s="79" t="s">
        <v>1414</v>
      </c>
      <c r="BJ551" s="79">
        <f t="shared" si="136"/>
        <v>453</v>
      </c>
      <c r="BK551" s="79">
        <v>24</v>
      </c>
      <c r="BL551" s="79"/>
      <c r="BM551" s="79" t="s">
        <v>464</v>
      </c>
      <c r="BN551" s="79" t="s">
        <v>464</v>
      </c>
      <c r="BO551" s="79">
        <v>0</v>
      </c>
      <c r="BP551" s="79">
        <v>8.6829999999999998</v>
      </c>
      <c r="BQ551" s="79"/>
      <c r="BR551" s="79"/>
      <c r="BS551" s="79" t="s">
        <v>1415</v>
      </c>
      <c r="BT551" s="79" t="s">
        <v>1416</v>
      </c>
      <c r="BU551" s="79" t="s">
        <v>1271</v>
      </c>
      <c r="BV551" s="79">
        <v>300</v>
      </c>
      <c r="BW551" s="79">
        <v>430</v>
      </c>
      <c r="BX551" s="79" t="s">
        <v>1311</v>
      </c>
      <c r="BY551" s="79"/>
      <c r="BZ551" s="81">
        <v>8000</v>
      </c>
      <c r="CA551">
        <f t="shared" si="124"/>
        <v>8.987196820661973</v>
      </c>
      <c r="CB551"/>
    </row>
    <row r="552" spans="1:80" s="2" customFormat="1" x14ac:dyDescent="0.3">
      <c r="A552" s="2" t="s">
        <v>1421</v>
      </c>
      <c r="B552" s="33" t="s">
        <v>944</v>
      </c>
      <c r="C552" s="34"/>
      <c r="D552" s="2">
        <v>3.36</v>
      </c>
      <c r="E552" s="2" t="s">
        <v>245</v>
      </c>
      <c r="F552" s="40">
        <v>-2</v>
      </c>
      <c r="G552" s="5">
        <v>-1</v>
      </c>
      <c r="J552" s="29">
        <v>0</v>
      </c>
      <c r="K552" s="2">
        <v>0</v>
      </c>
      <c r="L552" s="2">
        <v>0</v>
      </c>
      <c r="M552" s="2">
        <v>-1</v>
      </c>
      <c r="R552" s="29">
        <v>0</v>
      </c>
      <c r="S552" s="29"/>
      <c r="T552" s="29"/>
      <c r="U552" s="2">
        <v>0</v>
      </c>
      <c r="X552" s="2">
        <v>0</v>
      </c>
      <c r="AB552" s="2">
        <v>0</v>
      </c>
      <c r="AC552" s="2">
        <f t="shared" ref="AC552" si="140">M552*N552*O552</f>
        <v>0</v>
      </c>
      <c r="AD552" s="29">
        <v>0</v>
      </c>
      <c r="AE552" s="2">
        <v>0</v>
      </c>
      <c r="AF552" s="2">
        <v>0</v>
      </c>
      <c r="AH552" s="29"/>
      <c r="AK552" s="2">
        <v>2</v>
      </c>
      <c r="AL552" s="2">
        <v>0</v>
      </c>
      <c r="AM552" s="2">
        <v>10</v>
      </c>
      <c r="AN552" s="2">
        <v>0</v>
      </c>
      <c r="AO552" s="2">
        <v>0.16666666666666671</v>
      </c>
      <c r="AP552" s="2">
        <v>0</v>
      </c>
      <c r="AQ552" s="2">
        <v>0.83333333333333337</v>
      </c>
      <c r="AR552" s="2">
        <v>0</v>
      </c>
      <c r="AS552" s="29">
        <v>1.65</v>
      </c>
      <c r="AT552" s="29">
        <v>1.69</v>
      </c>
      <c r="AU552" s="29">
        <v>4.0000000000000042E-2</v>
      </c>
      <c r="AV552" s="29">
        <v>1.6539999999999999</v>
      </c>
      <c r="AW552" s="2">
        <v>1.6539999999999999</v>
      </c>
      <c r="AX552" s="2">
        <v>4.3620796500000001</v>
      </c>
      <c r="BF552" s="2">
        <v>0</v>
      </c>
      <c r="BG552" s="2">
        <v>0</v>
      </c>
      <c r="BH552" s="2">
        <v>0</v>
      </c>
      <c r="BI552" s="79" t="s">
        <v>1414</v>
      </c>
      <c r="BJ552" s="79">
        <f t="shared" si="136"/>
        <v>453</v>
      </c>
      <c r="BK552" s="79">
        <v>24</v>
      </c>
      <c r="BL552" s="79"/>
      <c r="BM552" s="79" t="s">
        <v>464</v>
      </c>
      <c r="BN552" s="79" t="s">
        <v>464</v>
      </c>
      <c r="BO552" s="79">
        <v>0</v>
      </c>
      <c r="BP552" s="79">
        <v>8.6829999999999998</v>
      </c>
      <c r="BQ552" s="79"/>
      <c r="BR552" s="79"/>
      <c r="BS552" s="79" t="s">
        <v>1415</v>
      </c>
      <c r="BT552" s="79" t="s">
        <v>1416</v>
      </c>
      <c r="BU552" s="79" t="s">
        <v>1271</v>
      </c>
      <c r="BV552" s="79">
        <v>300</v>
      </c>
      <c r="BW552" s="79">
        <v>430</v>
      </c>
      <c r="BX552" s="79" t="s">
        <v>1311</v>
      </c>
      <c r="BY552" s="79"/>
      <c r="BZ552" s="81">
        <v>3500</v>
      </c>
      <c r="CA552">
        <f t="shared" si="124"/>
        <v>8.1605182474775049</v>
      </c>
      <c r="CB552"/>
    </row>
    <row r="553" spans="1:80" s="2" customFormat="1" x14ac:dyDescent="0.3">
      <c r="A553" s="2" t="s">
        <v>249</v>
      </c>
      <c r="B553" s="33" t="s">
        <v>944</v>
      </c>
      <c r="C553" s="34"/>
      <c r="D553" s="2">
        <v>3.36</v>
      </c>
      <c r="E553" s="2" t="s">
        <v>245</v>
      </c>
      <c r="F553" s="40">
        <v>-2</v>
      </c>
      <c r="G553" s="5">
        <v>-1</v>
      </c>
      <c r="J553" s="29">
        <v>0</v>
      </c>
      <c r="K553" s="2">
        <v>0</v>
      </c>
      <c r="L553" s="2">
        <v>0</v>
      </c>
      <c r="M553" s="2">
        <v>-1</v>
      </c>
      <c r="R553" s="29">
        <v>0</v>
      </c>
      <c r="S553" s="29"/>
      <c r="T553" s="29"/>
      <c r="U553" s="2">
        <v>0</v>
      </c>
      <c r="X553" s="2">
        <v>0</v>
      </c>
      <c r="AB553" s="2">
        <v>0</v>
      </c>
      <c r="AC553" s="2">
        <f t="shared" si="70"/>
        <v>0</v>
      </c>
      <c r="AD553" s="29">
        <v>0</v>
      </c>
      <c r="AE553" s="2">
        <v>0</v>
      </c>
      <c r="AF553" s="2">
        <v>0</v>
      </c>
      <c r="AH553" s="29"/>
      <c r="AK553" s="2">
        <v>2</v>
      </c>
      <c r="AL553" s="2">
        <v>0</v>
      </c>
      <c r="AM553" s="2">
        <v>10</v>
      </c>
      <c r="AN553" s="2">
        <v>0</v>
      </c>
      <c r="AO553" s="2">
        <v>0.16666666666666671</v>
      </c>
      <c r="AP553" s="2">
        <v>0</v>
      </c>
      <c r="AQ553" s="2">
        <v>0.83333333333333337</v>
      </c>
      <c r="AR553" s="2">
        <v>0</v>
      </c>
      <c r="AS553" s="29">
        <v>1.65</v>
      </c>
      <c r="AT553" s="29">
        <v>1.69</v>
      </c>
      <c r="AU553" s="29">
        <v>4.0000000000000042E-2</v>
      </c>
      <c r="AV553" s="29">
        <v>1.6539999999999999</v>
      </c>
      <c r="AW553" s="2">
        <v>1.6539999999999999</v>
      </c>
      <c r="AX553" s="2">
        <v>4.3620796500000001</v>
      </c>
      <c r="BF553" s="2">
        <v>0</v>
      </c>
      <c r="BG553" s="2">
        <v>0</v>
      </c>
      <c r="BH553" s="2">
        <v>0</v>
      </c>
      <c r="BI553" s="79" t="s">
        <v>1414</v>
      </c>
      <c r="BJ553" s="79">
        <f t="shared" si="136"/>
        <v>453</v>
      </c>
      <c r="BK553" s="79">
        <v>24</v>
      </c>
      <c r="BL553" s="79"/>
      <c r="BM553" s="79" t="s">
        <v>464</v>
      </c>
      <c r="BN553" s="79" t="s">
        <v>464</v>
      </c>
      <c r="BO553" s="79">
        <v>0</v>
      </c>
      <c r="BP553" s="79">
        <v>8.6829999999999998</v>
      </c>
      <c r="BQ553" s="79"/>
      <c r="BR553" s="79"/>
      <c r="BS553" s="79" t="s">
        <v>1415</v>
      </c>
      <c r="BT553" s="79" t="s">
        <v>1416</v>
      </c>
      <c r="BU553" s="79" t="s">
        <v>1271</v>
      </c>
      <c r="BV553" s="79">
        <v>300</v>
      </c>
      <c r="BW553" s="79">
        <v>430</v>
      </c>
      <c r="BX553" s="79" t="s">
        <v>1311</v>
      </c>
      <c r="BY553" s="79"/>
      <c r="BZ553" s="81">
        <v>800</v>
      </c>
      <c r="CA553">
        <f t="shared" si="124"/>
        <v>6.6846117276679271</v>
      </c>
      <c r="CB553"/>
    </row>
    <row r="554" spans="1:80" x14ac:dyDescent="0.3">
      <c r="A554" s="2" t="s">
        <v>248</v>
      </c>
      <c r="B554" s="13" t="s">
        <v>816</v>
      </c>
      <c r="C554" s="13"/>
      <c r="D554" s="2">
        <v>3.6</v>
      </c>
      <c r="E554" s="2" t="s">
        <v>245</v>
      </c>
      <c r="F554" s="9" t="s">
        <v>593</v>
      </c>
      <c r="G554" t="s">
        <v>667</v>
      </c>
      <c r="H554" t="s">
        <v>1172</v>
      </c>
      <c r="I554" s="2"/>
      <c r="J554" s="25">
        <v>50</v>
      </c>
      <c r="K554">
        <v>2</v>
      </c>
      <c r="L554">
        <v>0</v>
      </c>
      <c r="M554" s="2"/>
      <c r="N554" s="2"/>
      <c r="O554" s="2"/>
      <c r="P554" s="2"/>
      <c r="Q554" s="2"/>
      <c r="R554" s="25">
        <v>12.345150759999999</v>
      </c>
      <c r="S554" s="25">
        <v>15.34169717</v>
      </c>
      <c r="T554" s="25">
        <v>13.410947439999999</v>
      </c>
      <c r="U554">
        <v>3.8</v>
      </c>
      <c r="V554">
        <v>3.8</v>
      </c>
      <c r="W554">
        <v>6.23</v>
      </c>
      <c r="X554">
        <v>0</v>
      </c>
      <c r="AA554" s="2"/>
      <c r="AB554">
        <v>0</v>
      </c>
      <c r="AC554" s="55">
        <f t="shared" si="70"/>
        <v>0</v>
      </c>
      <c r="AD554" s="57">
        <v>2502.9167389596269</v>
      </c>
      <c r="AE554" s="55">
        <v>77.908684554932648</v>
      </c>
      <c r="AF554" s="55">
        <v>0</v>
      </c>
      <c r="AG554" s="52"/>
      <c r="AH554" s="51">
        <v>0</v>
      </c>
      <c r="AI554" s="52">
        <v>0</v>
      </c>
      <c r="AJ554" s="52"/>
      <c r="AK554" s="28">
        <v>2</v>
      </c>
      <c r="AL554" s="28">
        <v>2</v>
      </c>
      <c r="AM554" s="28">
        <v>5</v>
      </c>
      <c r="AN554" s="28">
        <v>0</v>
      </c>
      <c r="AO554" s="28">
        <v>0.22222222222222221</v>
      </c>
      <c r="AP554" s="28">
        <v>0.22222222222222221</v>
      </c>
      <c r="AQ554" s="28">
        <v>0.55555555555555558</v>
      </c>
      <c r="AR554" s="28">
        <v>0</v>
      </c>
      <c r="AS554" s="25">
        <v>1.65</v>
      </c>
      <c r="AT554" s="25">
        <v>2.58</v>
      </c>
      <c r="AU554" s="25">
        <v>0.93000000000000016</v>
      </c>
      <c r="AV554" s="25">
        <v>2.1150000000000002</v>
      </c>
      <c r="AW554">
        <v>2.1150000000000002</v>
      </c>
      <c r="AX554">
        <v>5.3028278780000004</v>
      </c>
      <c r="AY554" s="75">
        <v>0.46813521899838401</v>
      </c>
      <c r="AZ554" s="75">
        <v>0.6015778510039812</v>
      </c>
      <c r="BA554" s="75"/>
      <c r="BC554">
        <v>0</v>
      </c>
      <c r="BD554">
        <v>0</v>
      </c>
      <c r="BF554">
        <v>0</v>
      </c>
      <c r="BG554">
        <v>0</v>
      </c>
      <c r="BH554">
        <v>0.53485653500118258</v>
      </c>
      <c r="BI554" s="79" t="s">
        <v>1414</v>
      </c>
      <c r="BJ554" s="79">
        <f t="shared" si="136"/>
        <v>453</v>
      </c>
      <c r="BK554" s="79">
        <v>24</v>
      </c>
      <c r="BM554" s="79" t="s">
        <v>464</v>
      </c>
      <c r="BN554" s="79" t="s">
        <v>464</v>
      </c>
      <c r="BO554" s="79">
        <v>0</v>
      </c>
      <c r="BP554" s="79">
        <v>8.6829999999999998</v>
      </c>
      <c r="BS554" s="79" t="s">
        <v>1415</v>
      </c>
      <c r="BT554" s="79" t="s">
        <v>1416</v>
      </c>
      <c r="BU554" s="79" t="s">
        <v>1271</v>
      </c>
      <c r="BV554" s="79">
        <v>300</v>
      </c>
      <c r="BW554" s="79">
        <v>430</v>
      </c>
      <c r="BX554" s="79" t="s">
        <v>1311</v>
      </c>
      <c r="BZ554" s="81">
        <v>200</v>
      </c>
      <c r="CA554">
        <f t="shared" si="124"/>
        <v>5.2983173665480363</v>
      </c>
    </row>
    <row r="555" spans="1:80" x14ac:dyDescent="0.3">
      <c r="A555" s="2" t="s">
        <v>15</v>
      </c>
      <c r="B555" s="13" t="s">
        <v>700</v>
      </c>
      <c r="C555" s="13"/>
      <c r="D555" s="2">
        <v>4.49</v>
      </c>
      <c r="E555" s="2" t="s">
        <v>253</v>
      </c>
      <c r="F555" s="9" t="s">
        <v>533</v>
      </c>
      <c r="G555" t="s">
        <v>614</v>
      </c>
      <c r="I555" s="2"/>
      <c r="J555" s="25">
        <v>4</v>
      </c>
      <c r="K555">
        <v>4</v>
      </c>
      <c r="L555">
        <v>0</v>
      </c>
      <c r="M555" s="2"/>
      <c r="N555" s="2"/>
      <c r="O555" s="2"/>
      <c r="P555" s="2"/>
      <c r="Q555" s="2"/>
      <c r="R555" s="25">
        <v>5.63450966</v>
      </c>
      <c r="S555" s="25">
        <v>7.6422105</v>
      </c>
      <c r="T555" s="25">
        <v>11.066420430000001</v>
      </c>
      <c r="U555">
        <v>11.013</v>
      </c>
      <c r="V555">
        <v>7.6319999999999997</v>
      </c>
      <c r="W555">
        <v>5.6210000000000004</v>
      </c>
      <c r="X555">
        <v>0</v>
      </c>
      <c r="AA555" s="2"/>
      <c r="AB555">
        <v>12</v>
      </c>
      <c r="AC555" s="55">
        <f t="shared" si="70"/>
        <v>0</v>
      </c>
      <c r="AD555" s="57">
        <v>476.5212686940929</v>
      </c>
      <c r="AE555" s="55">
        <v>472.45188513599999</v>
      </c>
      <c r="AF555" s="55">
        <v>0</v>
      </c>
      <c r="AG555" s="52"/>
      <c r="AH555" s="51">
        <v>0.1007300264509579</v>
      </c>
      <c r="AI555" s="52">
        <v>0.1015976473163669</v>
      </c>
      <c r="AJ555" s="52"/>
      <c r="AK555" s="28">
        <v>2</v>
      </c>
      <c r="AL555" s="28">
        <v>2.666666666666667</v>
      </c>
      <c r="AM555" s="28">
        <v>0.66666666666666663</v>
      </c>
      <c r="AN555" s="28">
        <v>3.1111111111111112</v>
      </c>
      <c r="AO555" s="28">
        <v>0.23684210526315791</v>
      </c>
      <c r="AP555" s="28">
        <v>0.31578947368421051</v>
      </c>
      <c r="AQ555" s="28">
        <v>7.8947368421052627E-2</v>
      </c>
      <c r="AR555" s="28">
        <v>0.36842105263157893</v>
      </c>
      <c r="AS555" s="25">
        <v>0.95</v>
      </c>
      <c r="AT555" s="25">
        <v>3.44</v>
      </c>
      <c r="AU555" s="25">
        <v>2.4900000000000002</v>
      </c>
      <c r="AV555" s="25">
        <v>2.7322222222222221</v>
      </c>
      <c r="AW555">
        <v>2.7322222222222221</v>
      </c>
      <c r="AX555">
        <v>6.2204042916666662</v>
      </c>
      <c r="AY555" s="75">
        <v>0.5362582325986015</v>
      </c>
      <c r="AZ555" s="75">
        <v>0.54087720122437066</v>
      </c>
      <c r="BA555" s="75"/>
      <c r="BC555">
        <v>5.0365013225478962E-2</v>
      </c>
      <c r="BD555">
        <v>5.0798823658183438E-2</v>
      </c>
      <c r="BF555">
        <v>0.1011638368836624</v>
      </c>
      <c r="BG555">
        <v>5.05819184418312E-2</v>
      </c>
      <c r="BH555">
        <v>0.53856771691148608</v>
      </c>
      <c r="BI555" s="79" t="s">
        <v>1305</v>
      </c>
      <c r="BJ555" s="79">
        <v>1273</v>
      </c>
      <c r="BK555" s="79">
        <v>12</v>
      </c>
      <c r="BM555" s="79" t="s">
        <v>1275</v>
      </c>
      <c r="BN555" s="79" t="s">
        <v>56</v>
      </c>
      <c r="BO555" s="79">
        <v>0.15</v>
      </c>
      <c r="BP555" s="79">
        <v>3.94</v>
      </c>
      <c r="BQ555" s="79">
        <v>1.28</v>
      </c>
      <c r="BR555" s="79">
        <v>0</v>
      </c>
      <c r="BS555" s="79" t="s">
        <v>464</v>
      </c>
      <c r="BT555" s="79" t="s">
        <v>464</v>
      </c>
      <c r="BU555" s="79" t="s">
        <v>1266</v>
      </c>
      <c r="BV555" s="79">
        <v>400</v>
      </c>
      <c r="BX555" s="79" t="s">
        <v>1287</v>
      </c>
      <c r="BZ555" s="81">
        <v>394</v>
      </c>
      <c r="CA555">
        <f t="shared" si="124"/>
        <v>5.9763509092979339</v>
      </c>
    </row>
    <row r="556" spans="1:80" x14ac:dyDescent="0.3">
      <c r="A556" s="2" t="s">
        <v>185</v>
      </c>
      <c r="B556" s="13"/>
      <c r="C556" s="13"/>
      <c r="D556" s="2"/>
      <c r="E556" s="2" t="s">
        <v>253</v>
      </c>
      <c r="F556" s="9" t="s">
        <v>556</v>
      </c>
      <c r="G556" t="s">
        <v>633</v>
      </c>
      <c r="I556" s="2"/>
      <c r="J556" s="25"/>
      <c r="M556" s="2"/>
      <c r="N556" s="2"/>
      <c r="O556" s="2"/>
      <c r="P556" s="2"/>
      <c r="Q556" s="2"/>
      <c r="R556" s="25"/>
      <c r="S556" s="25"/>
      <c r="T556" s="25"/>
      <c r="AA556" s="2"/>
      <c r="AC556" s="55"/>
      <c r="AD556" s="57"/>
      <c r="AE556" s="55"/>
      <c r="AF556" s="55"/>
      <c r="AG556" s="52"/>
      <c r="AH556" s="51"/>
      <c r="AI556" s="52"/>
      <c r="AJ556" s="52"/>
      <c r="AK556" s="28"/>
      <c r="AL556" s="28"/>
      <c r="AM556" s="28"/>
      <c r="AN556" s="28"/>
      <c r="AO556" s="28"/>
      <c r="AP556" s="28"/>
      <c r="AQ556" s="28"/>
      <c r="AR556" s="28"/>
      <c r="AS556" s="25"/>
      <c r="AT556" s="25"/>
      <c r="AU556" s="25"/>
      <c r="AV556" s="25"/>
      <c r="AY556" s="75"/>
      <c r="AZ556" s="75"/>
      <c r="BA556" s="75"/>
      <c r="BI556" s="79" t="s">
        <v>1305</v>
      </c>
      <c r="BJ556" s="79">
        <v>1273</v>
      </c>
      <c r="BK556" s="79">
        <v>5</v>
      </c>
      <c r="BM556" s="79" t="s">
        <v>1275</v>
      </c>
      <c r="BN556" s="79" t="s">
        <v>56</v>
      </c>
      <c r="BO556" s="79">
        <v>0.15</v>
      </c>
      <c r="BP556" s="79">
        <v>4.5</v>
      </c>
      <c r="BQ556" s="79">
        <v>1.28</v>
      </c>
      <c r="BR556" s="79">
        <v>0</v>
      </c>
      <c r="BS556" s="79" t="s">
        <v>464</v>
      </c>
      <c r="BT556" s="79" t="s">
        <v>464</v>
      </c>
      <c r="BU556" s="79" t="s">
        <v>1266</v>
      </c>
      <c r="BV556" s="79">
        <v>400</v>
      </c>
      <c r="BX556" s="79" t="s">
        <v>1287</v>
      </c>
      <c r="BZ556" s="81">
        <v>2141</v>
      </c>
      <c r="CA556">
        <f t="shared" si="124"/>
        <v>7.6690282885896828</v>
      </c>
    </row>
    <row r="557" spans="1:80" x14ac:dyDescent="0.3">
      <c r="A557" s="2" t="s">
        <v>254</v>
      </c>
      <c r="B557" s="13" t="s">
        <v>817</v>
      </c>
      <c r="C557" s="13"/>
      <c r="D557" s="2">
        <v>4.8099999999999996</v>
      </c>
      <c r="E557" s="2" t="s">
        <v>253</v>
      </c>
      <c r="F557" s="9" t="s">
        <v>594</v>
      </c>
      <c r="G557">
        <v>-1</v>
      </c>
      <c r="I557" s="2"/>
      <c r="J557" s="25">
        <v>4</v>
      </c>
      <c r="K557">
        <v>0</v>
      </c>
      <c r="L557">
        <v>0</v>
      </c>
      <c r="M557" s="2"/>
      <c r="N557" s="2"/>
      <c r="O557" s="2"/>
      <c r="P557" s="2"/>
      <c r="Q557" s="2"/>
      <c r="R557" s="25">
        <v>5.8119930000000002</v>
      </c>
      <c r="S557" s="25">
        <v>10.228956</v>
      </c>
      <c r="T557" s="25">
        <v>17.904929589999998</v>
      </c>
      <c r="U557">
        <v>0</v>
      </c>
      <c r="X557">
        <v>0</v>
      </c>
      <c r="AA557" s="2"/>
      <c r="AB557">
        <v>18</v>
      </c>
      <c r="AC557" s="55">
        <f t="shared" ref="AC557:AC676" si="141">M557*N557*O557</f>
        <v>0</v>
      </c>
      <c r="AD557" s="57">
        <v>882.26177591634428</v>
      </c>
      <c r="AE557" s="55">
        <v>0</v>
      </c>
      <c r="AF557" s="55">
        <v>0</v>
      </c>
      <c r="AG557" s="52"/>
      <c r="AH557" s="51">
        <v>8.1608431834438916E-2</v>
      </c>
      <c r="AI557" s="52"/>
      <c r="AJ557" s="52"/>
      <c r="AK557" s="28">
        <v>2</v>
      </c>
      <c r="AL557" s="28">
        <v>2.4</v>
      </c>
      <c r="AM557" s="28">
        <v>0.4</v>
      </c>
      <c r="AN557" s="28">
        <v>1.8666666666666669</v>
      </c>
      <c r="AO557" s="28">
        <v>0.3</v>
      </c>
      <c r="AP557" s="28">
        <v>0.36</v>
      </c>
      <c r="AQ557" s="28">
        <v>0.06</v>
      </c>
      <c r="AR557" s="28">
        <v>0.28000000000000003</v>
      </c>
      <c r="AS557" s="25">
        <v>0.95</v>
      </c>
      <c r="AT557" s="25">
        <v>3.44</v>
      </c>
      <c r="AU557" s="25">
        <v>2.4900000000000002</v>
      </c>
      <c r="AV557" s="25">
        <v>2.5173333333333332</v>
      </c>
      <c r="AW557">
        <v>2.5173333333333341</v>
      </c>
      <c r="AX557">
        <v>5.8148519500000004</v>
      </c>
      <c r="AY557" s="75">
        <v>0.53464553504946077</v>
      </c>
      <c r="AZ557" s="75"/>
      <c r="BA557" s="75"/>
      <c r="BC557">
        <v>4.0804215917219458E-2</v>
      </c>
      <c r="BF557">
        <v>8.1608431834438916E-2</v>
      </c>
      <c r="BG557">
        <v>4.0804215917219458E-2</v>
      </c>
      <c r="BH557">
        <v>0.53464553504946077</v>
      </c>
      <c r="BI557" s="79" t="s">
        <v>1305</v>
      </c>
      <c r="BJ557" s="79">
        <v>1273</v>
      </c>
      <c r="BK557" s="79">
        <v>12</v>
      </c>
      <c r="BM557" s="79" t="s">
        <v>1275</v>
      </c>
      <c r="BN557" s="79" t="s">
        <v>56</v>
      </c>
      <c r="BO557" s="79">
        <v>0.15</v>
      </c>
      <c r="BP557" s="79">
        <v>2.61</v>
      </c>
      <c r="BQ557" s="79">
        <v>1.28</v>
      </c>
      <c r="BR557" s="79">
        <v>0</v>
      </c>
      <c r="BS557" s="79" t="s">
        <v>464</v>
      </c>
      <c r="BT557" s="79" t="s">
        <v>464</v>
      </c>
      <c r="BU557" s="79" t="s">
        <v>1266</v>
      </c>
      <c r="BV557" s="79">
        <v>400</v>
      </c>
      <c r="BX557" s="79" t="s">
        <v>1287</v>
      </c>
      <c r="BZ557" s="81">
        <v>32</v>
      </c>
      <c r="CA557">
        <f t="shared" si="124"/>
        <v>3.4657359027997265</v>
      </c>
    </row>
    <row r="558" spans="1:80" x14ac:dyDescent="0.3">
      <c r="A558" s="2" t="s">
        <v>221</v>
      </c>
      <c r="B558" s="13" t="s">
        <v>808</v>
      </c>
      <c r="C558" s="13"/>
      <c r="D558" s="2">
        <v>4.75</v>
      </c>
      <c r="E558" s="2" t="s">
        <v>253</v>
      </c>
      <c r="F558" s="9" t="s">
        <v>589</v>
      </c>
      <c r="G558">
        <v>-1</v>
      </c>
      <c r="I558" s="2"/>
      <c r="J558" s="25">
        <v>1</v>
      </c>
      <c r="K558">
        <v>0</v>
      </c>
      <c r="L558">
        <v>0</v>
      </c>
      <c r="M558" s="2"/>
      <c r="N558" s="2"/>
      <c r="O558" s="2"/>
      <c r="P558" s="2"/>
      <c r="Q558" s="2"/>
      <c r="R558" s="25">
        <v>5.6694849300000003</v>
      </c>
      <c r="S558" s="25">
        <v>5.6694842000000003</v>
      </c>
      <c r="T558" s="25">
        <v>11.54266629</v>
      </c>
      <c r="U558">
        <v>0</v>
      </c>
      <c r="X558">
        <v>0</v>
      </c>
      <c r="AA558" s="2"/>
      <c r="AB558">
        <v>30</v>
      </c>
      <c r="AC558" s="55">
        <f t="shared" si="141"/>
        <v>0</v>
      </c>
      <c r="AD558" s="57">
        <v>321.30962315738361</v>
      </c>
      <c r="AE558" s="55">
        <v>0</v>
      </c>
      <c r="AF558" s="55">
        <v>0</v>
      </c>
      <c r="AG558" s="52"/>
      <c r="AH558" s="51">
        <v>9.3367885173191417E-2</v>
      </c>
      <c r="AI558" s="52"/>
      <c r="AJ558" s="52"/>
      <c r="AK558" s="28">
        <v>2</v>
      </c>
      <c r="AL558" s="28">
        <v>2.5</v>
      </c>
      <c r="AM558" s="28">
        <v>0.5</v>
      </c>
      <c r="AN558" s="28">
        <v>2.333333333333333</v>
      </c>
      <c r="AO558" s="28">
        <v>0.27272727272727282</v>
      </c>
      <c r="AP558" s="28">
        <v>0.34090909090909088</v>
      </c>
      <c r="AQ558" s="28">
        <v>6.8181818181818191E-2</v>
      </c>
      <c r="AR558" s="28">
        <v>0.31818181818181818</v>
      </c>
      <c r="AS558" s="25">
        <v>0.95</v>
      </c>
      <c r="AT558" s="25">
        <v>3.44</v>
      </c>
      <c r="AU558" s="25">
        <v>2.4900000000000002</v>
      </c>
      <c r="AV558" s="25">
        <v>2.5979166666666669</v>
      </c>
      <c r="AW558">
        <v>2.597916666666666</v>
      </c>
      <c r="AX558">
        <v>5.966934078125</v>
      </c>
      <c r="AY558" s="75">
        <v>0.56583721757051464</v>
      </c>
      <c r="AZ558" s="75"/>
      <c r="BA558" s="75"/>
      <c r="BC558">
        <v>4.6683942586595709E-2</v>
      </c>
      <c r="BF558">
        <v>9.3367885173191417E-2</v>
      </c>
      <c r="BG558">
        <v>4.6683942586595709E-2</v>
      </c>
      <c r="BH558">
        <v>0.56583721757051464</v>
      </c>
      <c r="BI558" s="79" t="s">
        <v>1305</v>
      </c>
      <c r="BJ558" s="79">
        <v>1273</v>
      </c>
      <c r="BK558" s="79">
        <v>60</v>
      </c>
      <c r="BM558" s="79" t="s">
        <v>1275</v>
      </c>
      <c r="BN558" s="79" t="s">
        <v>56</v>
      </c>
      <c r="BO558" s="79">
        <v>0.15</v>
      </c>
      <c r="BP558" s="79">
        <v>2.99</v>
      </c>
      <c r="BQ558" s="79">
        <v>1.28</v>
      </c>
      <c r="BR558" s="79">
        <v>0</v>
      </c>
      <c r="BS558" s="79" t="s">
        <v>464</v>
      </c>
      <c r="BT558" s="79" t="s">
        <v>464</v>
      </c>
      <c r="BU558" s="79" t="s">
        <v>1266</v>
      </c>
      <c r="BV558" s="79">
        <v>400</v>
      </c>
      <c r="BX558" s="79" t="s">
        <v>1287</v>
      </c>
      <c r="BZ558" s="81">
        <v>1194</v>
      </c>
      <c r="CA558">
        <f t="shared" si="124"/>
        <v>7.0850642939525477</v>
      </c>
    </row>
    <row r="559" spans="1:80" x14ac:dyDescent="0.3">
      <c r="A559" s="2" t="s">
        <v>0</v>
      </c>
      <c r="B559" s="13" t="s">
        <v>685</v>
      </c>
      <c r="C559" s="13"/>
      <c r="D559" s="2">
        <v>3.3</v>
      </c>
      <c r="E559" s="2" t="s">
        <v>257</v>
      </c>
      <c r="F559" s="9" t="s">
        <v>523</v>
      </c>
      <c r="G559" t="s">
        <v>606</v>
      </c>
      <c r="I559" s="2"/>
      <c r="J559" s="25">
        <v>4</v>
      </c>
      <c r="K559">
        <v>4</v>
      </c>
      <c r="L559">
        <v>0</v>
      </c>
      <c r="M559" s="2"/>
      <c r="N559" s="2"/>
      <c r="O559" s="2"/>
      <c r="P559" s="2"/>
      <c r="Q559" s="2"/>
      <c r="R559" s="25">
        <v>6.6040679999999998</v>
      </c>
      <c r="S559" s="25">
        <v>7.9389519999999996</v>
      </c>
      <c r="T559" s="25">
        <v>33.703336</v>
      </c>
      <c r="U559">
        <v>7.83</v>
      </c>
      <c r="V559">
        <v>33.209989999999998</v>
      </c>
      <c r="W559">
        <v>6.46</v>
      </c>
      <c r="X559">
        <v>0</v>
      </c>
      <c r="AA559" s="2"/>
      <c r="AB559">
        <v>34</v>
      </c>
      <c r="AC559" s="55">
        <f t="shared" ref="AC559" si="142">M559*N559*O559</f>
        <v>0</v>
      </c>
      <c r="AD559" s="57">
        <v>1767.0449718798691</v>
      </c>
      <c r="AE559" s="55">
        <v>1679.8210721820001</v>
      </c>
      <c r="AF559" s="55">
        <v>0</v>
      </c>
      <c r="AG559" s="52"/>
      <c r="AH559" s="51">
        <v>7.6964651247849417E-2</v>
      </c>
      <c r="AI559" s="52">
        <v>8.0961003676030277E-2</v>
      </c>
      <c r="AJ559" s="52"/>
      <c r="AK559" s="28">
        <v>1.62962962962963</v>
      </c>
      <c r="AL559" s="28">
        <v>2.518518518518519</v>
      </c>
      <c r="AM559" s="28">
        <v>0.88888888888888884</v>
      </c>
      <c r="AN559" s="28">
        <v>0</v>
      </c>
      <c r="AO559" s="28">
        <v>0.32352941176470579</v>
      </c>
      <c r="AP559" s="28">
        <v>0.5</v>
      </c>
      <c r="AQ559" s="28">
        <v>0.1764705882352941</v>
      </c>
      <c r="AR559" s="28">
        <v>0</v>
      </c>
      <c r="AS559" s="25">
        <v>0.82</v>
      </c>
      <c r="AT559" s="25">
        <v>3.44</v>
      </c>
      <c r="AU559" s="25">
        <v>2.62</v>
      </c>
      <c r="AV559" s="25">
        <v>2.642962962962963</v>
      </c>
      <c r="AW559">
        <v>2.642962962962963</v>
      </c>
      <c r="AX559">
        <v>5.9587362692592576</v>
      </c>
      <c r="AY559" s="75">
        <v>0.48264383878002159</v>
      </c>
      <c r="AZ559" s="75">
        <v>0.50770488753139842</v>
      </c>
      <c r="BA559" s="75"/>
      <c r="BC559">
        <v>3.8482325623924708E-2</v>
      </c>
      <c r="BD559">
        <v>4.0480501838015132E-2</v>
      </c>
      <c r="BF559">
        <v>7.8962827461939847E-2</v>
      </c>
      <c r="BG559">
        <v>3.9481413730969923E-2</v>
      </c>
      <c r="BH559">
        <v>0.49517436315571001</v>
      </c>
      <c r="BI559" s="79" t="s">
        <v>1264</v>
      </c>
      <c r="BJ559" s="79">
        <v>1473</v>
      </c>
      <c r="BM559" s="79" t="s">
        <v>1275</v>
      </c>
      <c r="BN559" s="79" t="s">
        <v>56</v>
      </c>
      <c r="BO559" s="79">
        <v>0.1</v>
      </c>
      <c r="BP559" s="79">
        <v>1</v>
      </c>
      <c r="BQ559" s="79">
        <v>1.51</v>
      </c>
      <c r="BR559" s="79">
        <v>0</v>
      </c>
      <c r="BS559" s="79" t="s">
        <v>464</v>
      </c>
      <c r="BT559" s="79" t="s">
        <v>464</v>
      </c>
      <c r="BU559" s="79" t="s">
        <v>1266</v>
      </c>
      <c r="BV559" s="79">
        <v>450</v>
      </c>
      <c r="BX559" s="79" t="s">
        <v>1287</v>
      </c>
      <c r="BZ559" s="81">
        <v>1548</v>
      </c>
      <c r="CA559">
        <f t="shared" si="124"/>
        <v>7.3447190541496727</v>
      </c>
    </row>
    <row r="560" spans="1:80" x14ac:dyDescent="0.3">
      <c r="A560" s="2" t="s">
        <v>0</v>
      </c>
      <c r="B560" s="13" t="s">
        <v>685</v>
      </c>
      <c r="C560" s="13"/>
      <c r="D560" s="2">
        <v>3.3</v>
      </c>
      <c r="E560" s="2" t="s">
        <v>257</v>
      </c>
      <c r="F560" s="9" t="s">
        <v>523</v>
      </c>
      <c r="G560" t="s">
        <v>606</v>
      </c>
      <c r="I560" s="2"/>
      <c r="J560" s="25">
        <v>4</v>
      </c>
      <c r="K560">
        <v>4</v>
      </c>
      <c r="L560">
        <v>0</v>
      </c>
      <c r="M560" s="2"/>
      <c r="N560" s="2"/>
      <c r="O560" s="2"/>
      <c r="P560" s="2"/>
      <c r="Q560" s="2"/>
      <c r="R560" s="25">
        <v>6.6040679999999998</v>
      </c>
      <c r="S560" s="25">
        <v>7.9389519999999996</v>
      </c>
      <c r="T560" s="25">
        <v>33.703336</v>
      </c>
      <c r="U560">
        <v>7.83</v>
      </c>
      <c r="V560">
        <v>33.209989999999998</v>
      </c>
      <c r="W560">
        <v>6.46</v>
      </c>
      <c r="X560">
        <v>0</v>
      </c>
      <c r="AA560" s="2"/>
      <c r="AB560">
        <v>34</v>
      </c>
      <c r="AC560" s="55">
        <f t="shared" si="141"/>
        <v>0</v>
      </c>
      <c r="AD560" s="57">
        <v>1767.0449718798691</v>
      </c>
      <c r="AE560" s="55">
        <v>1679.8210721820001</v>
      </c>
      <c r="AF560" s="55">
        <v>0</v>
      </c>
      <c r="AG560" s="52"/>
      <c r="AH560" s="51">
        <v>7.6964651247849417E-2</v>
      </c>
      <c r="AI560" s="52">
        <v>8.0961003676030277E-2</v>
      </c>
      <c r="AJ560" s="52"/>
      <c r="AK560" s="28">
        <v>1.62962962962963</v>
      </c>
      <c r="AL560" s="28">
        <v>2.518518518518519</v>
      </c>
      <c r="AM560" s="28">
        <v>0.88888888888888884</v>
      </c>
      <c r="AN560" s="28">
        <v>0</v>
      </c>
      <c r="AO560" s="28">
        <v>0.32352941176470579</v>
      </c>
      <c r="AP560" s="28">
        <v>0.5</v>
      </c>
      <c r="AQ560" s="28">
        <v>0.1764705882352941</v>
      </c>
      <c r="AR560" s="28">
        <v>0</v>
      </c>
      <c r="AS560" s="25">
        <v>0.82</v>
      </c>
      <c r="AT560" s="25">
        <v>3.44</v>
      </c>
      <c r="AU560" s="25">
        <v>2.62</v>
      </c>
      <c r="AV560" s="25">
        <v>2.642962962962963</v>
      </c>
      <c r="AW560">
        <v>2.642962962962963</v>
      </c>
      <c r="AX560">
        <v>5.9587362692592576</v>
      </c>
      <c r="AY560" s="75">
        <v>0.48264383878002159</v>
      </c>
      <c r="AZ560" s="75">
        <v>0.50770488753139842</v>
      </c>
      <c r="BA560" s="75"/>
      <c r="BC560">
        <v>3.8482325623924708E-2</v>
      </c>
      <c r="BD560">
        <v>4.0480501838015132E-2</v>
      </c>
      <c r="BF560">
        <v>7.8962827461939847E-2</v>
      </c>
      <c r="BG560">
        <v>3.9481413730969923E-2</v>
      </c>
      <c r="BH560">
        <v>0.49517436315571001</v>
      </c>
      <c r="BI560" s="79" t="s">
        <v>1264</v>
      </c>
      <c r="BJ560" s="79">
        <v>1473</v>
      </c>
      <c r="BM560" s="79" t="s">
        <v>1275</v>
      </c>
      <c r="BN560" s="79" t="s">
        <v>56</v>
      </c>
      <c r="BO560" s="79">
        <v>0.1</v>
      </c>
      <c r="BP560" s="79">
        <v>17.3</v>
      </c>
      <c r="BQ560" s="79">
        <v>1.51</v>
      </c>
      <c r="BR560" s="79">
        <v>0</v>
      </c>
      <c r="BS560" s="79" t="s">
        <v>464</v>
      </c>
      <c r="BT560" s="79" t="s">
        <v>464</v>
      </c>
      <c r="BU560" s="79" t="s">
        <v>1266</v>
      </c>
      <c r="BV560" s="79">
        <v>450</v>
      </c>
      <c r="BX560" s="79" t="s">
        <v>1287</v>
      </c>
      <c r="BZ560" s="81">
        <v>1156</v>
      </c>
      <c r="CA560">
        <f t="shared" si="124"/>
        <v>7.0527210492323231</v>
      </c>
    </row>
    <row r="561" spans="1:79" x14ac:dyDescent="0.3">
      <c r="A561" s="2" t="s">
        <v>0</v>
      </c>
      <c r="B561" s="13" t="s">
        <v>685</v>
      </c>
      <c r="C561" s="13"/>
      <c r="D561" s="2">
        <v>3.3</v>
      </c>
      <c r="E561" s="2" t="s">
        <v>257</v>
      </c>
      <c r="F561" s="9" t="s">
        <v>523</v>
      </c>
      <c r="G561" t="s">
        <v>606</v>
      </c>
      <c r="I561" s="2"/>
      <c r="J561" s="25">
        <v>4</v>
      </c>
      <c r="K561">
        <v>4</v>
      </c>
      <c r="L561">
        <v>0</v>
      </c>
      <c r="M561" s="2"/>
      <c r="N561" s="2"/>
      <c r="O561" s="2"/>
      <c r="P561" s="2"/>
      <c r="Q561" s="2"/>
      <c r="R561" s="25">
        <v>6.6040679999999998</v>
      </c>
      <c r="S561" s="25">
        <v>7.9389519999999996</v>
      </c>
      <c r="T561" s="25">
        <v>33.703336</v>
      </c>
      <c r="U561">
        <v>7.83</v>
      </c>
      <c r="V561">
        <v>33.209989999999998</v>
      </c>
      <c r="W561">
        <v>6.46</v>
      </c>
      <c r="X561">
        <v>0</v>
      </c>
      <c r="AA561" s="2"/>
      <c r="AB561">
        <v>34</v>
      </c>
      <c r="AC561" s="55">
        <f t="shared" si="141"/>
        <v>0</v>
      </c>
      <c r="AD561" s="57">
        <v>1767.0449718798691</v>
      </c>
      <c r="AE561" s="55">
        <v>1679.8210721820001</v>
      </c>
      <c r="AF561" s="55">
        <v>0</v>
      </c>
      <c r="AG561" s="52"/>
      <c r="AH561" s="51">
        <v>7.6964651247849417E-2</v>
      </c>
      <c r="AI561" s="52">
        <v>8.0961003676030277E-2</v>
      </c>
      <c r="AJ561" s="52"/>
      <c r="AK561" s="28">
        <v>1.62962962962963</v>
      </c>
      <c r="AL561" s="28">
        <v>2.518518518518519</v>
      </c>
      <c r="AM561" s="28">
        <v>0.88888888888888884</v>
      </c>
      <c r="AN561" s="28">
        <v>0</v>
      </c>
      <c r="AO561" s="28">
        <v>0.32352941176470579</v>
      </c>
      <c r="AP561" s="28">
        <v>0.5</v>
      </c>
      <c r="AQ561" s="28">
        <v>0.1764705882352941</v>
      </c>
      <c r="AR561" s="28">
        <v>0</v>
      </c>
      <c r="AS561" s="25">
        <v>0.82</v>
      </c>
      <c r="AT561" s="25">
        <v>3.44</v>
      </c>
      <c r="AU561" s="25">
        <v>2.62</v>
      </c>
      <c r="AV561" s="25">
        <v>2.642962962962963</v>
      </c>
      <c r="AW561">
        <v>2.642962962962963</v>
      </c>
      <c r="AX561">
        <v>5.9587362692592576</v>
      </c>
      <c r="AY561" s="75">
        <v>0.48264383878002159</v>
      </c>
      <c r="AZ561" s="75">
        <v>0.50770488753139842</v>
      </c>
      <c r="BA561" s="75"/>
      <c r="BC561">
        <v>3.8482325623924708E-2</v>
      </c>
      <c r="BD561">
        <v>4.0480501838015132E-2</v>
      </c>
      <c r="BF561">
        <v>7.8962827461939847E-2</v>
      </c>
      <c r="BG561">
        <v>3.9481413730969923E-2</v>
      </c>
      <c r="BH561">
        <v>0.49517436315571001</v>
      </c>
      <c r="BI561" s="79" t="s">
        <v>1264</v>
      </c>
      <c r="BJ561" s="79">
        <v>1473</v>
      </c>
      <c r="BM561" s="79" t="s">
        <v>1275</v>
      </c>
      <c r="BN561" s="79" t="s">
        <v>56</v>
      </c>
      <c r="BO561" s="79">
        <v>0.1</v>
      </c>
      <c r="BP561" s="79">
        <v>14.6</v>
      </c>
      <c r="BQ561" s="79">
        <v>1.51</v>
      </c>
      <c r="BR561" s="79">
        <v>0</v>
      </c>
      <c r="BS561" s="79" t="s">
        <v>464</v>
      </c>
      <c r="BT561" s="79" t="s">
        <v>464</v>
      </c>
      <c r="BU561" s="79" t="s">
        <v>1266</v>
      </c>
      <c r="BV561" s="79">
        <v>450</v>
      </c>
      <c r="BX561" s="79" t="s">
        <v>1287</v>
      </c>
      <c r="BZ561" s="81">
        <v>1212</v>
      </c>
      <c r="CA561">
        <f t="shared" si="124"/>
        <v>7.1000271666292596</v>
      </c>
    </row>
    <row r="562" spans="1:79" x14ac:dyDescent="0.3">
      <c r="A562" s="2" t="s">
        <v>0</v>
      </c>
      <c r="B562" s="13" t="s">
        <v>685</v>
      </c>
      <c r="C562" s="13"/>
      <c r="D562" s="2">
        <v>3.3</v>
      </c>
      <c r="E562" s="2" t="s">
        <v>257</v>
      </c>
      <c r="F562" s="9" t="s">
        <v>523</v>
      </c>
      <c r="G562" t="s">
        <v>606</v>
      </c>
      <c r="I562" s="2"/>
      <c r="J562" s="25">
        <v>4</v>
      </c>
      <c r="K562">
        <v>4</v>
      </c>
      <c r="L562">
        <v>0</v>
      </c>
      <c r="M562" s="2"/>
      <c r="N562" s="2"/>
      <c r="O562" s="2"/>
      <c r="P562" s="2"/>
      <c r="Q562" s="2"/>
      <c r="R562" s="25">
        <v>6.6040679999999998</v>
      </c>
      <c r="S562" s="25">
        <v>7.9389519999999996</v>
      </c>
      <c r="T562" s="25">
        <v>33.703336</v>
      </c>
      <c r="U562">
        <v>7.83</v>
      </c>
      <c r="V562">
        <v>33.209989999999998</v>
      </c>
      <c r="W562">
        <v>6.46</v>
      </c>
      <c r="X562">
        <v>0</v>
      </c>
      <c r="AA562" s="2"/>
      <c r="AB562">
        <v>34</v>
      </c>
      <c r="AC562" s="55">
        <f t="shared" ref="AC562:AC565" si="143">M562*N562*O562</f>
        <v>0</v>
      </c>
      <c r="AD562" s="57">
        <v>1767.0449718798691</v>
      </c>
      <c r="AE562" s="55">
        <v>1679.8210721820001</v>
      </c>
      <c r="AF562" s="55">
        <v>0</v>
      </c>
      <c r="AG562" s="52"/>
      <c r="AH562" s="51">
        <v>7.6964651247849417E-2</v>
      </c>
      <c r="AI562" s="52">
        <v>8.0961003676030277E-2</v>
      </c>
      <c r="AJ562" s="52"/>
      <c r="AK562" s="28">
        <v>1.62962962962963</v>
      </c>
      <c r="AL562" s="28">
        <v>2.518518518518519</v>
      </c>
      <c r="AM562" s="28">
        <v>0.88888888888888884</v>
      </c>
      <c r="AN562" s="28">
        <v>0</v>
      </c>
      <c r="AO562" s="28">
        <v>0.32352941176470579</v>
      </c>
      <c r="AP562" s="28">
        <v>0.5</v>
      </c>
      <c r="AQ562" s="28">
        <v>0.1764705882352941</v>
      </c>
      <c r="AR562" s="28">
        <v>0</v>
      </c>
      <c r="AS562" s="25">
        <v>0.82</v>
      </c>
      <c r="AT562" s="25">
        <v>3.44</v>
      </c>
      <c r="AU562" s="25">
        <v>2.62</v>
      </c>
      <c r="AV562" s="25">
        <v>2.642962962962963</v>
      </c>
      <c r="AW562">
        <v>2.642962962962963</v>
      </c>
      <c r="AX562">
        <v>5.9587362692592576</v>
      </c>
      <c r="AY562" s="75">
        <v>0.48264383878002159</v>
      </c>
      <c r="AZ562" s="75">
        <v>0.50770488753139842</v>
      </c>
      <c r="BA562" s="75"/>
      <c r="BC562">
        <v>3.8482325623924708E-2</v>
      </c>
      <c r="BD562">
        <v>4.0480501838015132E-2</v>
      </c>
      <c r="BF562">
        <v>7.8962827461939847E-2</v>
      </c>
      <c r="BG562">
        <v>3.9481413730969923E-2</v>
      </c>
      <c r="BH562">
        <v>0.49517436315571001</v>
      </c>
      <c r="BI562" s="79" t="s">
        <v>1264</v>
      </c>
      <c r="BJ562" s="79">
        <v>1473</v>
      </c>
      <c r="BM562" s="79" t="s">
        <v>1275</v>
      </c>
      <c r="BN562" s="79" t="s">
        <v>56</v>
      </c>
      <c r="BO562" s="79">
        <v>0.1</v>
      </c>
      <c r="BP562" s="79">
        <v>13.9</v>
      </c>
      <c r="BQ562" s="79">
        <v>1.51</v>
      </c>
      <c r="BR562" s="79">
        <v>0</v>
      </c>
      <c r="BS562" s="79" t="s">
        <v>464</v>
      </c>
      <c r="BT562" s="79" t="s">
        <v>464</v>
      </c>
      <c r="BU562" s="79" t="s">
        <v>1266</v>
      </c>
      <c r="BV562" s="79">
        <v>450</v>
      </c>
      <c r="BX562" s="79" t="s">
        <v>1287</v>
      </c>
      <c r="BZ562" s="81">
        <v>1812</v>
      </c>
      <c r="CA562">
        <f t="shared" si="124"/>
        <v>7.5021864866029242</v>
      </c>
    </row>
    <row r="563" spans="1:79" x14ac:dyDescent="0.3">
      <c r="A563" s="2" t="s">
        <v>0</v>
      </c>
      <c r="B563" s="13" t="s">
        <v>685</v>
      </c>
      <c r="C563" s="13"/>
      <c r="D563" s="2">
        <v>3.3</v>
      </c>
      <c r="E563" s="2" t="s">
        <v>257</v>
      </c>
      <c r="F563" s="9" t="s">
        <v>523</v>
      </c>
      <c r="G563" t="s">
        <v>606</v>
      </c>
      <c r="I563" s="2"/>
      <c r="J563" s="25">
        <v>4</v>
      </c>
      <c r="K563">
        <v>4</v>
      </c>
      <c r="L563">
        <v>0</v>
      </c>
      <c r="M563" s="2"/>
      <c r="N563" s="2"/>
      <c r="O563" s="2"/>
      <c r="P563" s="2"/>
      <c r="Q563" s="2"/>
      <c r="R563" s="25">
        <v>6.6040679999999998</v>
      </c>
      <c r="S563" s="25">
        <v>7.9389519999999996</v>
      </c>
      <c r="T563" s="25">
        <v>33.703336</v>
      </c>
      <c r="U563">
        <v>7.83</v>
      </c>
      <c r="V563">
        <v>33.209989999999998</v>
      </c>
      <c r="W563">
        <v>6.46</v>
      </c>
      <c r="X563">
        <v>0</v>
      </c>
      <c r="AA563" s="2"/>
      <c r="AB563">
        <v>34</v>
      </c>
      <c r="AC563" s="55">
        <f t="shared" si="143"/>
        <v>0</v>
      </c>
      <c r="AD563" s="57">
        <v>1767.0449718798691</v>
      </c>
      <c r="AE563" s="55">
        <v>1679.8210721820001</v>
      </c>
      <c r="AF563" s="55">
        <v>0</v>
      </c>
      <c r="AG563" s="52"/>
      <c r="AH563" s="51">
        <v>7.6964651247849417E-2</v>
      </c>
      <c r="AI563" s="52">
        <v>8.0961003676030277E-2</v>
      </c>
      <c r="AJ563" s="52"/>
      <c r="AK563" s="28">
        <v>1.62962962962963</v>
      </c>
      <c r="AL563" s="28">
        <v>2.518518518518519</v>
      </c>
      <c r="AM563" s="28">
        <v>0.88888888888888884</v>
      </c>
      <c r="AN563" s="28">
        <v>0</v>
      </c>
      <c r="AO563" s="28">
        <v>0.32352941176470579</v>
      </c>
      <c r="AP563" s="28">
        <v>0.5</v>
      </c>
      <c r="AQ563" s="28">
        <v>0.1764705882352941</v>
      </c>
      <c r="AR563" s="28">
        <v>0</v>
      </c>
      <c r="AS563" s="25">
        <v>0.82</v>
      </c>
      <c r="AT563" s="25">
        <v>3.44</v>
      </c>
      <c r="AU563" s="25">
        <v>2.62</v>
      </c>
      <c r="AV563" s="25">
        <v>2.642962962962963</v>
      </c>
      <c r="AW563">
        <v>2.642962962962963</v>
      </c>
      <c r="AX563">
        <v>5.9587362692592576</v>
      </c>
      <c r="AY563" s="75">
        <v>0.48264383878002159</v>
      </c>
      <c r="AZ563" s="75">
        <v>0.50770488753139842</v>
      </c>
      <c r="BA563" s="75"/>
      <c r="BC563">
        <v>3.8482325623924708E-2</v>
      </c>
      <c r="BD563">
        <v>4.0480501838015132E-2</v>
      </c>
      <c r="BF563">
        <v>7.8962827461939847E-2</v>
      </c>
      <c r="BG563">
        <v>3.9481413730969923E-2</v>
      </c>
      <c r="BH563">
        <v>0.49517436315571001</v>
      </c>
      <c r="BI563" s="79" t="s">
        <v>1264</v>
      </c>
      <c r="BJ563" s="79">
        <v>1473</v>
      </c>
      <c r="BM563" s="79" t="s">
        <v>1275</v>
      </c>
      <c r="BN563" s="79" t="s">
        <v>56</v>
      </c>
      <c r="BO563" s="79">
        <v>0.1</v>
      </c>
      <c r="BP563" s="79">
        <v>11.3</v>
      </c>
      <c r="BQ563" s="79">
        <v>1.51</v>
      </c>
      <c r="BR563" s="79">
        <v>0</v>
      </c>
      <c r="BS563" s="79" t="s">
        <v>464</v>
      </c>
      <c r="BT563" s="79" t="s">
        <v>464</v>
      </c>
      <c r="BU563" s="79" t="s">
        <v>1266</v>
      </c>
      <c r="BV563" s="79">
        <v>450</v>
      </c>
      <c r="BX563" s="79" t="s">
        <v>1287</v>
      </c>
      <c r="BZ563" s="81">
        <v>1472</v>
      </c>
      <c r="CA563">
        <f t="shared" si="124"/>
        <v>7.2943772992888212</v>
      </c>
    </row>
    <row r="564" spans="1:79" x14ac:dyDescent="0.3">
      <c r="A564" s="2" t="s">
        <v>0</v>
      </c>
      <c r="B564" s="13" t="s">
        <v>685</v>
      </c>
      <c r="C564" s="13"/>
      <c r="D564" s="2">
        <v>3.3</v>
      </c>
      <c r="E564" s="2" t="s">
        <v>257</v>
      </c>
      <c r="F564" s="9" t="s">
        <v>523</v>
      </c>
      <c r="G564" t="s">
        <v>606</v>
      </c>
      <c r="I564" s="2"/>
      <c r="J564" s="25">
        <v>4</v>
      </c>
      <c r="K564">
        <v>4</v>
      </c>
      <c r="L564">
        <v>0</v>
      </c>
      <c r="M564" s="2"/>
      <c r="N564" s="2"/>
      <c r="O564" s="2"/>
      <c r="P564" s="2"/>
      <c r="Q564" s="2"/>
      <c r="R564" s="25">
        <v>6.6040679999999998</v>
      </c>
      <c r="S564" s="25">
        <v>7.9389519999999996</v>
      </c>
      <c r="T564" s="25">
        <v>33.703336</v>
      </c>
      <c r="U564">
        <v>7.83</v>
      </c>
      <c r="V564">
        <v>33.209989999999998</v>
      </c>
      <c r="W564">
        <v>6.46</v>
      </c>
      <c r="X564">
        <v>0</v>
      </c>
      <c r="AA564" s="2"/>
      <c r="AB564">
        <v>34</v>
      </c>
      <c r="AC564" s="55">
        <f t="shared" si="143"/>
        <v>0</v>
      </c>
      <c r="AD564" s="57">
        <v>1767.0449718798691</v>
      </c>
      <c r="AE564" s="55">
        <v>1679.8210721820001</v>
      </c>
      <c r="AF564" s="55">
        <v>0</v>
      </c>
      <c r="AG564" s="52"/>
      <c r="AH564" s="51">
        <v>7.6964651247849417E-2</v>
      </c>
      <c r="AI564" s="52">
        <v>8.0961003676030277E-2</v>
      </c>
      <c r="AJ564" s="52"/>
      <c r="AK564" s="28">
        <v>1.62962962962963</v>
      </c>
      <c r="AL564" s="28">
        <v>2.518518518518519</v>
      </c>
      <c r="AM564" s="28">
        <v>0.88888888888888884</v>
      </c>
      <c r="AN564" s="28">
        <v>0</v>
      </c>
      <c r="AO564" s="28">
        <v>0.32352941176470579</v>
      </c>
      <c r="AP564" s="28">
        <v>0.5</v>
      </c>
      <c r="AQ564" s="28">
        <v>0.1764705882352941</v>
      </c>
      <c r="AR564" s="28">
        <v>0</v>
      </c>
      <c r="AS564" s="25">
        <v>0.82</v>
      </c>
      <c r="AT564" s="25">
        <v>3.44</v>
      </c>
      <c r="AU564" s="25">
        <v>2.62</v>
      </c>
      <c r="AV564" s="25">
        <v>2.642962962962963</v>
      </c>
      <c r="AW564">
        <v>2.642962962962963</v>
      </c>
      <c r="AX564">
        <v>5.9587362692592576</v>
      </c>
      <c r="AY564" s="75">
        <v>0.48264383878002159</v>
      </c>
      <c r="AZ564" s="75">
        <v>0.50770488753139842</v>
      </c>
      <c r="BA564" s="75"/>
      <c r="BC564">
        <v>3.8482325623924708E-2</v>
      </c>
      <c r="BD564">
        <v>4.0480501838015132E-2</v>
      </c>
      <c r="BF564">
        <v>7.8962827461939847E-2</v>
      </c>
      <c r="BG564">
        <v>3.9481413730969923E-2</v>
      </c>
      <c r="BH564">
        <v>0.49517436315571001</v>
      </c>
      <c r="BI564" s="79" t="s">
        <v>1264</v>
      </c>
      <c r="BJ564" s="79">
        <v>1473</v>
      </c>
      <c r="BM564" s="79" t="s">
        <v>1275</v>
      </c>
      <c r="BN564" s="79" t="s">
        <v>56</v>
      </c>
      <c r="BO564" s="79">
        <v>0.1</v>
      </c>
      <c r="BP564" s="79">
        <v>11.2</v>
      </c>
      <c r="BQ564" s="79">
        <v>1.51</v>
      </c>
      <c r="BR564" s="79">
        <v>0</v>
      </c>
      <c r="BS564" s="79" t="s">
        <v>464</v>
      </c>
      <c r="BT564" s="79" t="s">
        <v>464</v>
      </c>
      <c r="BU564" s="79" t="s">
        <v>1266</v>
      </c>
      <c r="BV564" s="79">
        <v>450</v>
      </c>
      <c r="BX564" s="79" t="s">
        <v>1287</v>
      </c>
      <c r="BZ564" s="81">
        <v>1304</v>
      </c>
      <c r="CA564">
        <f t="shared" si="124"/>
        <v>7.1731917424865985</v>
      </c>
    </row>
    <row r="565" spans="1:79" x14ac:dyDescent="0.3">
      <c r="A565" s="2" t="s">
        <v>0</v>
      </c>
      <c r="B565" s="13" t="s">
        <v>685</v>
      </c>
      <c r="C565" s="13"/>
      <c r="D565" s="2">
        <v>3.3</v>
      </c>
      <c r="E565" s="2" t="s">
        <v>257</v>
      </c>
      <c r="F565" s="9" t="s">
        <v>523</v>
      </c>
      <c r="G565" t="s">
        <v>606</v>
      </c>
      <c r="I565" s="2"/>
      <c r="J565" s="25">
        <v>4</v>
      </c>
      <c r="K565">
        <v>4</v>
      </c>
      <c r="L565">
        <v>0</v>
      </c>
      <c r="M565" s="2"/>
      <c r="N565" s="2"/>
      <c r="O565" s="2"/>
      <c r="P565" s="2"/>
      <c r="Q565" s="2"/>
      <c r="R565" s="25">
        <v>6.6040679999999998</v>
      </c>
      <c r="S565" s="25">
        <v>7.9389519999999996</v>
      </c>
      <c r="T565" s="25">
        <v>33.703336</v>
      </c>
      <c r="U565">
        <v>7.83</v>
      </c>
      <c r="V565">
        <v>33.209989999999998</v>
      </c>
      <c r="W565">
        <v>6.46</v>
      </c>
      <c r="X565">
        <v>0</v>
      </c>
      <c r="AA565" s="2"/>
      <c r="AB565">
        <v>34</v>
      </c>
      <c r="AC565" s="55">
        <f t="shared" si="143"/>
        <v>0</v>
      </c>
      <c r="AD565" s="57">
        <v>1767.0449718798691</v>
      </c>
      <c r="AE565" s="55">
        <v>1679.8210721820001</v>
      </c>
      <c r="AF565" s="55">
        <v>0</v>
      </c>
      <c r="AG565" s="52"/>
      <c r="AH565" s="51">
        <v>7.6964651247849417E-2</v>
      </c>
      <c r="AI565" s="52">
        <v>8.0961003676030277E-2</v>
      </c>
      <c r="AJ565" s="52"/>
      <c r="AK565" s="28">
        <v>1.62962962962963</v>
      </c>
      <c r="AL565" s="28">
        <v>2.518518518518519</v>
      </c>
      <c r="AM565" s="28">
        <v>0.88888888888888884</v>
      </c>
      <c r="AN565" s="28">
        <v>0</v>
      </c>
      <c r="AO565" s="28">
        <v>0.32352941176470579</v>
      </c>
      <c r="AP565" s="28">
        <v>0.5</v>
      </c>
      <c r="AQ565" s="28">
        <v>0.1764705882352941</v>
      </c>
      <c r="AR565" s="28">
        <v>0</v>
      </c>
      <c r="AS565" s="25">
        <v>0.82</v>
      </c>
      <c r="AT565" s="25">
        <v>3.44</v>
      </c>
      <c r="AU565" s="25">
        <v>2.62</v>
      </c>
      <c r="AV565" s="25">
        <v>2.642962962962963</v>
      </c>
      <c r="AW565">
        <v>2.642962962962963</v>
      </c>
      <c r="AX565">
        <v>5.9587362692592576</v>
      </c>
      <c r="AY565" s="75">
        <v>0.48264383878002159</v>
      </c>
      <c r="AZ565" s="75">
        <v>0.50770488753139842</v>
      </c>
      <c r="BA565" s="75"/>
      <c r="BC565">
        <v>3.8482325623924708E-2</v>
      </c>
      <c r="BD565">
        <v>4.0480501838015132E-2</v>
      </c>
      <c r="BF565">
        <v>7.8962827461939847E-2</v>
      </c>
      <c r="BG565">
        <v>3.9481413730969923E-2</v>
      </c>
      <c r="BH565">
        <v>0.49517436315571001</v>
      </c>
      <c r="BI565" s="79" t="s">
        <v>1264</v>
      </c>
      <c r="BJ565" s="79">
        <v>1473</v>
      </c>
      <c r="BM565" s="79" t="s">
        <v>1275</v>
      </c>
      <c r="BN565" s="79" t="s">
        <v>56</v>
      </c>
      <c r="BO565" s="79">
        <v>0.1</v>
      </c>
      <c r="BP565" s="79">
        <v>8.5</v>
      </c>
      <c r="BQ565" s="79">
        <v>1.51</v>
      </c>
      <c r="BR565" s="79">
        <v>0</v>
      </c>
      <c r="BS565" s="79" t="s">
        <v>464</v>
      </c>
      <c r="BT565" s="79" t="s">
        <v>464</v>
      </c>
      <c r="BU565" s="79" t="s">
        <v>1266</v>
      </c>
      <c r="BV565" s="79">
        <v>450</v>
      </c>
      <c r="BX565" s="79" t="s">
        <v>1287</v>
      </c>
      <c r="BZ565" s="81">
        <v>1398</v>
      </c>
      <c r="CA565">
        <f t="shared" si="124"/>
        <v>7.2427979227937556</v>
      </c>
    </row>
    <row r="566" spans="1:79" x14ac:dyDescent="0.3">
      <c r="A566" s="2" t="s">
        <v>0</v>
      </c>
      <c r="B566" s="13" t="s">
        <v>685</v>
      </c>
      <c r="C566" s="13"/>
      <c r="D566" s="2">
        <v>3.3</v>
      </c>
      <c r="E566" s="2" t="s">
        <v>257</v>
      </c>
      <c r="F566" s="9" t="s">
        <v>523</v>
      </c>
      <c r="G566" t="s">
        <v>606</v>
      </c>
      <c r="I566" s="2"/>
      <c r="J566" s="25">
        <v>4</v>
      </c>
      <c r="K566">
        <v>4</v>
      </c>
      <c r="L566">
        <v>0</v>
      </c>
      <c r="M566" s="2"/>
      <c r="N566" s="2"/>
      <c r="O566" s="2"/>
      <c r="P566" s="2"/>
      <c r="Q566" s="2"/>
      <c r="R566" s="25">
        <v>6.6040679999999998</v>
      </c>
      <c r="S566" s="25">
        <v>7.9389519999999996</v>
      </c>
      <c r="T566" s="25">
        <v>33.703336</v>
      </c>
      <c r="U566">
        <v>7.83</v>
      </c>
      <c r="V566">
        <v>33.209989999999998</v>
      </c>
      <c r="W566">
        <v>6.46</v>
      </c>
      <c r="X566">
        <v>0</v>
      </c>
      <c r="AA566" s="2"/>
      <c r="AB566">
        <v>34</v>
      </c>
      <c r="AC566" s="55">
        <f t="shared" ref="AC566:AC573" si="144">M566*N566*O566</f>
        <v>0</v>
      </c>
      <c r="AD566" s="57">
        <v>1767.0449718798691</v>
      </c>
      <c r="AE566" s="55">
        <v>1679.8210721820001</v>
      </c>
      <c r="AF566" s="55">
        <v>0</v>
      </c>
      <c r="AG566" s="52"/>
      <c r="AH566" s="51">
        <v>7.6964651247849417E-2</v>
      </c>
      <c r="AI566" s="52">
        <v>8.0961003676030277E-2</v>
      </c>
      <c r="AJ566" s="52"/>
      <c r="AK566" s="28">
        <v>1.62962962962963</v>
      </c>
      <c r="AL566" s="28">
        <v>2.518518518518519</v>
      </c>
      <c r="AM566" s="28">
        <v>0.88888888888888884</v>
      </c>
      <c r="AN566" s="28">
        <v>0</v>
      </c>
      <c r="AO566" s="28">
        <v>0.32352941176470579</v>
      </c>
      <c r="AP566" s="28">
        <v>0.5</v>
      </c>
      <c r="AQ566" s="28">
        <v>0.1764705882352941</v>
      </c>
      <c r="AR566" s="28">
        <v>0</v>
      </c>
      <c r="AS566" s="25">
        <v>0.82</v>
      </c>
      <c r="AT566" s="25">
        <v>3.44</v>
      </c>
      <c r="AU566" s="25">
        <v>2.62</v>
      </c>
      <c r="AV566" s="25">
        <v>2.642962962962963</v>
      </c>
      <c r="AW566">
        <v>2.642962962962963</v>
      </c>
      <c r="AX566">
        <v>5.9587362692592576</v>
      </c>
      <c r="AY566" s="75">
        <v>0.48264383878002159</v>
      </c>
      <c r="AZ566" s="75">
        <v>0.50770488753139842</v>
      </c>
      <c r="BA566" s="75"/>
      <c r="BC566">
        <v>3.8482325623924708E-2</v>
      </c>
      <c r="BD566">
        <v>4.0480501838015132E-2</v>
      </c>
      <c r="BF566">
        <v>7.8962827461939847E-2</v>
      </c>
      <c r="BG566">
        <v>3.9481413730969923E-2</v>
      </c>
      <c r="BH566">
        <v>0.49517436315571001</v>
      </c>
      <c r="BI566" s="79" t="s">
        <v>1264</v>
      </c>
      <c r="BJ566" s="79">
        <v>1473</v>
      </c>
      <c r="BM566" s="79" t="s">
        <v>1275</v>
      </c>
      <c r="BN566" s="79" t="s">
        <v>56</v>
      </c>
      <c r="BO566" s="79">
        <v>0.1</v>
      </c>
      <c r="BP566" s="79">
        <v>7.8</v>
      </c>
      <c r="BQ566" s="79">
        <v>1.51</v>
      </c>
      <c r="BR566" s="79">
        <v>0</v>
      </c>
      <c r="BS566" s="79" t="s">
        <v>464</v>
      </c>
      <c r="BT566" s="79" t="s">
        <v>464</v>
      </c>
      <c r="BU566" s="79" t="s">
        <v>1266</v>
      </c>
      <c r="BV566" s="79">
        <v>450</v>
      </c>
      <c r="BX566" s="79" t="s">
        <v>1287</v>
      </c>
      <c r="BZ566" s="81">
        <v>1742</v>
      </c>
      <c r="CA566">
        <f t="shared" si="124"/>
        <v>7.4627891574124483</v>
      </c>
    </row>
    <row r="567" spans="1:79" x14ac:dyDescent="0.3">
      <c r="A567" s="2" t="s">
        <v>0</v>
      </c>
      <c r="B567" s="13" t="s">
        <v>685</v>
      </c>
      <c r="C567" s="13"/>
      <c r="D567" s="2">
        <v>3.3</v>
      </c>
      <c r="E567" s="2" t="s">
        <v>257</v>
      </c>
      <c r="F567" s="9" t="s">
        <v>523</v>
      </c>
      <c r="G567" t="s">
        <v>606</v>
      </c>
      <c r="I567" s="2"/>
      <c r="J567" s="25">
        <v>4</v>
      </c>
      <c r="K567">
        <v>4</v>
      </c>
      <c r="L567">
        <v>0</v>
      </c>
      <c r="M567" s="2"/>
      <c r="N567" s="2"/>
      <c r="O567" s="2"/>
      <c r="P567" s="2"/>
      <c r="Q567" s="2"/>
      <c r="R567" s="25">
        <v>6.6040679999999998</v>
      </c>
      <c r="S567" s="25">
        <v>7.9389519999999996</v>
      </c>
      <c r="T567" s="25">
        <v>33.703336</v>
      </c>
      <c r="U567">
        <v>7.83</v>
      </c>
      <c r="V567">
        <v>33.209989999999998</v>
      </c>
      <c r="W567">
        <v>6.46</v>
      </c>
      <c r="X567">
        <v>0</v>
      </c>
      <c r="AA567" s="2"/>
      <c r="AB567">
        <v>34</v>
      </c>
      <c r="AC567" s="55">
        <f t="shared" si="144"/>
        <v>0</v>
      </c>
      <c r="AD567" s="57">
        <v>1767.0449718798691</v>
      </c>
      <c r="AE567" s="55">
        <v>1679.8210721820001</v>
      </c>
      <c r="AF567" s="55">
        <v>0</v>
      </c>
      <c r="AG567" s="52"/>
      <c r="AH567" s="51">
        <v>7.6964651247849417E-2</v>
      </c>
      <c r="AI567" s="52">
        <v>8.0961003676030277E-2</v>
      </c>
      <c r="AJ567" s="52"/>
      <c r="AK567" s="28">
        <v>1.62962962962963</v>
      </c>
      <c r="AL567" s="28">
        <v>2.518518518518519</v>
      </c>
      <c r="AM567" s="28">
        <v>0.88888888888888884</v>
      </c>
      <c r="AN567" s="28">
        <v>0</v>
      </c>
      <c r="AO567" s="28">
        <v>0.32352941176470579</v>
      </c>
      <c r="AP567" s="28">
        <v>0.5</v>
      </c>
      <c r="AQ567" s="28">
        <v>0.1764705882352941</v>
      </c>
      <c r="AR567" s="28">
        <v>0</v>
      </c>
      <c r="AS567" s="25">
        <v>0.82</v>
      </c>
      <c r="AT567" s="25">
        <v>3.44</v>
      </c>
      <c r="AU567" s="25">
        <v>2.62</v>
      </c>
      <c r="AV567" s="25">
        <v>2.642962962962963</v>
      </c>
      <c r="AW567">
        <v>2.642962962962963</v>
      </c>
      <c r="AX567">
        <v>5.9587362692592576</v>
      </c>
      <c r="AY567" s="75">
        <v>0.48264383878002159</v>
      </c>
      <c r="AZ567" s="75">
        <v>0.50770488753139842</v>
      </c>
      <c r="BA567" s="75"/>
      <c r="BC567">
        <v>3.8482325623924708E-2</v>
      </c>
      <c r="BD567">
        <v>4.0480501838015132E-2</v>
      </c>
      <c r="BF567">
        <v>7.8962827461939847E-2</v>
      </c>
      <c r="BG567">
        <v>3.9481413730969923E-2</v>
      </c>
      <c r="BH567">
        <v>0.49517436315571001</v>
      </c>
      <c r="BI567" s="79" t="s">
        <v>1264</v>
      </c>
      <c r="BJ567" s="79">
        <v>1473</v>
      </c>
      <c r="BM567" s="79" t="s">
        <v>1275</v>
      </c>
      <c r="BN567" s="79" t="s">
        <v>56</v>
      </c>
      <c r="BO567" s="79">
        <v>0.1</v>
      </c>
      <c r="BP567" s="79">
        <v>6.2</v>
      </c>
      <c r="BQ567" s="79">
        <v>1.51</v>
      </c>
      <c r="BR567" s="79">
        <v>0</v>
      </c>
      <c r="BS567" s="79" t="s">
        <v>464</v>
      </c>
      <c r="BT567" s="79" t="s">
        <v>464</v>
      </c>
      <c r="BU567" s="79" t="s">
        <v>1266</v>
      </c>
      <c r="BV567" s="79">
        <v>450</v>
      </c>
      <c r="BX567" s="79" t="s">
        <v>1287</v>
      </c>
      <c r="BZ567" s="81">
        <v>1644</v>
      </c>
      <c r="CA567">
        <f t="shared" si="124"/>
        <v>7.404887575616125</v>
      </c>
    </row>
    <row r="568" spans="1:79" x14ac:dyDescent="0.3">
      <c r="A568" s="2" t="s">
        <v>0</v>
      </c>
      <c r="B568" s="13" t="s">
        <v>685</v>
      </c>
      <c r="C568" s="13"/>
      <c r="D568" s="2">
        <v>3.3</v>
      </c>
      <c r="E568" s="2" t="s">
        <v>257</v>
      </c>
      <c r="F568" s="9" t="s">
        <v>523</v>
      </c>
      <c r="G568" t="s">
        <v>606</v>
      </c>
      <c r="I568" s="2"/>
      <c r="J568" s="25">
        <v>4</v>
      </c>
      <c r="K568">
        <v>4</v>
      </c>
      <c r="L568">
        <v>0</v>
      </c>
      <c r="M568" s="2"/>
      <c r="N568" s="2"/>
      <c r="O568" s="2"/>
      <c r="P568" s="2"/>
      <c r="Q568" s="2"/>
      <c r="R568" s="25">
        <v>6.6040679999999998</v>
      </c>
      <c r="S568" s="25">
        <v>7.9389519999999996</v>
      </c>
      <c r="T568" s="25">
        <v>33.703336</v>
      </c>
      <c r="U568">
        <v>7.83</v>
      </c>
      <c r="V568">
        <v>33.209989999999998</v>
      </c>
      <c r="W568">
        <v>6.46</v>
      </c>
      <c r="X568">
        <v>0</v>
      </c>
      <c r="AA568" s="2"/>
      <c r="AB568">
        <v>34</v>
      </c>
      <c r="AC568" s="55">
        <f t="shared" si="144"/>
        <v>0</v>
      </c>
      <c r="AD568" s="57">
        <v>1767.0449718798691</v>
      </c>
      <c r="AE568" s="55">
        <v>1679.8210721820001</v>
      </c>
      <c r="AF568" s="55">
        <v>0</v>
      </c>
      <c r="AG568" s="52"/>
      <c r="AH568" s="51">
        <v>7.6964651247849417E-2</v>
      </c>
      <c r="AI568" s="52">
        <v>8.0961003676030277E-2</v>
      </c>
      <c r="AJ568" s="52"/>
      <c r="AK568" s="28">
        <v>1.62962962962963</v>
      </c>
      <c r="AL568" s="28">
        <v>2.518518518518519</v>
      </c>
      <c r="AM568" s="28">
        <v>0.88888888888888884</v>
      </c>
      <c r="AN568" s="28">
        <v>0</v>
      </c>
      <c r="AO568" s="28">
        <v>0.32352941176470579</v>
      </c>
      <c r="AP568" s="28">
        <v>0.5</v>
      </c>
      <c r="AQ568" s="28">
        <v>0.1764705882352941</v>
      </c>
      <c r="AR568" s="28">
        <v>0</v>
      </c>
      <c r="AS568" s="25">
        <v>0.82</v>
      </c>
      <c r="AT568" s="25">
        <v>3.44</v>
      </c>
      <c r="AU568" s="25">
        <v>2.62</v>
      </c>
      <c r="AV568" s="25">
        <v>2.642962962962963</v>
      </c>
      <c r="AW568">
        <v>2.642962962962963</v>
      </c>
      <c r="AX568">
        <v>5.9587362692592576</v>
      </c>
      <c r="AY568" s="75">
        <v>0.48264383878002159</v>
      </c>
      <c r="AZ568" s="75">
        <v>0.50770488753139842</v>
      </c>
      <c r="BA568" s="75"/>
      <c r="BC568">
        <v>3.8482325623924708E-2</v>
      </c>
      <c r="BD568">
        <v>4.0480501838015132E-2</v>
      </c>
      <c r="BF568">
        <v>7.8962827461939847E-2</v>
      </c>
      <c r="BG568">
        <v>3.9481413730969923E-2</v>
      </c>
      <c r="BH568">
        <v>0.49517436315571001</v>
      </c>
      <c r="BI568" s="79" t="s">
        <v>1264</v>
      </c>
      <c r="BJ568" s="79">
        <v>1473</v>
      </c>
      <c r="BM568" s="79" t="s">
        <v>1275</v>
      </c>
      <c r="BN568" s="79" t="s">
        <v>56</v>
      </c>
      <c r="BO568" s="79">
        <v>1</v>
      </c>
      <c r="BP568" s="79">
        <v>1</v>
      </c>
      <c r="BQ568" s="79">
        <v>1.51</v>
      </c>
      <c r="BR568" s="79">
        <v>0</v>
      </c>
      <c r="BS568" s="79" t="s">
        <v>464</v>
      </c>
      <c r="BT568" s="79" t="s">
        <v>464</v>
      </c>
      <c r="BU568" s="79" t="s">
        <v>1266</v>
      </c>
      <c r="BV568" s="79">
        <v>450</v>
      </c>
      <c r="BX568" s="79" t="s">
        <v>1287</v>
      </c>
      <c r="BZ568" s="81">
        <v>1568</v>
      </c>
      <c r="CA568">
        <f t="shared" si="124"/>
        <v>7.357556200910353</v>
      </c>
    </row>
    <row r="569" spans="1:79" x14ac:dyDescent="0.3">
      <c r="A569" s="2" t="s">
        <v>0</v>
      </c>
      <c r="B569" s="13" t="s">
        <v>685</v>
      </c>
      <c r="C569" s="13"/>
      <c r="D569" s="2">
        <v>3.3</v>
      </c>
      <c r="E569" s="2" t="s">
        <v>257</v>
      </c>
      <c r="F569" s="9" t="s">
        <v>523</v>
      </c>
      <c r="G569" t="s">
        <v>606</v>
      </c>
      <c r="I569" s="2"/>
      <c r="J569" s="25">
        <v>4</v>
      </c>
      <c r="K569">
        <v>4</v>
      </c>
      <c r="L569">
        <v>0</v>
      </c>
      <c r="M569" s="2"/>
      <c r="N569" s="2"/>
      <c r="O569" s="2"/>
      <c r="P569" s="2"/>
      <c r="Q569" s="2"/>
      <c r="R569" s="25">
        <v>6.6040679999999998</v>
      </c>
      <c r="S569" s="25">
        <v>7.9389519999999996</v>
      </c>
      <c r="T569" s="25">
        <v>33.703336</v>
      </c>
      <c r="U569">
        <v>7.83</v>
      </c>
      <c r="V569">
        <v>33.209989999999998</v>
      </c>
      <c r="W569">
        <v>6.46</v>
      </c>
      <c r="X569">
        <v>0</v>
      </c>
      <c r="AA569" s="2"/>
      <c r="AB569">
        <v>34</v>
      </c>
      <c r="AC569" s="55">
        <f t="shared" si="144"/>
        <v>0</v>
      </c>
      <c r="AD569" s="57">
        <v>1767.0449718798691</v>
      </c>
      <c r="AE569" s="55">
        <v>1679.8210721820001</v>
      </c>
      <c r="AF569" s="55">
        <v>0</v>
      </c>
      <c r="AG569" s="52"/>
      <c r="AH569" s="51">
        <v>7.6964651247849417E-2</v>
      </c>
      <c r="AI569" s="52">
        <v>8.0961003676030277E-2</v>
      </c>
      <c r="AJ569" s="52"/>
      <c r="AK569" s="28">
        <v>1.62962962962963</v>
      </c>
      <c r="AL569" s="28">
        <v>2.518518518518519</v>
      </c>
      <c r="AM569" s="28">
        <v>0.88888888888888884</v>
      </c>
      <c r="AN569" s="28">
        <v>0</v>
      </c>
      <c r="AO569" s="28">
        <v>0.32352941176470579</v>
      </c>
      <c r="AP569" s="28">
        <v>0.5</v>
      </c>
      <c r="AQ569" s="28">
        <v>0.1764705882352941</v>
      </c>
      <c r="AR569" s="28">
        <v>0</v>
      </c>
      <c r="AS569" s="25">
        <v>0.82</v>
      </c>
      <c r="AT569" s="25">
        <v>3.44</v>
      </c>
      <c r="AU569" s="25">
        <v>2.62</v>
      </c>
      <c r="AV569" s="25">
        <v>2.642962962962963</v>
      </c>
      <c r="AW569">
        <v>2.642962962962963</v>
      </c>
      <c r="AX569">
        <v>5.9587362692592576</v>
      </c>
      <c r="AY569" s="75">
        <v>0.48264383878002159</v>
      </c>
      <c r="AZ569" s="75">
        <v>0.50770488753139842</v>
      </c>
      <c r="BA569" s="75"/>
      <c r="BC569">
        <v>3.8482325623924708E-2</v>
      </c>
      <c r="BD569">
        <v>4.0480501838015132E-2</v>
      </c>
      <c r="BF569">
        <v>7.8962827461939847E-2</v>
      </c>
      <c r="BG569">
        <v>3.9481413730969923E-2</v>
      </c>
      <c r="BH569">
        <v>0.49517436315571001</v>
      </c>
      <c r="BI569" s="79" t="s">
        <v>1264</v>
      </c>
      <c r="BJ569" s="79">
        <v>1473</v>
      </c>
      <c r="BM569" s="79" t="s">
        <v>1275</v>
      </c>
      <c r="BN569" s="79" t="s">
        <v>56</v>
      </c>
      <c r="BO569" s="79">
        <v>1</v>
      </c>
      <c r="BP569" s="79">
        <v>17.3</v>
      </c>
      <c r="BQ569" s="79">
        <v>1.51</v>
      </c>
      <c r="BR569" s="79">
        <v>0</v>
      </c>
      <c r="BS569" s="79" t="s">
        <v>464</v>
      </c>
      <c r="BT569" s="79" t="s">
        <v>464</v>
      </c>
      <c r="BU569" s="79" t="s">
        <v>1266</v>
      </c>
      <c r="BV569" s="79">
        <v>450</v>
      </c>
      <c r="BX569" s="79" t="s">
        <v>1287</v>
      </c>
      <c r="BZ569" s="81">
        <v>2406</v>
      </c>
      <c r="CA569">
        <f t="shared" si="124"/>
        <v>7.7857208965346238</v>
      </c>
    </row>
    <row r="570" spans="1:79" x14ac:dyDescent="0.3">
      <c r="A570" s="2" t="s">
        <v>0</v>
      </c>
      <c r="B570" s="13" t="s">
        <v>685</v>
      </c>
      <c r="C570" s="13"/>
      <c r="D570" s="2">
        <v>3.3</v>
      </c>
      <c r="E570" s="2" t="s">
        <v>257</v>
      </c>
      <c r="F570" s="9" t="s">
        <v>523</v>
      </c>
      <c r="G570" t="s">
        <v>606</v>
      </c>
      <c r="I570" s="2"/>
      <c r="J570" s="25">
        <v>4</v>
      </c>
      <c r="K570">
        <v>4</v>
      </c>
      <c r="L570">
        <v>0</v>
      </c>
      <c r="M570" s="2"/>
      <c r="N570" s="2"/>
      <c r="O570" s="2"/>
      <c r="P570" s="2"/>
      <c r="Q570" s="2"/>
      <c r="R570" s="25">
        <v>6.6040679999999998</v>
      </c>
      <c r="S570" s="25">
        <v>7.9389519999999996</v>
      </c>
      <c r="T570" s="25">
        <v>33.703336</v>
      </c>
      <c r="U570">
        <v>7.83</v>
      </c>
      <c r="V570">
        <v>33.209989999999998</v>
      </c>
      <c r="W570">
        <v>6.46</v>
      </c>
      <c r="X570">
        <v>0</v>
      </c>
      <c r="AA570" s="2"/>
      <c r="AB570">
        <v>34</v>
      </c>
      <c r="AC570" s="55">
        <f t="shared" si="144"/>
        <v>0</v>
      </c>
      <c r="AD570" s="57">
        <v>1767.0449718798691</v>
      </c>
      <c r="AE570" s="55">
        <v>1679.8210721820001</v>
      </c>
      <c r="AF570" s="55">
        <v>0</v>
      </c>
      <c r="AG570" s="52"/>
      <c r="AH570" s="51">
        <v>7.6964651247849417E-2</v>
      </c>
      <c r="AI570" s="52">
        <v>8.0961003676030277E-2</v>
      </c>
      <c r="AJ570" s="52"/>
      <c r="AK570" s="28">
        <v>1.62962962962963</v>
      </c>
      <c r="AL570" s="28">
        <v>2.518518518518519</v>
      </c>
      <c r="AM570" s="28">
        <v>0.88888888888888884</v>
      </c>
      <c r="AN570" s="28">
        <v>0</v>
      </c>
      <c r="AO570" s="28">
        <v>0.32352941176470579</v>
      </c>
      <c r="AP570" s="28">
        <v>0.5</v>
      </c>
      <c r="AQ570" s="28">
        <v>0.1764705882352941</v>
      </c>
      <c r="AR570" s="28">
        <v>0</v>
      </c>
      <c r="AS570" s="25">
        <v>0.82</v>
      </c>
      <c r="AT570" s="25">
        <v>3.44</v>
      </c>
      <c r="AU570" s="25">
        <v>2.62</v>
      </c>
      <c r="AV570" s="25">
        <v>2.642962962962963</v>
      </c>
      <c r="AW570">
        <v>2.642962962962963</v>
      </c>
      <c r="AX570">
        <v>5.9587362692592576</v>
      </c>
      <c r="AY570" s="75">
        <v>0.48264383878002159</v>
      </c>
      <c r="AZ570" s="75">
        <v>0.50770488753139842</v>
      </c>
      <c r="BA570" s="75"/>
      <c r="BC570">
        <v>3.8482325623924708E-2</v>
      </c>
      <c r="BD570">
        <v>4.0480501838015132E-2</v>
      </c>
      <c r="BF570">
        <v>7.8962827461939847E-2</v>
      </c>
      <c r="BG570">
        <v>3.9481413730969923E-2</v>
      </c>
      <c r="BH570">
        <v>0.49517436315571001</v>
      </c>
      <c r="BI570" s="79" t="s">
        <v>1264</v>
      </c>
      <c r="BJ570" s="79">
        <v>1473</v>
      </c>
      <c r="BM570" s="79" t="s">
        <v>1275</v>
      </c>
      <c r="BN570" s="79" t="s">
        <v>56</v>
      </c>
      <c r="BO570" s="79">
        <v>1</v>
      </c>
      <c r="BP570" s="79">
        <v>14.6</v>
      </c>
      <c r="BQ570" s="79">
        <v>1.51</v>
      </c>
      <c r="BR570" s="79">
        <v>0</v>
      </c>
      <c r="BS570" s="79" t="s">
        <v>464</v>
      </c>
      <c r="BT570" s="79" t="s">
        <v>464</v>
      </c>
      <c r="BU570" s="79" t="s">
        <v>1266</v>
      </c>
      <c r="BV570" s="79">
        <v>450</v>
      </c>
      <c r="BX570" s="79" t="s">
        <v>1287</v>
      </c>
      <c r="BZ570" s="81">
        <v>2632</v>
      </c>
      <c r="CA570">
        <f t="shared" si="124"/>
        <v>7.8754992924452081</v>
      </c>
    </row>
    <row r="571" spans="1:79" x14ac:dyDescent="0.3">
      <c r="A571" s="2" t="s">
        <v>0</v>
      </c>
      <c r="B571" s="13" t="s">
        <v>685</v>
      </c>
      <c r="C571" s="13"/>
      <c r="D571" s="2">
        <v>3.3</v>
      </c>
      <c r="E571" s="2" t="s">
        <v>257</v>
      </c>
      <c r="F571" s="9" t="s">
        <v>523</v>
      </c>
      <c r="G571" t="s">
        <v>606</v>
      </c>
      <c r="I571" s="2"/>
      <c r="J571" s="25">
        <v>4</v>
      </c>
      <c r="K571">
        <v>4</v>
      </c>
      <c r="L571">
        <v>0</v>
      </c>
      <c r="M571" s="2"/>
      <c r="N571" s="2"/>
      <c r="O571" s="2"/>
      <c r="P571" s="2"/>
      <c r="Q571" s="2"/>
      <c r="R571" s="25">
        <v>6.6040679999999998</v>
      </c>
      <c r="S571" s="25">
        <v>7.9389519999999996</v>
      </c>
      <c r="T571" s="25">
        <v>33.703336</v>
      </c>
      <c r="U571">
        <v>7.83</v>
      </c>
      <c r="V571">
        <v>33.209989999999998</v>
      </c>
      <c r="W571">
        <v>6.46</v>
      </c>
      <c r="X571">
        <v>0</v>
      </c>
      <c r="AA571" s="2"/>
      <c r="AB571">
        <v>34</v>
      </c>
      <c r="AC571" s="55">
        <f t="shared" si="144"/>
        <v>0</v>
      </c>
      <c r="AD571" s="57">
        <v>1767.0449718798691</v>
      </c>
      <c r="AE571" s="55">
        <v>1679.8210721820001</v>
      </c>
      <c r="AF571" s="55">
        <v>0</v>
      </c>
      <c r="AG571" s="52"/>
      <c r="AH571" s="51">
        <v>7.6964651247849417E-2</v>
      </c>
      <c r="AI571" s="52">
        <v>8.0961003676030277E-2</v>
      </c>
      <c r="AJ571" s="52"/>
      <c r="AK571" s="28">
        <v>1.62962962962963</v>
      </c>
      <c r="AL571" s="28">
        <v>2.518518518518519</v>
      </c>
      <c r="AM571" s="28">
        <v>0.88888888888888884</v>
      </c>
      <c r="AN571" s="28">
        <v>0</v>
      </c>
      <c r="AO571" s="28">
        <v>0.32352941176470579</v>
      </c>
      <c r="AP571" s="28">
        <v>0.5</v>
      </c>
      <c r="AQ571" s="28">
        <v>0.1764705882352941</v>
      </c>
      <c r="AR571" s="28">
        <v>0</v>
      </c>
      <c r="AS571" s="25">
        <v>0.82</v>
      </c>
      <c r="AT571" s="25">
        <v>3.44</v>
      </c>
      <c r="AU571" s="25">
        <v>2.62</v>
      </c>
      <c r="AV571" s="25">
        <v>2.642962962962963</v>
      </c>
      <c r="AW571">
        <v>2.642962962962963</v>
      </c>
      <c r="AX571">
        <v>5.9587362692592576</v>
      </c>
      <c r="AY571" s="75">
        <v>0.48264383878002159</v>
      </c>
      <c r="AZ571" s="75">
        <v>0.50770488753139842</v>
      </c>
      <c r="BA571" s="75"/>
      <c r="BC571">
        <v>3.8482325623924708E-2</v>
      </c>
      <c r="BD571">
        <v>4.0480501838015132E-2</v>
      </c>
      <c r="BF571">
        <v>7.8962827461939847E-2</v>
      </c>
      <c r="BG571">
        <v>3.9481413730969923E-2</v>
      </c>
      <c r="BH571">
        <v>0.49517436315571001</v>
      </c>
      <c r="BI571" s="79" t="s">
        <v>1264</v>
      </c>
      <c r="BJ571" s="79">
        <v>1473</v>
      </c>
      <c r="BM571" s="79" t="s">
        <v>1275</v>
      </c>
      <c r="BN571" s="79" t="s">
        <v>56</v>
      </c>
      <c r="BO571" s="79">
        <v>1</v>
      </c>
      <c r="BP571" s="79">
        <v>13.9</v>
      </c>
      <c r="BQ571" s="79">
        <v>1.51</v>
      </c>
      <c r="BR571" s="79">
        <v>0</v>
      </c>
      <c r="BS571" s="79" t="s">
        <v>464</v>
      </c>
      <c r="BT571" s="79" t="s">
        <v>464</v>
      </c>
      <c r="BU571" s="79" t="s">
        <v>1266</v>
      </c>
      <c r="BV571" s="79">
        <v>450</v>
      </c>
      <c r="BX571" s="79" t="s">
        <v>1287</v>
      </c>
      <c r="BZ571" s="81">
        <v>3216</v>
      </c>
      <c r="CA571">
        <f t="shared" si="124"/>
        <v>8.0758936302988573</v>
      </c>
    </row>
    <row r="572" spans="1:79" x14ac:dyDescent="0.3">
      <c r="A572" s="2" t="s">
        <v>0</v>
      </c>
      <c r="B572" s="13" t="s">
        <v>685</v>
      </c>
      <c r="C572" s="13"/>
      <c r="D572" s="2">
        <v>3.3</v>
      </c>
      <c r="E572" s="2" t="s">
        <v>257</v>
      </c>
      <c r="F572" s="9" t="s">
        <v>523</v>
      </c>
      <c r="G572" t="s">
        <v>606</v>
      </c>
      <c r="I572" s="2"/>
      <c r="J572" s="25">
        <v>4</v>
      </c>
      <c r="K572">
        <v>4</v>
      </c>
      <c r="L572">
        <v>0</v>
      </c>
      <c r="M572" s="2"/>
      <c r="N572" s="2"/>
      <c r="O572" s="2"/>
      <c r="P572" s="2"/>
      <c r="Q572" s="2"/>
      <c r="R572" s="25">
        <v>6.6040679999999998</v>
      </c>
      <c r="S572" s="25">
        <v>7.9389519999999996</v>
      </c>
      <c r="T572" s="25">
        <v>33.703336</v>
      </c>
      <c r="U572">
        <v>7.83</v>
      </c>
      <c r="V572">
        <v>33.209989999999998</v>
      </c>
      <c r="W572">
        <v>6.46</v>
      </c>
      <c r="X572">
        <v>0</v>
      </c>
      <c r="AA572" s="2"/>
      <c r="AB572">
        <v>34</v>
      </c>
      <c r="AC572" s="55">
        <f t="shared" si="144"/>
        <v>0</v>
      </c>
      <c r="AD572" s="57">
        <v>1767.0449718798691</v>
      </c>
      <c r="AE572" s="55">
        <v>1679.8210721820001</v>
      </c>
      <c r="AF572" s="55">
        <v>0</v>
      </c>
      <c r="AG572" s="52"/>
      <c r="AH572" s="51">
        <v>7.6964651247849417E-2</v>
      </c>
      <c r="AI572" s="52">
        <v>8.0961003676030277E-2</v>
      </c>
      <c r="AJ572" s="52"/>
      <c r="AK572" s="28">
        <v>1.62962962962963</v>
      </c>
      <c r="AL572" s="28">
        <v>2.518518518518519</v>
      </c>
      <c r="AM572" s="28">
        <v>0.88888888888888884</v>
      </c>
      <c r="AN572" s="28">
        <v>0</v>
      </c>
      <c r="AO572" s="28">
        <v>0.32352941176470579</v>
      </c>
      <c r="AP572" s="28">
        <v>0.5</v>
      </c>
      <c r="AQ572" s="28">
        <v>0.1764705882352941</v>
      </c>
      <c r="AR572" s="28">
        <v>0</v>
      </c>
      <c r="AS572" s="25">
        <v>0.82</v>
      </c>
      <c r="AT572" s="25">
        <v>3.44</v>
      </c>
      <c r="AU572" s="25">
        <v>2.62</v>
      </c>
      <c r="AV572" s="25">
        <v>2.642962962962963</v>
      </c>
      <c r="AW572">
        <v>2.642962962962963</v>
      </c>
      <c r="AX572">
        <v>5.9587362692592576</v>
      </c>
      <c r="AY572" s="75">
        <v>0.48264383878002159</v>
      </c>
      <c r="AZ572" s="75">
        <v>0.50770488753139842</v>
      </c>
      <c r="BA572" s="75"/>
      <c r="BC572">
        <v>3.8482325623924708E-2</v>
      </c>
      <c r="BD572">
        <v>4.0480501838015132E-2</v>
      </c>
      <c r="BF572">
        <v>7.8962827461939847E-2</v>
      </c>
      <c r="BG572">
        <v>3.9481413730969923E-2</v>
      </c>
      <c r="BH572">
        <v>0.49517436315571001</v>
      </c>
      <c r="BI572" s="79" t="s">
        <v>1264</v>
      </c>
      <c r="BJ572" s="79">
        <v>1473</v>
      </c>
      <c r="BM572" s="79" t="s">
        <v>1275</v>
      </c>
      <c r="BN572" s="79" t="s">
        <v>56</v>
      </c>
      <c r="BO572" s="79">
        <v>1</v>
      </c>
      <c r="BP572" s="79">
        <v>11.3</v>
      </c>
      <c r="BQ572" s="79">
        <v>1.51</v>
      </c>
      <c r="BR572" s="79">
        <v>0</v>
      </c>
      <c r="BS572" s="79" t="s">
        <v>464</v>
      </c>
      <c r="BT572" s="79" t="s">
        <v>464</v>
      </c>
      <c r="BU572" s="79" t="s">
        <v>1266</v>
      </c>
      <c r="BV572" s="79">
        <v>450</v>
      </c>
      <c r="BX572" s="79" t="s">
        <v>1287</v>
      </c>
      <c r="BZ572" s="81">
        <v>2932</v>
      </c>
      <c r="CA572">
        <f t="shared" si="124"/>
        <v>7.9834400630065421</v>
      </c>
    </row>
    <row r="573" spans="1:79" x14ac:dyDescent="0.3">
      <c r="A573" s="2" t="s">
        <v>0</v>
      </c>
      <c r="B573" s="13" t="s">
        <v>685</v>
      </c>
      <c r="C573" s="13"/>
      <c r="D573" s="2">
        <v>3.3</v>
      </c>
      <c r="E573" s="2" t="s">
        <v>257</v>
      </c>
      <c r="F573" s="9" t="s">
        <v>523</v>
      </c>
      <c r="G573" t="s">
        <v>606</v>
      </c>
      <c r="I573" s="2"/>
      <c r="J573" s="25">
        <v>4</v>
      </c>
      <c r="K573">
        <v>4</v>
      </c>
      <c r="L573">
        <v>0</v>
      </c>
      <c r="M573" s="2"/>
      <c r="N573" s="2"/>
      <c r="O573" s="2"/>
      <c r="P573" s="2"/>
      <c r="Q573" s="2"/>
      <c r="R573" s="25">
        <v>6.6040679999999998</v>
      </c>
      <c r="S573" s="25">
        <v>7.9389519999999996</v>
      </c>
      <c r="T573" s="25">
        <v>33.703336</v>
      </c>
      <c r="U573">
        <v>7.83</v>
      </c>
      <c r="V573">
        <v>33.209989999999998</v>
      </c>
      <c r="W573">
        <v>6.46</v>
      </c>
      <c r="X573">
        <v>0</v>
      </c>
      <c r="AA573" s="2"/>
      <c r="AB573">
        <v>34</v>
      </c>
      <c r="AC573" s="55">
        <f t="shared" si="144"/>
        <v>0</v>
      </c>
      <c r="AD573" s="57">
        <v>1767.0449718798691</v>
      </c>
      <c r="AE573" s="55">
        <v>1679.8210721820001</v>
      </c>
      <c r="AF573" s="55">
        <v>0</v>
      </c>
      <c r="AG573" s="52"/>
      <c r="AH573" s="51">
        <v>7.6964651247849417E-2</v>
      </c>
      <c r="AI573" s="52">
        <v>8.0961003676030277E-2</v>
      </c>
      <c r="AJ573" s="52"/>
      <c r="AK573" s="28">
        <v>1.62962962962963</v>
      </c>
      <c r="AL573" s="28">
        <v>2.518518518518519</v>
      </c>
      <c r="AM573" s="28">
        <v>0.88888888888888884</v>
      </c>
      <c r="AN573" s="28">
        <v>0</v>
      </c>
      <c r="AO573" s="28">
        <v>0.32352941176470579</v>
      </c>
      <c r="AP573" s="28">
        <v>0.5</v>
      </c>
      <c r="AQ573" s="28">
        <v>0.1764705882352941</v>
      </c>
      <c r="AR573" s="28">
        <v>0</v>
      </c>
      <c r="AS573" s="25">
        <v>0.82</v>
      </c>
      <c r="AT573" s="25">
        <v>3.44</v>
      </c>
      <c r="AU573" s="25">
        <v>2.62</v>
      </c>
      <c r="AV573" s="25">
        <v>2.642962962962963</v>
      </c>
      <c r="AW573">
        <v>2.642962962962963</v>
      </c>
      <c r="AX573">
        <v>5.9587362692592576</v>
      </c>
      <c r="AY573" s="75">
        <v>0.48264383878002159</v>
      </c>
      <c r="AZ573" s="75">
        <v>0.50770488753139842</v>
      </c>
      <c r="BA573" s="75"/>
      <c r="BC573">
        <v>3.8482325623924708E-2</v>
      </c>
      <c r="BD573">
        <v>4.0480501838015132E-2</v>
      </c>
      <c r="BF573">
        <v>7.8962827461939847E-2</v>
      </c>
      <c r="BG573">
        <v>3.9481413730969923E-2</v>
      </c>
      <c r="BH573">
        <v>0.49517436315571001</v>
      </c>
      <c r="BI573" s="79" t="s">
        <v>1264</v>
      </c>
      <c r="BJ573" s="79">
        <v>1473</v>
      </c>
      <c r="BM573" s="79" t="s">
        <v>1275</v>
      </c>
      <c r="BN573" s="79" t="s">
        <v>56</v>
      </c>
      <c r="BO573" s="79">
        <v>1</v>
      </c>
      <c r="BP573" s="79">
        <v>11.2</v>
      </c>
      <c r="BQ573" s="79">
        <v>1.51</v>
      </c>
      <c r="BR573" s="79">
        <v>0</v>
      </c>
      <c r="BS573" s="79" t="s">
        <v>464</v>
      </c>
      <c r="BT573" s="79" t="s">
        <v>464</v>
      </c>
      <c r="BU573" s="79" t="s">
        <v>1266</v>
      </c>
      <c r="BV573" s="79">
        <v>450</v>
      </c>
      <c r="BX573" s="79" t="s">
        <v>1287</v>
      </c>
      <c r="BZ573" s="81">
        <v>2794</v>
      </c>
      <c r="CA573">
        <f t="shared" si="124"/>
        <v>7.9352295398169073</v>
      </c>
    </row>
    <row r="574" spans="1:79" x14ac:dyDescent="0.3">
      <c r="A574" s="2" t="s">
        <v>0</v>
      </c>
      <c r="B574" s="13" t="s">
        <v>685</v>
      </c>
      <c r="C574" s="13"/>
      <c r="D574" s="2">
        <v>3.3</v>
      </c>
      <c r="E574" s="2" t="s">
        <v>257</v>
      </c>
      <c r="F574" s="9" t="s">
        <v>523</v>
      </c>
      <c r="G574" t="s">
        <v>606</v>
      </c>
      <c r="I574" s="2"/>
      <c r="J574" s="25">
        <v>4</v>
      </c>
      <c r="K574">
        <v>4</v>
      </c>
      <c r="L574">
        <v>0</v>
      </c>
      <c r="M574" s="2"/>
      <c r="N574" s="2"/>
      <c r="O574" s="2"/>
      <c r="P574" s="2"/>
      <c r="Q574" s="2"/>
      <c r="R574" s="25">
        <v>6.6040679999999998</v>
      </c>
      <c r="S574" s="25">
        <v>7.9389519999999996</v>
      </c>
      <c r="T574" s="25">
        <v>33.703336</v>
      </c>
      <c r="U574">
        <v>7.83</v>
      </c>
      <c r="V574">
        <v>33.209989999999998</v>
      </c>
      <c r="W574">
        <v>6.46</v>
      </c>
      <c r="X574">
        <v>0</v>
      </c>
      <c r="AA574" s="2"/>
      <c r="AB574">
        <v>34</v>
      </c>
      <c r="AC574" s="55">
        <f t="shared" ref="AC574:AC575" si="145">M574*N574*O574</f>
        <v>0</v>
      </c>
      <c r="AD574" s="57">
        <v>1767.0449718798691</v>
      </c>
      <c r="AE574" s="55">
        <v>1679.8210721820001</v>
      </c>
      <c r="AF574" s="55">
        <v>0</v>
      </c>
      <c r="AG574" s="52"/>
      <c r="AH574" s="51">
        <v>7.6964651247849417E-2</v>
      </c>
      <c r="AI574" s="52">
        <v>8.0961003676030277E-2</v>
      </c>
      <c r="AJ574" s="52"/>
      <c r="AK574" s="28">
        <v>1.62962962962963</v>
      </c>
      <c r="AL574" s="28">
        <v>2.518518518518519</v>
      </c>
      <c r="AM574" s="28">
        <v>0.88888888888888884</v>
      </c>
      <c r="AN574" s="28">
        <v>0</v>
      </c>
      <c r="AO574" s="28">
        <v>0.32352941176470579</v>
      </c>
      <c r="AP574" s="28">
        <v>0.5</v>
      </c>
      <c r="AQ574" s="28">
        <v>0.1764705882352941</v>
      </c>
      <c r="AR574" s="28">
        <v>0</v>
      </c>
      <c r="AS574" s="25">
        <v>0.82</v>
      </c>
      <c r="AT574" s="25">
        <v>3.44</v>
      </c>
      <c r="AU574" s="25">
        <v>2.62</v>
      </c>
      <c r="AV574" s="25">
        <v>2.642962962962963</v>
      </c>
      <c r="AW574">
        <v>2.642962962962963</v>
      </c>
      <c r="AX574">
        <v>5.9587362692592576</v>
      </c>
      <c r="AY574" s="75">
        <v>0.48264383878002159</v>
      </c>
      <c r="AZ574" s="75">
        <v>0.50770488753139842</v>
      </c>
      <c r="BA574" s="75"/>
      <c r="BC574">
        <v>3.8482325623924708E-2</v>
      </c>
      <c r="BD574">
        <v>4.0480501838015132E-2</v>
      </c>
      <c r="BF574">
        <v>7.8962827461939847E-2</v>
      </c>
      <c r="BG574">
        <v>3.9481413730969923E-2</v>
      </c>
      <c r="BH574">
        <v>0.49517436315571001</v>
      </c>
      <c r="BI574" s="79" t="s">
        <v>1264</v>
      </c>
      <c r="BJ574" s="79">
        <v>1473</v>
      </c>
      <c r="BM574" s="79" t="s">
        <v>1275</v>
      </c>
      <c r="BN574" s="79" t="s">
        <v>56</v>
      </c>
      <c r="BO574" s="79">
        <v>1</v>
      </c>
      <c r="BP574" s="79">
        <v>8.5</v>
      </c>
      <c r="BQ574" s="79">
        <v>1.51</v>
      </c>
      <c r="BR574" s="79">
        <v>0</v>
      </c>
      <c r="BS574" s="79" t="s">
        <v>464</v>
      </c>
      <c r="BT574" s="79" t="s">
        <v>464</v>
      </c>
      <c r="BU574" s="79" t="s">
        <v>1266</v>
      </c>
      <c r="BV574" s="79">
        <v>450</v>
      </c>
      <c r="BX574" s="79" t="s">
        <v>1287</v>
      </c>
      <c r="BZ574" s="81">
        <v>3110</v>
      </c>
      <c r="CA574">
        <f t="shared" si="124"/>
        <v>8.0423780051732798</v>
      </c>
    </row>
    <row r="575" spans="1:79" x14ac:dyDescent="0.3">
      <c r="A575" s="2" t="s">
        <v>0</v>
      </c>
      <c r="B575" s="13" t="s">
        <v>685</v>
      </c>
      <c r="C575" s="13"/>
      <c r="D575" s="2">
        <v>3.3</v>
      </c>
      <c r="E575" s="2" t="s">
        <v>257</v>
      </c>
      <c r="F575" s="9" t="s">
        <v>523</v>
      </c>
      <c r="G575" t="s">
        <v>606</v>
      </c>
      <c r="I575" s="2"/>
      <c r="J575" s="25">
        <v>4</v>
      </c>
      <c r="K575">
        <v>4</v>
      </c>
      <c r="L575">
        <v>0</v>
      </c>
      <c r="M575" s="2"/>
      <c r="N575" s="2"/>
      <c r="O575" s="2"/>
      <c r="P575" s="2"/>
      <c r="Q575" s="2"/>
      <c r="R575" s="25">
        <v>6.6040679999999998</v>
      </c>
      <c r="S575" s="25">
        <v>7.9389519999999996</v>
      </c>
      <c r="T575" s="25">
        <v>33.703336</v>
      </c>
      <c r="U575">
        <v>7.83</v>
      </c>
      <c r="V575">
        <v>33.209989999999998</v>
      </c>
      <c r="W575">
        <v>6.46</v>
      </c>
      <c r="X575">
        <v>0</v>
      </c>
      <c r="AA575" s="2"/>
      <c r="AB575">
        <v>34</v>
      </c>
      <c r="AC575" s="55">
        <f t="shared" si="145"/>
        <v>0</v>
      </c>
      <c r="AD575" s="57">
        <v>1767.0449718798691</v>
      </c>
      <c r="AE575" s="55">
        <v>1679.8210721820001</v>
      </c>
      <c r="AF575" s="55">
        <v>0</v>
      </c>
      <c r="AG575" s="52"/>
      <c r="AH575" s="51">
        <v>7.6964651247849417E-2</v>
      </c>
      <c r="AI575" s="52">
        <v>8.0961003676030277E-2</v>
      </c>
      <c r="AJ575" s="52"/>
      <c r="AK575" s="28">
        <v>1.62962962962963</v>
      </c>
      <c r="AL575" s="28">
        <v>2.518518518518519</v>
      </c>
      <c r="AM575" s="28">
        <v>0.88888888888888884</v>
      </c>
      <c r="AN575" s="28">
        <v>0</v>
      </c>
      <c r="AO575" s="28">
        <v>0.32352941176470579</v>
      </c>
      <c r="AP575" s="28">
        <v>0.5</v>
      </c>
      <c r="AQ575" s="28">
        <v>0.1764705882352941</v>
      </c>
      <c r="AR575" s="28">
        <v>0</v>
      </c>
      <c r="AS575" s="25">
        <v>0.82</v>
      </c>
      <c r="AT575" s="25">
        <v>3.44</v>
      </c>
      <c r="AU575" s="25">
        <v>2.62</v>
      </c>
      <c r="AV575" s="25">
        <v>2.642962962962963</v>
      </c>
      <c r="AW575">
        <v>2.642962962962963</v>
      </c>
      <c r="AX575">
        <v>5.9587362692592576</v>
      </c>
      <c r="AY575" s="75">
        <v>0.48264383878002159</v>
      </c>
      <c r="AZ575" s="75">
        <v>0.50770488753139842</v>
      </c>
      <c r="BA575" s="75"/>
      <c r="BC575">
        <v>3.8482325623924708E-2</v>
      </c>
      <c r="BD575">
        <v>4.0480501838015132E-2</v>
      </c>
      <c r="BF575">
        <v>7.8962827461939847E-2</v>
      </c>
      <c r="BG575">
        <v>3.9481413730969923E-2</v>
      </c>
      <c r="BH575">
        <v>0.49517436315571001</v>
      </c>
      <c r="BI575" s="79" t="s">
        <v>1264</v>
      </c>
      <c r="BJ575" s="79">
        <v>1473</v>
      </c>
      <c r="BM575" s="79" t="s">
        <v>1275</v>
      </c>
      <c r="BN575" s="79" t="s">
        <v>56</v>
      </c>
      <c r="BO575" s="79">
        <v>1</v>
      </c>
      <c r="BP575" s="79">
        <v>7.8</v>
      </c>
      <c r="BQ575" s="79">
        <v>1.51</v>
      </c>
      <c r="BR575" s="79">
        <v>0</v>
      </c>
      <c r="BS575" s="79" t="s">
        <v>464</v>
      </c>
      <c r="BT575" s="79" t="s">
        <v>464</v>
      </c>
      <c r="BU575" s="79" t="s">
        <v>1266</v>
      </c>
      <c r="BV575" s="79">
        <v>450</v>
      </c>
      <c r="BX575" s="79" t="s">
        <v>1287</v>
      </c>
      <c r="BZ575" s="81">
        <v>3520</v>
      </c>
      <c r="CA575">
        <f t="shared" si="124"/>
        <v>8.1662162685921427</v>
      </c>
    </row>
    <row r="576" spans="1:79" x14ac:dyDescent="0.3">
      <c r="A576" s="2" t="s">
        <v>0</v>
      </c>
      <c r="B576" s="13" t="s">
        <v>685</v>
      </c>
      <c r="C576" s="13"/>
      <c r="D576" s="2">
        <v>3.3</v>
      </c>
      <c r="E576" s="2" t="s">
        <v>257</v>
      </c>
      <c r="F576" s="9" t="s">
        <v>523</v>
      </c>
      <c r="G576" t="s">
        <v>606</v>
      </c>
      <c r="I576" s="2"/>
      <c r="J576" s="25">
        <v>4</v>
      </c>
      <c r="K576">
        <v>4</v>
      </c>
      <c r="L576">
        <v>0</v>
      </c>
      <c r="M576" s="2"/>
      <c r="N576" s="2"/>
      <c r="O576" s="2"/>
      <c r="P576" s="2"/>
      <c r="Q576" s="2"/>
      <c r="R576" s="25">
        <v>6.6040679999999998</v>
      </c>
      <c r="S576" s="25">
        <v>7.9389519999999996</v>
      </c>
      <c r="T576" s="25">
        <v>33.703336</v>
      </c>
      <c r="U576">
        <v>7.83</v>
      </c>
      <c r="V576">
        <v>33.209989999999998</v>
      </c>
      <c r="W576">
        <v>6.46</v>
      </c>
      <c r="X576">
        <v>0</v>
      </c>
      <c r="AA576" s="2"/>
      <c r="AB576">
        <v>34</v>
      </c>
      <c r="AC576" s="55">
        <f t="shared" ref="AC576" si="146">M576*N576*O576</f>
        <v>0</v>
      </c>
      <c r="AD576" s="57">
        <v>1767.0449718798691</v>
      </c>
      <c r="AE576" s="55">
        <v>1679.8210721820001</v>
      </c>
      <c r="AF576" s="55">
        <v>0</v>
      </c>
      <c r="AG576" s="52"/>
      <c r="AH576" s="51">
        <v>7.6964651247849417E-2</v>
      </c>
      <c r="AI576" s="52">
        <v>8.0961003676030277E-2</v>
      </c>
      <c r="AJ576" s="52"/>
      <c r="AK576" s="28">
        <v>1.62962962962963</v>
      </c>
      <c r="AL576" s="28">
        <v>2.518518518518519</v>
      </c>
      <c r="AM576" s="28">
        <v>0.88888888888888884</v>
      </c>
      <c r="AN576" s="28">
        <v>0</v>
      </c>
      <c r="AO576" s="28">
        <v>0.32352941176470579</v>
      </c>
      <c r="AP576" s="28">
        <v>0.5</v>
      </c>
      <c r="AQ576" s="28">
        <v>0.1764705882352941</v>
      </c>
      <c r="AR576" s="28">
        <v>0</v>
      </c>
      <c r="AS576" s="25">
        <v>0.82</v>
      </c>
      <c r="AT576" s="25">
        <v>3.44</v>
      </c>
      <c r="AU576" s="25">
        <v>2.62</v>
      </c>
      <c r="AV576" s="25">
        <v>2.642962962962963</v>
      </c>
      <c r="AW576">
        <v>2.642962962962963</v>
      </c>
      <c r="AX576">
        <v>5.9587362692592576</v>
      </c>
      <c r="AY576" s="75">
        <v>0.48264383878002159</v>
      </c>
      <c r="AZ576" s="75">
        <v>0.50770488753139842</v>
      </c>
      <c r="BA576" s="75"/>
      <c r="BC576">
        <v>3.8482325623924708E-2</v>
      </c>
      <c r="BD576">
        <v>4.0480501838015132E-2</v>
      </c>
      <c r="BF576">
        <v>7.8962827461939847E-2</v>
      </c>
      <c r="BG576">
        <v>3.9481413730969923E-2</v>
      </c>
      <c r="BH576">
        <v>0.49517436315571001</v>
      </c>
      <c r="BI576" s="79" t="s">
        <v>1264</v>
      </c>
      <c r="BJ576" s="79">
        <v>1473</v>
      </c>
      <c r="BM576" s="79" t="s">
        <v>1275</v>
      </c>
      <c r="BN576" s="79" t="s">
        <v>56</v>
      </c>
      <c r="BO576" s="79">
        <v>1</v>
      </c>
      <c r="BP576" s="79">
        <v>6.2</v>
      </c>
      <c r="BQ576" s="79">
        <v>1.51</v>
      </c>
      <c r="BR576" s="79">
        <v>0</v>
      </c>
      <c r="BS576" s="79" t="s">
        <v>464</v>
      </c>
      <c r="BT576" s="79" t="s">
        <v>464</v>
      </c>
      <c r="BU576" s="79" t="s">
        <v>1266</v>
      </c>
      <c r="BV576" s="79">
        <v>450</v>
      </c>
      <c r="BX576" s="79" t="s">
        <v>1287</v>
      </c>
      <c r="BZ576" s="81">
        <v>3674</v>
      </c>
      <c r="CA576">
        <f t="shared" si="124"/>
        <v>8.2090362657750706</v>
      </c>
    </row>
    <row r="577" spans="1:79" x14ac:dyDescent="0.3">
      <c r="A577" s="2" t="s">
        <v>1423</v>
      </c>
      <c r="B577" s="17"/>
      <c r="C577" s="13"/>
      <c r="D577" s="2">
        <v>2.17</v>
      </c>
      <c r="E577" s="2" t="s">
        <v>258</v>
      </c>
      <c r="F577" s="9" t="s">
        <v>587</v>
      </c>
      <c r="G577" t="s">
        <v>636</v>
      </c>
      <c r="I577" s="2"/>
      <c r="J577" s="25">
        <v>1</v>
      </c>
      <c r="K577">
        <v>1</v>
      </c>
      <c r="L577">
        <v>0</v>
      </c>
      <c r="M577" s="2"/>
      <c r="N577" s="2"/>
      <c r="O577" s="2"/>
      <c r="P577" s="2"/>
      <c r="Q577" s="2"/>
      <c r="R577" s="25">
        <v>3.950634</v>
      </c>
      <c r="S577" s="25">
        <v>3.950634</v>
      </c>
      <c r="T577" s="25">
        <v>15.513552000000001</v>
      </c>
      <c r="U577">
        <v>3.8658999999999999</v>
      </c>
      <c r="V577">
        <v>3.8658999999999999</v>
      </c>
      <c r="W577">
        <v>15.2538</v>
      </c>
      <c r="X577">
        <v>0</v>
      </c>
      <c r="AA577" s="2"/>
      <c r="AB577">
        <v>20</v>
      </c>
      <c r="AC577" s="55">
        <f t="shared" si="141"/>
        <v>0</v>
      </c>
      <c r="AD577" s="57">
        <v>242.1279024923125</v>
      </c>
      <c r="AE577" s="55">
        <v>227.970829547178</v>
      </c>
      <c r="AF577" s="55">
        <v>0</v>
      </c>
      <c r="AG577" s="52"/>
      <c r="AH577" s="51">
        <v>8.2600971611006269E-2</v>
      </c>
      <c r="AI577" s="52">
        <v>8.7730522539775438E-2</v>
      </c>
      <c r="AJ577" s="52"/>
      <c r="AK577" s="28">
        <v>1.9375</v>
      </c>
      <c r="AL577" s="28">
        <v>2.5</v>
      </c>
      <c r="AM577" s="28">
        <v>0.5625</v>
      </c>
      <c r="AN577" s="28">
        <v>2.625</v>
      </c>
      <c r="AO577" s="28">
        <v>0.25409836065573771</v>
      </c>
      <c r="AP577" s="28">
        <v>0.32786885245901642</v>
      </c>
      <c r="AQ577" s="28">
        <v>7.3770491803278687E-2</v>
      </c>
      <c r="AR577" s="28">
        <v>0.34426229508196721</v>
      </c>
      <c r="AS577" s="25">
        <v>0.79</v>
      </c>
      <c r="AT577" s="25">
        <v>3.44</v>
      </c>
      <c r="AU577" s="25">
        <v>2.65</v>
      </c>
      <c r="AV577" s="25">
        <v>2.6056249999999999</v>
      </c>
      <c r="AW577">
        <v>2.6056249999999999</v>
      </c>
      <c r="AX577">
        <v>5.9703320286696879</v>
      </c>
      <c r="AY577" s="75">
        <v>0.52453741991489755</v>
      </c>
      <c r="AZ577" s="75">
        <v>0.55711138795694093</v>
      </c>
      <c r="BA577" s="75"/>
      <c r="BC577">
        <v>4.1300485805503127E-2</v>
      </c>
      <c r="BD577">
        <v>4.3865261269887712E-2</v>
      </c>
      <c r="BF577">
        <v>8.5165747075390846E-2</v>
      </c>
      <c r="BG577">
        <v>4.2582873537695423E-2</v>
      </c>
      <c r="BH577">
        <v>0.54082440393591924</v>
      </c>
      <c r="BI577" s="79" t="s">
        <v>1264</v>
      </c>
      <c r="BJ577" s="79">
        <f>1273</f>
        <v>1273</v>
      </c>
      <c r="BK577" s="79">
        <v>10</v>
      </c>
      <c r="BL577" s="79" t="s">
        <v>1308</v>
      </c>
      <c r="BM577" s="79" t="s">
        <v>1268</v>
      </c>
      <c r="BN577" s="79" t="s">
        <v>890</v>
      </c>
      <c r="BO577" s="79">
        <v>0.15</v>
      </c>
      <c r="BP577" s="81">
        <v>112</v>
      </c>
      <c r="BQ577" s="79">
        <v>1</v>
      </c>
      <c r="BR577" s="79">
        <v>20</v>
      </c>
      <c r="BS577" s="79" t="s">
        <v>464</v>
      </c>
      <c r="BT577" s="79" t="s">
        <v>464</v>
      </c>
      <c r="BU577" s="79" t="s">
        <v>1271</v>
      </c>
      <c r="BV577" s="79">
        <v>500</v>
      </c>
      <c r="BX577" s="79" t="s">
        <v>1287</v>
      </c>
      <c r="BZ577" s="81">
        <f>332*5</f>
        <v>1660</v>
      </c>
      <c r="CA577">
        <f t="shared" si="124"/>
        <v>7.4145728813505887</v>
      </c>
    </row>
    <row r="578" spans="1:79" x14ac:dyDescent="0.3">
      <c r="A578" s="2" t="s">
        <v>1423</v>
      </c>
      <c r="B578" s="17"/>
      <c r="C578" s="13"/>
      <c r="D578" s="2">
        <v>2.17</v>
      </c>
      <c r="E578" s="2" t="s">
        <v>258</v>
      </c>
      <c r="F578" s="9" t="s">
        <v>587</v>
      </c>
      <c r="G578" t="s">
        <v>636</v>
      </c>
      <c r="I578" s="2"/>
      <c r="J578" s="25">
        <v>1</v>
      </c>
      <c r="K578">
        <v>1</v>
      </c>
      <c r="L578">
        <v>0</v>
      </c>
      <c r="M578" s="2"/>
      <c r="N578" s="2"/>
      <c r="O578" s="2"/>
      <c r="P578" s="2"/>
      <c r="Q578" s="2"/>
      <c r="R578" s="25">
        <v>3.950634</v>
      </c>
      <c r="S578" s="25">
        <v>3.950634</v>
      </c>
      <c r="T578" s="25">
        <v>15.513552000000001</v>
      </c>
      <c r="U578">
        <v>3.8658999999999999</v>
      </c>
      <c r="V578">
        <v>3.8658999999999999</v>
      </c>
      <c r="W578">
        <v>15.2538</v>
      </c>
      <c r="X578">
        <v>0</v>
      </c>
      <c r="AA578" s="2"/>
      <c r="AB578">
        <v>20</v>
      </c>
      <c r="AC578" s="55">
        <f t="shared" ref="AC578" si="147">M578*N578*O578</f>
        <v>0</v>
      </c>
      <c r="AD578" s="57">
        <v>242.1279024923125</v>
      </c>
      <c r="AE578" s="55">
        <v>227.970829547178</v>
      </c>
      <c r="AF578" s="55">
        <v>0</v>
      </c>
      <c r="AG578" s="52"/>
      <c r="AH578" s="51">
        <v>8.2600971611006269E-2</v>
      </c>
      <c r="AI578" s="52">
        <v>8.7730522539775438E-2</v>
      </c>
      <c r="AJ578" s="52"/>
      <c r="AK578" s="28">
        <v>1.9375</v>
      </c>
      <c r="AL578" s="28">
        <v>2.5</v>
      </c>
      <c r="AM578" s="28">
        <v>0.5625</v>
      </c>
      <c r="AN578" s="28">
        <v>2.625</v>
      </c>
      <c r="AO578" s="28">
        <v>0.25409836065573771</v>
      </c>
      <c r="AP578" s="28">
        <v>0.32786885245901642</v>
      </c>
      <c r="AQ578" s="28">
        <v>7.3770491803278687E-2</v>
      </c>
      <c r="AR578" s="28">
        <v>0.34426229508196721</v>
      </c>
      <c r="AS578" s="25">
        <v>0.79</v>
      </c>
      <c r="AT578" s="25">
        <v>3.44</v>
      </c>
      <c r="AU578" s="25">
        <v>2.65</v>
      </c>
      <c r="AV578" s="25">
        <v>2.6056249999999999</v>
      </c>
      <c r="AW578">
        <v>2.6056249999999999</v>
      </c>
      <c r="AX578">
        <v>5.9703320286696879</v>
      </c>
      <c r="AY578" s="75">
        <v>0.52453741991489755</v>
      </c>
      <c r="AZ578" s="75">
        <v>0.55711138795694093</v>
      </c>
      <c r="BA578" s="75"/>
      <c r="BC578">
        <v>4.1300485805503127E-2</v>
      </c>
      <c r="BD578">
        <v>4.3865261269887712E-2</v>
      </c>
      <c r="BF578">
        <v>8.5165747075390846E-2</v>
      </c>
      <c r="BG578">
        <v>4.2582873537695423E-2</v>
      </c>
      <c r="BH578">
        <v>0.54082440393591924</v>
      </c>
      <c r="BI578" s="79" t="s">
        <v>1264</v>
      </c>
      <c r="BJ578" s="79">
        <f>1273</f>
        <v>1273</v>
      </c>
      <c r="BK578" s="79">
        <v>10</v>
      </c>
      <c r="BL578" s="79" t="s">
        <v>1308</v>
      </c>
      <c r="BM578" s="79" t="s">
        <v>1268</v>
      </c>
      <c r="BN578" s="79" t="s">
        <v>1422</v>
      </c>
      <c r="BO578" s="79">
        <v>0.15</v>
      </c>
      <c r="BP578" s="81">
        <v>112</v>
      </c>
      <c r="BQ578" s="79">
        <v>1</v>
      </c>
      <c r="BR578" s="79">
        <v>20</v>
      </c>
      <c r="BS578" s="79" t="s">
        <v>464</v>
      </c>
      <c r="BT578" s="79" t="s">
        <v>464</v>
      </c>
      <c r="BU578" s="79" t="s">
        <v>1271</v>
      </c>
      <c r="BV578" s="79">
        <v>500</v>
      </c>
      <c r="BX578" s="79" t="s">
        <v>1287</v>
      </c>
      <c r="BZ578" s="81">
        <f>143*5</f>
        <v>715</v>
      </c>
      <c r="CA578">
        <f t="shared" si="124"/>
        <v>6.5722825426940075</v>
      </c>
    </row>
    <row r="579" spans="1:79" x14ac:dyDescent="0.3">
      <c r="A579" s="2" t="s">
        <v>1423</v>
      </c>
      <c r="B579" s="17"/>
      <c r="C579" s="13"/>
      <c r="D579" s="2">
        <v>2.17</v>
      </c>
      <c r="E579" s="2" t="s">
        <v>258</v>
      </c>
      <c r="F579" s="9" t="s">
        <v>587</v>
      </c>
      <c r="G579" t="s">
        <v>636</v>
      </c>
      <c r="I579" s="2"/>
      <c r="J579" s="25">
        <v>1</v>
      </c>
      <c r="K579">
        <v>1</v>
      </c>
      <c r="L579">
        <v>0</v>
      </c>
      <c r="M579" s="2"/>
      <c r="N579" s="2"/>
      <c r="O579" s="2"/>
      <c r="P579" s="2"/>
      <c r="Q579" s="2"/>
      <c r="R579" s="25">
        <v>3.950634</v>
      </c>
      <c r="S579" s="25">
        <v>3.950634</v>
      </c>
      <c r="T579" s="25">
        <v>15.513552000000001</v>
      </c>
      <c r="U579">
        <v>3.8658999999999999</v>
      </c>
      <c r="V579">
        <v>3.8658999999999999</v>
      </c>
      <c r="W579">
        <v>15.2538</v>
      </c>
      <c r="X579">
        <v>0</v>
      </c>
      <c r="AA579" s="2"/>
      <c r="AB579">
        <v>20</v>
      </c>
      <c r="AC579" s="55">
        <f t="shared" ref="AC579:AC580" si="148">M579*N579*O579</f>
        <v>0</v>
      </c>
      <c r="AD579" s="57">
        <v>242.1279024923125</v>
      </c>
      <c r="AE579" s="55">
        <v>227.970829547178</v>
      </c>
      <c r="AF579" s="55">
        <v>0</v>
      </c>
      <c r="AG579" s="52"/>
      <c r="AH579" s="51">
        <v>8.2600971611006269E-2</v>
      </c>
      <c r="AI579" s="52">
        <v>8.7730522539775438E-2</v>
      </c>
      <c r="AJ579" s="52"/>
      <c r="AK579" s="28">
        <v>1.9375</v>
      </c>
      <c r="AL579" s="28">
        <v>2.5</v>
      </c>
      <c r="AM579" s="28">
        <v>0.5625</v>
      </c>
      <c r="AN579" s="28">
        <v>2.625</v>
      </c>
      <c r="AO579" s="28">
        <v>0.25409836065573771</v>
      </c>
      <c r="AP579" s="28">
        <v>0.32786885245901642</v>
      </c>
      <c r="AQ579" s="28">
        <v>7.3770491803278687E-2</v>
      </c>
      <c r="AR579" s="28">
        <v>0.34426229508196721</v>
      </c>
      <c r="AS579" s="25">
        <v>0.79</v>
      </c>
      <c r="AT579" s="25">
        <v>3.44</v>
      </c>
      <c r="AU579" s="25">
        <v>2.65</v>
      </c>
      <c r="AV579" s="25">
        <v>2.6056249999999999</v>
      </c>
      <c r="AW579">
        <v>2.6056249999999999</v>
      </c>
      <c r="AX579">
        <v>5.9703320286696879</v>
      </c>
      <c r="AY579" s="75">
        <v>0.52453741991489755</v>
      </c>
      <c r="AZ579" s="75">
        <v>0.55711138795694093</v>
      </c>
      <c r="BA579" s="75"/>
      <c r="BC579">
        <v>4.1300485805503127E-2</v>
      </c>
      <c r="BD579">
        <v>4.3865261269887712E-2</v>
      </c>
      <c r="BF579">
        <v>8.5165747075390846E-2</v>
      </c>
      <c r="BG579">
        <v>4.2582873537695423E-2</v>
      </c>
      <c r="BH579">
        <v>0.54082440393591924</v>
      </c>
      <c r="BI579" s="79" t="s">
        <v>1264</v>
      </c>
      <c r="BJ579" s="79">
        <f>1273</f>
        <v>1273</v>
      </c>
      <c r="BK579" s="79">
        <v>10</v>
      </c>
      <c r="BL579" s="79" t="s">
        <v>1308</v>
      </c>
      <c r="BM579" s="79" t="s">
        <v>1268</v>
      </c>
      <c r="BN579" s="79" t="s">
        <v>863</v>
      </c>
      <c r="BO579" s="79">
        <v>0.15</v>
      </c>
      <c r="BP579" s="81">
        <v>112</v>
      </c>
      <c r="BQ579" s="79">
        <v>1</v>
      </c>
      <c r="BR579" s="79">
        <v>20</v>
      </c>
      <c r="BS579" s="79" t="s">
        <v>464</v>
      </c>
      <c r="BT579" s="79" t="s">
        <v>464</v>
      </c>
      <c r="BU579" s="79" t="s">
        <v>1271</v>
      </c>
      <c r="BV579" s="79">
        <v>500</v>
      </c>
      <c r="BX579" s="79" t="s">
        <v>1287</v>
      </c>
      <c r="BZ579" s="81">
        <f>140*5</f>
        <v>700</v>
      </c>
      <c r="CA579">
        <f t="shared" ref="CA579:CA642" si="149">LN(BZ579)</f>
        <v>6.5510803350434044</v>
      </c>
    </row>
    <row r="580" spans="1:79" x14ac:dyDescent="0.3">
      <c r="A580" s="2" t="s">
        <v>1423</v>
      </c>
      <c r="B580" s="17"/>
      <c r="C580" s="13"/>
      <c r="D580" s="2">
        <v>2.17</v>
      </c>
      <c r="E580" s="2" t="s">
        <v>258</v>
      </c>
      <c r="F580" s="9" t="s">
        <v>587</v>
      </c>
      <c r="G580" t="s">
        <v>636</v>
      </c>
      <c r="I580" s="2"/>
      <c r="J580" s="25">
        <v>1</v>
      </c>
      <c r="K580">
        <v>1</v>
      </c>
      <c r="L580">
        <v>0</v>
      </c>
      <c r="M580" s="2"/>
      <c r="N580" s="2"/>
      <c r="O580" s="2"/>
      <c r="P580" s="2"/>
      <c r="Q580" s="2"/>
      <c r="R580" s="25">
        <v>3.950634</v>
      </c>
      <c r="S580" s="25">
        <v>3.950634</v>
      </c>
      <c r="T580" s="25">
        <v>15.513552000000001</v>
      </c>
      <c r="U580">
        <v>3.8658999999999999</v>
      </c>
      <c r="V580">
        <v>3.8658999999999999</v>
      </c>
      <c r="W580">
        <v>15.2538</v>
      </c>
      <c r="X580">
        <v>0</v>
      </c>
      <c r="AA580" s="2"/>
      <c r="AB580">
        <v>20</v>
      </c>
      <c r="AC580" s="55">
        <f t="shared" si="148"/>
        <v>0</v>
      </c>
      <c r="AD580" s="57">
        <v>242.1279024923125</v>
      </c>
      <c r="AE580" s="55">
        <v>227.970829547178</v>
      </c>
      <c r="AF580" s="55">
        <v>0</v>
      </c>
      <c r="AG580" s="52"/>
      <c r="AH580" s="51">
        <v>8.2600971611006269E-2</v>
      </c>
      <c r="AI580" s="52">
        <v>8.7730522539775438E-2</v>
      </c>
      <c r="AJ580" s="52"/>
      <c r="AK580" s="28">
        <v>1.9375</v>
      </c>
      <c r="AL580" s="28">
        <v>2.5</v>
      </c>
      <c r="AM580" s="28">
        <v>0.5625</v>
      </c>
      <c r="AN580" s="28">
        <v>2.625</v>
      </c>
      <c r="AO580" s="28">
        <v>0.25409836065573771</v>
      </c>
      <c r="AP580" s="28">
        <v>0.32786885245901642</v>
      </c>
      <c r="AQ580" s="28">
        <v>7.3770491803278687E-2</v>
      </c>
      <c r="AR580" s="28">
        <v>0.34426229508196721</v>
      </c>
      <c r="AS580" s="25">
        <v>0.79</v>
      </c>
      <c r="AT580" s="25">
        <v>3.44</v>
      </c>
      <c r="AU580" s="25">
        <v>2.65</v>
      </c>
      <c r="AV580" s="25">
        <v>2.6056249999999999</v>
      </c>
      <c r="AW580">
        <v>2.6056249999999999</v>
      </c>
      <c r="AX580">
        <v>5.9703320286696879</v>
      </c>
      <c r="AY580" s="75">
        <v>0.52453741991489755</v>
      </c>
      <c r="AZ580" s="75">
        <v>0.55711138795694093</v>
      </c>
      <c r="BA580" s="75"/>
      <c r="BC580">
        <v>4.1300485805503127E-2</v>
      </c>
      <c r="BD580">
        <v>4.3865261269887712E-2</v>
      </c>
      <c r="BF580">
        <v>8.5165747075390846E-2</v>
      </c>
      <c r="BG580">
        <v>4.2582873537695423E-2</v>
      </c>
      <c r="BH580">
        <v>0.54082440393591924</v>
      </c>
      <c r="BI580" s="79" t="s">
        <v>1264</v>
      </c>
      <c r="BJ580" s="79">
        <f>1273</f>
        <v>1273</v>
      </c>
      <c r="BK580" s="79">
        <v>10</v>
      </c>
      <c r="BL580" s="79" t="s">
        <v>1308</v>
      </c>
      <c r="BM580" s="79" t="s">
        <v>1268</v>
      </c>
      <c r="BN580" s="79" t="s">
        <v>890</v>
      </c>
      <c r="BO580" s="79">
        <v>0</v>
      </c>
      <c r="BP580" s="81">
        <v>112</v>
      </c>
      <c r="BQ580" s="79">
        <v>1</v>
      </c>
      <c r="BR580" s="79">
        <v>20</v>
      </c>
      <c r="BS580" s="79" t="s">
        <v>464</v>
      </c>
      <c r="BT580" s="79" t="s">
        <v>464</v>
      </c>
      <c r="BU580" s="79" t="s">
        <v>1271</v>
      </c>
      <c r="BV580" s="79">
        <v>500</v>
      </c>
      <c r="BX580" s="79" t="s">
        <v>1287</v>
      </c>
      <c r="BZ580" s="81">
        <f>120*5</f>
        <v>600</v>
      </c>
      <c r="CA580">
        <f t="shared" si="149"/>
        <v>6.3969296552161463</v>
      </c>
    </row>
    <row r="581" spans="1:79" x14ac:dyDescent="0.3">
      <c r="A581" s="2" t="s">
        <v>1423</v>
      </c>
      <c r="B581" s="17"/>
      <c r="C581" s="13"/>
      <c r="D581" s="2">
        <v>2.17</v>
      </c>
      <c r="E581" s="2" t="s">
        <v>258</v>
      </c>
      <c r="F581" s="9" t="s">
        <v>587</v>
      </c>
      <c r="G581" t="s">
        <v>636</v>
      </c>
      <c r="I581" s="2"/>
      <c r="J581" s="25">
        <v>1</v>
      </c>
      <c r="K581">
        <v>1</v>
      </c>
      <c r="L581">
        <v>0</v>
      </c>
      <c r="M581" s="2"/>
      <c r="N581" s="2"/>
      <c r="O581" s="2"/>
      <c r="P581" s="2"/>
      <c r="Q581" s="2"/>
      <c r="R581" s="25">
        <v>3.950634</v>
      </c>
      <c r="S581" s="25">
        <v>3.950634</v>
      </c>
      <c r="T581" s="25">
        <v>15.513552000000001</v>
      </c>
      <c r="U581">
        <v>3.8658999999999999</v>
      </c>
      <c r="V581">
        <v>3.8658999999999999</v>
      </c>
      <c r="W581">
        <v>15.2538</v>
      </c>
      <c r="X581">
        <v>0</v>
      </c>
      <c r="AA581" s="2"/>
      <c r="AB581">
        <v>20</v>
      </c>
      <c r="AC581" s="55">
        <f t="shared" ref="AC581:AC582" si="150">M581*N581*O581</f>
        <v>0</v>
      </c>
      <c r="AD581" s="57">
        <v>242.1279024923125</v>
      </c>
      <c r="AE581" s="55">
        <v>227.970829547178</v>
      </c>
      <c r="AF581" s="55">
        <v>0</v>
      </c>
      <c r="AG581" s="52"/>
      <c r="AH581" s="51">
        <v>8.2600971611006269E-2</v>
      </c>
      <c r="AI581" s="52">
        <v>8.7730522539775438E-2</v>
      </c>
      <c r="AJ581" s="52"/>
      <c r="AK581" s="28">
        <v>1.9375</v>
      </c>
      <c r="AL581" s="28">
        <v>2.5</v>
      </c>
      <c r="AM581" s="28">
        <v>0.5625</v>
      </c>
      <c r="AN581" s="28">
        <v>2.625</v>
      </c>
      <c r="AO581" s="28">
        <v>0.25409836065573771</v>
      </c>
      <c r="AP581" s="28">
        <v>0.32786885245901642</v>
      </c>
      <c r="AQ581" s="28">
        <v>7.3770491803278687E-2</v>
      </c>
      <c r="AR581" s="28">
        <v>0.34426229508196721</v>
      </c>
      <c r="AS581" s="25">
        <v>0.79</v>
      </c>
      <c r="AT581" s="25">
        <v>3.44</v>
      </c>
      <c r="AU581" s="25">
        <v>2.65</v>
      </c>
      <c r="AV581" s="25">
        <v>2.6056249999999999</v>
      </c>
      <c r="AW581">
        <v>2.6056249999999999</v>
      </c>
      <c r="AX581">
        <v>5.9703320286696879</v>
      </c>
      <c r="AY581" s="75">
        <v>0.52453741991489755</v>
      </c>
      <c r="AZ581" s="75">
        <v>0.55711138795694093</v>
      </c>
      <c r="BA581" s="75"/>
      <c r="BC581">
        <v>4.1300485805503127E-2</v>
      </c>
      <c r="BD581">
        <v>4.3865261269887712E-2</v>
      </c>
      <c r="BF581">
        <v>8.5165747075390846E-2</v>
      </c>
      <c r="BG581">
        <v>4.2582873537695423E-2</v>
      </c>
      <c r="BH581">
        <v>0.54082440393591924</v>
      </c>
      <c r="BI581" s="79" t="s">
        <v>1264</v>
      </c>
      <c r="BJ581" s="79">
        <f>1273</f>
        <v>1273</v>
      </c>
      <c r="BK581" s="79">
        <v>10</v>
      </c>
      <c r="BL581" s="79" t="s">
        <v>1308</v>
      </c>
      <c r="BM581" s="79" t="s">
        <v>1268</v>
      </c>
      <c r="BN581" s="79" t="s">
        <v>890</v>
      </c>
      <c r="BO581" s="79">
        <v>7.0000000000000007E-2</v>
      </c>
      <c r="BP581" s="81">
        <v>112</v>
      </c>
      <c r="BQ581" s="79">
        <v>1</v>
      </c>
      <c r="BR581" s="79">
        <v>20</v>
      </c>
      <c r="BS581" s="79" t="s">
        <v>464</v>
      </c>
      <c r="BT581" s="79" t="s">
        <v>464</v>
      </c>
      <c r="BU581" s="79" t="s">
        <v>1271</v>
      </c>
      <c r="BV581" s="79">
        <v>500</v>
      </c>
      <c r="BX581" s="79" t="s">
        <v>1287</v>
      </c>
      <c r="BZ581" s="81">
        <f>250*5</f>
        <v>1250</v>
      </c>
      <c r="CA581">
        <f t="shared" si="149"/>
        <v>7.1308988302963465</v>
      </c>
    </row>
    <row r="582" spans="1:79" x14ac:dyDescent="0.3">
      <c r="A582" s="2" t="s">
        <v>1423</v>
      </c>
      <c r="B582" s="17"/>
      <c r="C582" s="13"/>
      <c r="D582" s="2">
        <v>2.17</v>
      </c>
      <c r="E582" s="2" t="s">
        <v>258</v>
      </c>
      <c r="F582" s="9" t="s">
        <v>587</v>
      </c>
      <c r="G582" t="s">
        <v>636</v>
      </c>
      <c r="I582" s="2"/>
      <c r="J582" s="25">
        <v>1</v>
      </c>
      <c r="K582">
        <v>1</v>
      </c>
      <c r="L582">
        <v>0</v>
      </c>
      <c r="M582" s="2"/>
      <c r="N582" s="2"/>
      <c r="O582" s="2"/>
      <c r="P582" s="2"/>
      <c r="Q582" s="2"/>
      <c r="R582" s="25">
        <v>3.950634</v>
      </c>
      <c r="S582" s="25">
        <v>3.950634</v>
      </c>
      <c r="T582" s="25">
        <v>15.513552000000001</v>
      </c>
      <c r="U582">
        <v>3.8658999999999999</v>
      </c>
      <c r="V582">
        <v>3.8658999999999999</v>
      </c>
      <c r="W582">
        <v>15.2538</v>
      </c>
      <c r="X582">
        <v>0</v>
      </c>
      <c r="AA582" s="2"/>
      <c r="AB582">
        <v>20</v>
      </c>
      <c r="AC582" s="55">
        <f t="shared" si="150"/>
        <v>0</v>
      </c>
      <c r="AD582" s="57">
        <v>242.1279024923125</v>
      </c>
      <c r="AE582" s="55">
        <v>227.970829547178</v>
      </c>
      <c r="AF582" s="55">
        <v>0</v>
      </c>
      <c r="AG582" s="52"/>
      <c r="AH582" s="51">
        <v>8.2600971611006269E-2</v>
      </c>
      <c r="AI582" s="52">
        <v>8.7730522539775438E-2</v>
      </c>
      <c r="AJ582" s="52"/>
      <c r="AK582" s="28">
        <v>1.9375</v>
      </c>
      <c r="AL582" s="28">
        <v>2.5</v>
      </c>
      <c r="AM582" s="28">
        <v>0.5625</v>
      </c>
      <c r="AN582" s="28">
        <v>2.625</v>
      </c>
      <c r="AO582" s="28">
        <v>0.25409836065573771</v>
      </c>
      <c r="AP582" s="28">
        <v>0.32786885245901642</v>
      </c>
      <c r="AQ582" s="28">
        <v>7.3770491803278687E-2</v>
      </c>
      <c r="AR582" s="28">
        <v>0.34426229508196721</v>
      </c>
      <c r="AS582" s="25">
        <v>0.79</v>
      </c>
      <c r="AT582" s="25">
        <v>3.44</v>
      </c>
      <c r="AU582" s="25">
        <v>2.65</v>
      </c>
      <c r="AV582" s="25">
        <v>2.6056249999999999</v>
      </c>
      <c r="AW582">
        <v>2.6056249999999999</v>
      </c>
      <c r="AX582">
        <v>5.9703320286696879</v>
      </c>
      <c r="AY582" s="75">
        <v>0.52453741991489755</v>
      </c>
      <c r="AZ582" s="75">
        <v>0.55711138795694093</v>
      </c>
      <c r="BA582" s="75"/>
      <c r="BC582">
        <v>4.1300485805503127E-2</v>
      </c>
      <c r="BD582">
        <v>4.3865261269887712E-2</v>
      </c>
      <c r="BF582">
        <v>8.5165747075390846E-2</v>
      </c>
      <c r="BG582">
        <v>4.2582873537695423E-2</v>
      </c>
      <c r="BH582">
        <v>0.54082440393591924</v>
      </c>
      <c r="BI582" s="79" t="s">
        <v>1264</v>
      </c>
      <c r="BJ582" s="79">
        <f>1273</f>
        <v>1273</v>
      </c>
      <c r="BK582" s="79">
        <v>10</v>
      </c>
      <c r="BL582" s="79" t="s">
        <v>1308</v>
      </c>
      <c r="BM582" s="79" t="s">
        <v>1268</v>
      </c>
      <c r="BN582" s="79" t="s">
        <v>890</v>
      </c>
      <c r="BO582" s="79">
        <v>0.3</v>
      </c>
      <c r="BP582" s="81">
        <v>112</v>
      </c>
      <c r="BQ582" s="79">
        <v>1</v>
      </c>
      <c r="BR582" s="79">
        <v>20</v>
      </c>
      <c r="BS582" s="79" t="s">
        <v>464</v>
      </c>
      <c r="BT582" s="79" t="s">
        <v>464</v>
      </c>
      <c r="BU582" s="79" t="s">
        <v>1271</v>
      </c>
      <c r="BV582" s="79">
        <v>500</v>
      </c>
      <c r="BX582" s="79" t="s">
        <v>1287</v>
      </c>
      <c r="BZ582" s="81">
        <f>240*5</f>
        <v>1200</v>
      </c>
      <c r="CA582">
        <f t="shared" si="149"/>
        <v>7.0900768357760917</v>
      </c>
    </row>
    <row r="583" spans="1:79" x14ac:dyDescent="0.3">
      <c r="A583" s="2" t="s">
        <v>1423</v>
      </c>
      <c r="B583" s="17"/>
      <c r="C583" s="13"/>
      <c r="D583" s="2">
        <v>2.17</v>
      </c>
      <c r="E583" s="2" t="s">
        <v>258</v>
      </c>
      <c r="F583" s="9" t="s">
        <v>587</v>
      </c>
      <c r="G583" t="s">
        <v>636</v>
      </c>
      <c r="I583" s="2"/>
      <c r="J583" s="25">
        <v>1</v>
      </c>
      <c r="K583">
        <v>1</v>
      </c>
      <c r="L583">
        <v>0</v>
      </c>
      <c r="M583" s="2"/>
      <c r="N583" s="2"/>
      <c r="O583" s="2"/>
      <c r="P583" s="2"/>
      <c r="Q583" s="2"/>
      <c r="R583" s="25">
        <v>3.950634</v>
      </c>
      <c r="S583" s="25">
        <v>3.950634</v>
      </c>
      <c r="T583" s="25">
        <v>15.513552000000001</v>
      </c>
      <c r="U583">
        <v>3.8658999999999999</v>
      </c>
      <c r="V583">
        <v>3.8658999999999999</v>
      </c>
      <c r="W583">
        <v>15.2538</v>
      </c>
      <c r="X583">
        <v>0</v>
      </c>
      <c r="AA583" s="2"/>
      <c r="AB583">
        <v>20</v>
      </c>
      <c r="AC583" s="55">
        <f t="shared" ref="AC583:AC586" si="151">M583*N583*O583</f>
        <v>0</v>
      </c>
      <c r="AD583" s="57">
        <v>242.1279024923125</v>
      </c>
      <c r="AE583" s="55">
        <v>227.970829547178</v>
      </c>
      <c r="AF583" s="55">
        <v>0</v>
      </c>
      <c r="AG583" s="52"/>
      <c r="AH583" s="51">
        <v>8.2600971611006269E-2</v>
      </c>
      <c r="AI583" s="52">
        <v>8.7730522539775438E-2</v>
      </c>
      <c r="AJ583" s="52"/>
      <c r="AK583" s="28">
        <v>1.9375</v>
      </c>
      <c r="AL583" s="28">
        <v>2.5</v>
      </c>
      <c r="AM583" s="28">
        <v>0.5625</v>
      </c>
      <c r="AN583" s="28">
        <v>2.625</v>
      </c>
      <c r="AO583" s="28">
        <v>0.25409836065573771</v>
      </c>
      <c r="AP583" s="28">
        <v>0.32786885245901642</v>
      </c>
      <c r="AQ583" s="28">
        <v>7.3770491803278687E-2</v>
      </c>
      <c r="AR583" s="28">
        <v>0.34426229508196721</v>
      </c>
      <c r="AS583" s="25">
        <v>0.79</v>
      </c>
      <c r="AT583" s="25">
        <v>3.44</v>
      </c>
      <c r="AU583" s="25">
        <v>2.65</v>
      </c>
      <c r="AV583" s="25">
        <v>2.6056249999999999</v>
      </c>
      <c r="AW583">
        <v>2.6056249999999999</v>
      </c>
      <c r="AX583">
        <v>5.9703320286696879</v>
      </c>
      <c r="AY583" s="75">
        <v>0.52453741991489755</v>
      </c>
      <c r="AZ583" s="75">
        <v>0.55711138795694093</v>
      </c>
      <c r="BA583" s="75"/>
      <c r="BC583">
        <v>4.1300485805503127E-2</v>
      </c>
      <c r="BD583">
        <v>4.3865261269887712E-2</v>
      </c>
      <c r="BF583">
        <v>8.5165747075390846E-2</v>
      </c>
      <c r="BG583">
        <v>4.2582873537695423E-2</v>
      </c>
      <c r="BH583">
        <v>0.54082440393591924</v>
      </c>
      <c r="BI583" s="79" t="s">
        <v>1264</v>
      </c>
      <c r="BJ583" s="79">
        <f>1273</f>
        <v>1273</v>
      </c>
      <c r="BK583" s="79">
        <v>10</v>
      </c>
      <c r="BL583" s="79" t="s">
        <v>1308</v>
      </c>
      <c r="BM583" s="79" t="s">
        <v>1268</v>
      </c>
      <c r="BN583" s="79" t="s">
        <v>890</v>
      </c>
      <c r="BO583" s="79">
        <v>0.45</v>
      </c>
      <c r="BP583" s="81">
        <v>112</v>
      </c>
      <c r="BQ583" s="79">
        <v>1</v>
      </c>
      <c r="BR583" s="79">
        <v>20</v>
      </c>
      <c r="BS583" s="79" t="s">
        <v>464</v>
      </c>
      <c r="BT583" s="79" t="s">
        <v>464</v>
      </c>
      <c r="BU583" s="79" t="s">
        <v>1271</v>
      </c>
      <c r="BV583" s="79">
        <v>500</v>
      </c>
      <c r="BX583" s="79" t="s">
        <v>1287</v>
      </c>
      <c r="BZ583" s="81">
        <f>165*5</f>
        <v>825</v>
      </c>
      <c r="CA583">
        <f t="shared" si="149"/>
        <v>6.7153833863346808</v>
      </c>
    </row>
    <row r="584" spans="1:79" x14ac:dyDescent="0.3">
      <c r="A584" s="2" t="s">
        <v>1423</v>
      </c>
      <c r="B584" s="17"/>
      <c r="C584" s="13"/>
      <c r="D584" s="2">
        <v>2.17</v>
      </c>
      <c r="E584" s="2" t="s">
        <v>258</v>
      </c>
      <c r="F584" s="9" t="s">
        <v>587</v>
      </c>
      <c r="G584" t="s">
        <v>636</v>
      </c>
      <c r="I584" s="2"/>
      <c r="J584" s="25">
        <v>1</v>
      </c>
      <c r="K584">
        <v>1</v>
      </c>
      <c r="L584">
        <v>0</v>
      </c>
      <c r="M584" s="2"/>
      <c r="N584" s="2"/>
      <c r="O584" s="2"/>
      <c r="P584" s="2"/>
      <c r="Q584" s="2"/>
      <c r="R584" s="25">
        <v>3.950634</v>
      </c>
      <c r="S584" s="25">
        <v>3.950634</v>
      </c>
      <c r="T584" s="25">
        <v>15.513552000000001</v>
      </c>
      <c r="U584">
        <v>3.8658999999999999</v>
      </c>
      <c r="V584">
        <v>3.8658999999999999</v>
      </c>
      <c r="W584">
        <v>15.2538</v>
      </c>
      <c r="X584">
        <v>0</v>
      </c>
      <c r="AA584" s="2"/>
      <c r="AB584">
        <v>20</v>
      </c>
      <c r="AC584" s="55">
        <f t="shared" si="151"/>
        <v>0</v>
      </c>
      <c r="AD584" s="57">
        <v>242.1279024923125</v>
      </c>
      <c r="AE584" s="55">
        <v>227.970829547178</v>
      </c>
      <c r="AF584" s="55">
        <v>0</v>
      </c>
      <c r="AG584" s="52"/>
      <c r="AH584" s="51">
        <v>8.2600971611006269E-2</v>
      </c>
      <c r="AI584" s="52">
        <v>8.7730522539775438E-2</v>
      </c>
      <c r="AJ584" s="52"/>
      <c r="AK584" s="28">
        <v>1.9375</v>
      </c>
      <c r="AL584" s="28">
        <v>2.5</v>
      </c>
      <c r="AM584" s="28">
        <v>0.5625</v>
      </c>
      <c r="AN584" s="28">
        <v>2.625</v>
      </c>
      <c r="AO584" s="28">
        <v>0.25409836065573771</v>
      </c>
      <c r="AP584" s="28">
        <v>0.32786885245901642</v>
      </c>
      <c r="AQ584" s="28">
        <v>7.3770491803278687E-2</v>
      </c>
      <c r="AR584" s="28">
        <v>0.34426229508196721</v>
      </c>
      <c r="AS584" s="25">
        <v>0.79</v>
      </c>
      <c r="AT584" s="25">
        <v>3.44</v>
      </c>
      <c r="AU584" s="25">
        <v>2.65</v>
      </c>
      <c r="AV584" s="25">
        <v>2.6056249999999999</v>
      </c>
      <c r="AW584">
        <v>2.6056249999999999</v>
      </c>
      <c r="AX584">
        <v>5.9703320286696879</v>
      </c>
      <c r="AY584" s="75">
        <v>0.52453741991489755</v>
      </c>
      <c r="AZ584" s="75">
        <v>0.55711138795694093</v>
      </c>
      <c r="BA584" s="75"/>
      <c r="BC584">
        <v>4.1300485805503127E-2</v>
      </c>
      <c r="BD584">
        <v>4.3865261269887712E-2</v>
      </c>
      <c r="BF584">
        <v>8.5165747075390846E-2</v>
      </c>
      <c r="BG584">
        <v>4.2582873537695423E-2</v>
      </c>
      <c r="BH584">
        <v>0.54082440393591924</v>
      </c>
      <c r="BI584" s="79" t="s">
        <v>1264</v>
      </c>
      <c r="BJ584" s="79">
        <f>1273</f>
        <v>1273</v>
      </c>
      <c r="BK584" s="79">
        <v>10</v>
      </c>
      <c r="BL584" s="79" t="s">
        <v>1308</v>
      </c>
      <c r="BM584" s="79" t="s">
        <v>1268</v>
      </c>
      <c r="BN584" s="79" t="s">
        <v>890</v>
      </c>
      <c r="BO584" s="79">
        <v>0.15</v>
      </c>
      <c r="BP584" s="81">
        <v>112</v>
      </c>
      <c r="BQ584" s="79">
        <v>1</v>
      </c>
      <c r="BR584" s="79">
        <v>20</v>
      </c>
      <c r="BS584" s="79" t="s">
        <v>464</v>
      </c>
      <c r="BT584" s="79" t="s">
        <v>464</v>
      </c>
      <c r="BU584" s="79" t="s">
        <v>1271</v>
      </c>
      <c r="BV584" s="79">
        <v>500</v>
      </c>
      <c r="BW584" s="79">
        <v>420</v>
      </c>
      <c r="BX584" s="79" t="s">
        <v>1287</v>
      </c>
      <c r="BZ584" s="81">
        <f>0.47*5</f>
        <v>2.3499999999999996</v>
      </c>
      <c r="CA584">
        <f t="shared" si="149"/>
        <v>0.85441532815606747</v>
      </c>
    </row>
    <row r="585" spans="1:79" x14ac:dyDescent="0.3">
      <c r="A585" s="2" t="s">
        <v>259</v>
      </c>
      <c r="B585" s="17"/>
      <c r="C585" s="13"/>
      <c r="D585" s="2">
        <v>2.17</v>
      </c>
      <c r="E585" s="2" t="s">
        <v>258</v>
      </c>
      <c r="F585" s="9" t="s">
        <v>587</v>
      </c>
      <c r="G585" t="s">
        <v>636</v>
      </c>
      <c r="I585" s="2"/>
      <c r="J585" s="25">
        <v>1</v>
      </c>
      <c r="K585">
        <v>1</v>
      </c>
      <c r="L585">
        <v>0</v>
      </c>
      <c r="M585" s="2"/>
      <c r="N585" s="2"/>
      <c r="O585" s="2"/>
      <c r="P585" s="2"/>
      <c r="Q585" s="2"/>
      <c r="R585" s="25">
        <v>3.950634</v>
      </c>
      <c r="S585" s="25">
        <v>3.950634</v>
      </c>
      <c r="T585" s="25">
        <v>15.513552000000001</v>
      </c>
      <c r="U585">
        <v>3.8658999999999999</v>
      </c>
      <c r="V585">
        <v>3.8658999999999999</v>
      </c>
      <c r="W585">
        <v>15.2538</v>
      </c>
      <c r="X585">
        <v>0</v>
      </c>
      <c r="AA585" s="2"/>
      <c r="AB585">
        <v>20</v>
      </c>
      <c r="AC585" s="55">
        <f t="shared" si="151"/>
        <v>0</v>
      </c>
      <c r="AD585" s="57">
        <v>242.1279024923125</v>
      </c>
      <c r="AE585" s="55">
        <v>227.970829547178</v>
      </c>
      <c r="AF585" s="55">
        <v>0</v>
      </c>
      <c r="AG585" s="52"/>
      <c r="AH585" s="51">
        <v>8.2600971611006269E-2</v>
      </c>
      <c r="AI585" s="52">
        <v>8.7730522539775438E-2</v>
      </c>
      <c r="AJ585" s="52"/>
      <c r="AK585" s="28">
        <v>1.9375</v>
      </c>
      <c r="AL585" s="28">
        <v>2.5</v>
      </c>
      <c r="AM585" s="28">
        <v>0.5625</v>
      </c>
      <c r="AN585" s="28">
        <v>2.625</v>
      </c>
      <c r="AO585" s="28">
        <v>0.25409836065573771</v>
      </c>
      <c r="AP585" s="28">
        <v>0.32786885245901642</v>
      </c>
      <c r="AQ585" s="28">
        <v>7.3770491803278687E-2</v>
      </c>
      <c r="AR585" s="28">
        <v>0.34426229508196721</v>
      </c>
      <c r="AS585" s="25">
        <v>0.79</v>
      </c>
      <c r="AT585" s="25">
        <v>3.44</v>
      </c>
      <c r="AU585" s="25">
        <v>2.65</v>
      </c>
      <c r="AV585" s="25">
        <v>2.6056249999999999</v>
      </c>
      <c r="AW585">
        <v>2.6056249999999999</v>
      </c>
      <c r="AX585">
        <v>5.9703320286696879</v>
      </c>
      <c r="AY585" s="75">
        <v>0.52453741991489755</v>
      </c>
      <c r="AZ585" s="75">
        <v>0.55711138795694093</v>
      </c>
      <c r="BA585" s="75"/>
      <c r="BC585">
        <v>4.1300485805503127E-2</v>
      </c>
      <c r="BD585">
        <v>4.3865261269887712E-2</v>
      </c>
      <c r="BF585">
        <v>8.5165747075390846E-2</v>
      </c>
      <c r="BG585">
        <v>4.2582873537695423E-2</v>
      </c>
      <c r="BH585">
        <v>0.54082440393591924</v>
      </c>
      <c r="BI585" s="79" t="s">
        <v>1264</v>
      </c>
      <c r="BJ585" s="79">
        <f>1273</f>
        <v>1273</v>
      </c>
      <c r="BK585" s="79">
        <v>10</v>
      </c>
      <c r="BL585" s="79" t="s">
        <v>1308</v>
      </c>
      <c r="BM585" s="79" t="s">
        <v>1268</v>
      </c>
      <c r="BN585" s="79" t="s">
        <v>890</v>
      </c>
      <c r="BO585" s="79">
        <v>0.15</v>
      </c>
      <c r="BP585" s="81"/>
      <c r="BQ585" s="79">
        <v>1</v>
      </c>
      <c r="BR585" s="79">
        <v>20</v>
      </c>
      <c r="BS585" s="79" t="s">
        <v>464</v>
      </c>
      <c r="BT585" s="79" t="s">
        <v>464</v>
      </c>
      <c r="BU585" s="79" t="s">
        <v>1271</v>
      </c>
      <c r="BV585" s="79">
        <v>500</v>
      </c>
      <c r="BX585" s="79" t="s">
        <v>1287</v>
      </c>
      <c r="BZ585" s="81">
        <v>210</v>
      </c>
      <c r="CA585">
        <f t="shared" si="149"/>
        <v>5.3471075307174685</v>
      </c>
    </row>
    <row r="586" spans="1:79" x14ac:dyDescent="0.3">
      <c r="A586" s="2" t="s">
        <v>1423</v>
      </c>
      <c r="B586" s="17"/>
      <c r="C586" s="13"/>
      <c r="D586" s="2">
        <v>2.17</v>
      </c>
      <c r="E586" s="2" t="s">
        <v>258</v>
      </c>
      <c r="F586" s="9" t="s">
        <v>587</v>
      </c>
      <c r="G586" t="s">
        <v>636</v>
      </c>
      <c r="I586" s="2"/>
      <c r="J586" s="25">
        <v>1</v>
      </c>
      <c r="K586">
        <v>1</v>
      </c>
      <c r="L586">
        <v>0</v>
      </c>
      <c r="M586" s="2"/>
      <c r="N586" s="2"/>
      <c r="O586" s="2"/>
      <c r="P586" s="2"/>
      <c r="Q586" s="2"/>
      <c r="R586" s="25">
        <v>3.950634</v>
      </c>
      <c r="S586" s="25">
        <v>3.950634</v>
      </c>
      <c r="T586" s="25">
        <v>15.513552000000001</v>
      </c>
      <c r="U586">
        <v>3.8658999999999999</v>
      </c>
      <c r="V586">
        <v>3.8658999999999999</v>
      </c>
      <c r="W586">
        <v>15.2538</v>
      </c>
      <c r="X586">
        <v>0</v>
      </c>
      <c r="AA586" s="2"/>
      <c r="AB586">
        <v>20</v>
      </c>
      <c r="AC586" s="55">
        <f t="shared" si="151"/>
        <v>0</v>
      </c>
      <c r="AD586" s="57">
        <v>242.1279024923125</v>
      </c>
      <c r="AE586" s="55">
        <v>227.970829547178</v>
      </c>
      <c r="AF586" s="55">
        <v>0</v>
      </c>
      <c r="AG586" s="52"/>
      <c r="AH586" s="51">
        <v>8.2600971611006269E-2</v>
      </c>
      <c r="AI586" s="52">
        <v>8.7730522539775438E-2</v>
      </c>
      <c r="AJ586" s="52"/>
      <c r="AK586" s="28">
        <v>1.9375</v>
      </c>
      <c r="AL586" s="28">
        <v>2.5</v>
      </c>
      <c r="AM586" s="28">
        <v>0.5625</v>
      </c>
      <c r="AN586" s="28">
        <v>2.625</v>
      </c>
      <c r="AO586" s="28">
        <v>0.25409836065573771</v>
      </c>
      <c r="AP586" s="28">
        <v>0.32786885245901642</v>
      </c>
      <c r="AQ586" s="28">
        <v>7.3770491803278687E-2</v>
      </c>
      <c r="AR586" s="28">
        <v>0.34426229508196721</v>
      </c>
      <c r="AS586" s="25">
        <v>0.79</v>
      </c>
      <c r="AT586" s="25">
        <v>3.44</v>
      </c>
      <c r="AU586" s="25">
        <v>2.65</v>
      </c>
      <c r="AV586" s="25">
        <v>2.6056249999999999</v>
      </c>
      <c r="AW586">
        <v>2.6056249999999999</v>
      </c>
      <c r="AX586">
        <v>5.9703320286696879</v>
      </c>
      <c r="AY586" s="75">
        <v>0.52453741991489755</v>
      </c>
      <c r="AZ586" s="75">
        <v>0.55711138795694093</v>
      </c>
      <c r="BA586" s="75"/>
      <c r="BC586">
        <v>4.1300485805503127E-2</v>
      </c>
      <c r="BD586">
        <v>4.3865261269887712E-2</v>
      </c>
      <c r="BF586">
        <v>8.5165747075390846E-2</v>
      </c>
      <c r="BG586">
        <v>4.2582873537695423E-2</v>
      </c>
      <c r="BH586">
        <v>0.54082440393591924</v>
      </c>
      <c r="BI586" s="79" t="s">
        <v>1264</v>
      </c>
      <c r="BJ586" s="79">
        <f>1273</f>
        <v>1273</v>
      </c>
      <c r="BK586" s="79">
        <v>10</v>
      </c>
      <c r="BL586" s="79" t="s">
        <v>1308</v>
      </c>
      <c r="BM586" s="79" t="s">
        <v>1268</v>
      </c>
      <c r="BN586" s="79" t="s">
        <v>890</v>
      </c>
      <c r="BO586" s="79">
        <v>0.15</v>
      </c>
      <c r="BP586" s="81"/>
      <c r="BQ586" s="79">
        <v>1</v>
      </c>
      <c r="BR586" s="79">
        <v>20</v>
      </c>
      <c r="BS586" s="79" t="s">
        <v>464</v>
      </c>
      <c r="BT586" s="79" t="s">
        <v>464</v>
      </c>
      <c r="BU586" s="79" t="s">
        <v>1271</v>
      </c>
      <c r="BV586" s="79">
        <v>500</v>
      </c>
      <c r="BX586" s="79" t="s">
        <v>1287</v>
      </c>
      <c r="BZ586" s="81">
        <v>1880</v>
      </c>
      <c r="CA586">
        <f t="shared" si="149"/>
        <v>7.5390270558239951</v>
      </c>
    </row>
    <row r="587" spans="1:79" x14ac:dyDescent="0.3">
      <c r="A587" s="2" t="s">
        <v>1423</v>
      </c>
      <c r="B587" s="17"/>
      <c r="C587" s="13"/>
      <c r="D587" s="2">
        <v>2.17</v>
      </c>
      <c r="E587" s="2" t="s">
        <v>258</v>
      </c>
      <c r="F587" s="9" t="s">
        <v>587</v>
      </c>
      <c r="G587" t="s">
        <v>636</v>
      </c>
      <c r="I587" s="2"/>
      <c r="J587" s="25">
        <v>1</v>
      </c>
      <c r="K587">
        <v>1</v>
      </c>
      <c r="L587">
        <v>0</v>
      </c>
      <c r="M587" s="2"/>
      <c r="N587" s="2"/>
      <c r="O587" s="2"/>
      <c r="P587" s="2"/>
      <c r="Q587" s="2"/>
      <c r="R587" s="25">
        <v>3.950634</v>
      </c>
      <c r="S587" s="25">
        <v>3.950634</v>
      </c>
      <c r="T587" s="25">
        <v>15.513552000000001</v>
      </c>
      <c r="U587">
        <v>3.8658999999999999</v>
      </c>
      <c r="V587">
        <v>3.8658999999999999</v>
      </c>
      <c r="W587">
        <v>15.2538</v>
      </c>
      <c r="X587">
        <v>0</v>
      </c>
      <c r="AA587" s="2"/>
      <c r="AB587">
        <v>20</v>
      </c>
      <c r="AC587" s="55">
        <f t="shared" ref="AC587:AC589" si="152">M587*N587*O587</f>
        <v>0</v>
      </c>
      <c r="AD587" s="57">
        <v>242.1279024923125</v>
      </c>
      <c r="AE587" s="55">
        <v>227.970829547178</v>
      </c>
      <c r="AF587" s="55">
        <v>0</v>
      </c>
      <c r="AG587" s="52"/>
      <c r="AH587" s="51">
        <v>8.2600971611006269E-2</v>
      </c>
      <c r="AI587" s="52">
        <v>8.7730522539775438E-2</v>
      </c>
      <c r="AJ587" s="52"/>
      <c r="AK587" s="28">
        <v>1.9375</v>
      </c>
      <c r="AL587" s="28">
        <v>2.5</v>
      </c>
      <c r="AM587" s="28">
        <v>0.5625</v>
      </c>
      <c r="AN587" s="28">
        <v>2.625</v>
      </c>
      <c r="AO587" s="28">
        <v>0.25409836065573771</v>
      </c>
      <c r="AP587" s="28">
        <v>0.32786885245901642</v>
      </c>
      <c r="AQ587" s="28">
        <v>7.3770491803278687E-2</v>
      </c>
      <c r="AR587" s="28">
        <v>0.34426229508196721</v>
      </c>
      <c r="AS587" s="25">
        <v>0.79</v>
      </c>
      <c r="AT587" s="25">
        <v>3.44</v>
      </c>
      <c r="AU587" s="25">
        <v>2.65</v>
      </c>
      <c r="AV587" s="25">
        <v>2.6056249999999999</v>
      </c>
      <c r="AW587">
        <v>2.6056249999999999</v>
      </c>
      <c r="AX587">
        <v>5.9703320286696879</v>
      </c>
      <c r="AY587" s="75">
        <v>0.52453741991489755</v>
      </c>
      <c r="AZ587" s="75">
        <v>0.55711138795694093</v>
      </c>
      <c r="BA587" s="75"/>
      <c r="BC587">
        <v>4.1300485805503127E-2</v>
      </c>
      <c r="BD587">
        <v>4.3865261269887712E-2</v>
      </c>
      <c r="BF587">
        <v>8.5165747075390846E-2</v>
      </c>
      <c r="BG587">
        <v>4.2582873537695423E-2</v>
      </c>
      <c r="BH587">
        <v>0.54082440393591924</v>
      </c>
      <c r="BI587" s="79" t="s">
        <v>1264</v>
      </c>
      <c r="BJ587" s="79">
        <f>1273</f>
        <v>1273</v>
      </c>
      <c r="BK587" s="79">
        <v>10</v>
      </c>
      <c r="BL587" s="79" t="s">
        <v>1308</v>
      </c>
      <c r="BM587" s="79" t="s">
        <v>1268</v>
      </c>
      <c r="BN587" s="79" t="s">
        <v>890</v>
      </c>
      <c r="BO587" s="79">
        <v>0.15</v>
      </c>
      <c r="BP587" s="81">
        <v>112</v>
      </c>
      <c r="BQ587" s="79">
        <v>1</v>
      </c>
      <c r="BR587" s="79">
        <v>20</v>
      </c>
      <c r="BS587" s="79" t="s">
        <v>464</v>
      </c>
      <c r="BT587" s="79" t="s">
        <v>464</v>
      </c>
      <c r="BU587" s="79" t="s">
        <v>1271</v>
      </c>
      <c r="BV587" s="79">
        <v>500</v>
      </c>
      <c r="BX587" s="79" t="s">
        <v>1287</v>
      </c>
      <c r="BZ587" s="81">
        <v>15610</v>
      </c>
      <c r="CA587">
        <f t="shared" si="149"/>
        <v>9.6556670135094773</v>
      </c>
    </row>
    <row r="588" spans="1:79" x14ac:dyDescent="0.3">
      <c r="A588" s="2" t="s">
        <v>259</v>
      </c>
      <c r="B588" s="17"/>
      <c r="C588" s="13"/>
      <c r="D588" s="2">
        <v>2.17</v>
      </c>
      <c r="E588" s="2" t="s">
        <v>258</v>
      </c>
      <c r="F588" s="9" t="s">
        <v>587</v>
      </c>
      <c r="G588" t="s">
        <v>636</v>
      </c>
      <c r="I588" s="2"/>
      <c r="J588" s="25">
        <v>1</v>
      </c>
      <c r="K588">
        <v>1</v>
      </c>
      <c r="L588">
        <v>0</v>
      </c>
      <c r="M588" s="2"/>
      <c r="N588" s="2"/>
      <c r="O588" s="2"/>
      <c r="P588" s="2"/>
      <c r="Q588" s="2"/>
      <c r="R588" s="25">
        <v>3.950634</v>
      </c>
      <c r="S588" s="25">
        <v>3.950634</v>
      </c>
      <c r="T588" s="25">
        <v>15.513552000000001</v>
      </c>
      <c r="U588">
        <v>3.8658999999999999</v>
      </c>
      <c r="V588">
        <v>3.8658999999999999</v>
      </c>
      <c r="W588">
        <v>15.2538</v>
      </c>
      <c r="X588">
        <v>0</v>
      </c>
      <c r="AA588" s="2"/>
      <c r="AB588">
        <v>20</v>
      </c>
      <c r="AC588" s="55">
        <f t="shared" si="152"/>
        <v>0</v>
      </c>
      <c r="AD588" s="57">
        <v>242.1279024923125</v>
      </c>
      <c r="AE588" s="55">
        <v>227.970829547178</v>
      </c>
      <c r="AF588" s="55">
        <v>0</v>
      </c>
      <c r="AG588" s="52"/>
      <c r="AH588" s="51">
        <v>8.2600971611006269E-2</v>
      </c>
      <c r="AI588" s="52">
        <v>8.7730522539775438E-2</v>
      </c>
      <c r="AJ588" s="52"/>
      <c r="AK588" s="28">
        <v>1.9375</v>
      </c>
      <c r="AL588" s="28">
        <v>2.5</v>
      </c>
      <c r="AM588" s="28">
        <v>0.5625</v>
      </c>
      <c r="AN588" s="28">
        <v>2.625</v>
      </c>
      <c r="AO588" s="28">
        <v>0.25409836065573771</v>
      </c>
      <c r="AP588" s="28">
        <v>0.32786885245901642</v>
      </c>
      <c r="AQ588" s="28">
        <v>7.3770491803278687E-2</v>
      </c>
      <c r="AR588" s="28">
        <v>0.34426229508196721</v>
      </c>
      <c r="AS588" s="25">
        <v>0.79</v>
      </c>
      <c r="AT588" s="25">
        <v>3.44</v>
      </c>
      <c r="AU588" s="25">
        <v>2.65</v>
      </c>
      <c r="AV588" s="25">
        <v>2.6056249999999999</v>
      </c>
      <c r="AW588">
        <v>2.6056249999999999</v>
      </c>
      <c r="AX588">
        <v>5.9703320286696879</v>
      </c>
      <c r="AY588" s="75">
        <v>0.52453741991489755</v>
      </c>
      <c r="AZ588" s="75">
        <v>0.55711138795694093</v>
      </c>
      <c r="BA588" s="75"/>
      <c r="BC588">
        <v>4.1300485805503127E-2</v>
      </c>
      <c r="BD588">
        <v>4.3865261269887712E-2</v>
      </c>
      <c r="BF588">
        <v>8.5165747075390846E-2</v>
      </c>
      <c r="BG588">
        <v>4.2582873537695423E-2</v>
      </c>
      <c r="BH588">
        <v>0.54082440393591924</v>
      </c>
      <c r="BI588" s="79" t="s">
        <v>1264</v>
      </c>
      <c r="BJ588" s="79">
        <f>1273</f>
        <v>1273</v>
      </c>
      <c r="BK588" s="79">
        <v>10</v>
      </c>
      <c r="BL588" s="79" t="s">
        <v>1308</v>
      </c>
      <c r="BM588" s="79" t="s">
        <v>1268</v>
      </c>
      <c r="BN588" s="79" t="s">
        <v>890</v>
      </c>
      <c r="BO588" s="79">
        <v>0.15</v>
      </c>
      <c r="BP588" s="81"/>
      <c r="BQ588" s="79">
        <v>1</v>
      </c>
      <c r="BR588" s="79">
        <v>20</v>
      </c>
      <c r="BS588" s="79" t="s">
        <v>464</v>
      </c>
      <c r="BT588" s="79" t="s">
        <v>464</v>
      </c>
      <c r="BU588" s="79" t="s">
        <v>1271</v>
      </c>
      <c r="BV588" s="79">
        <v>500</v>
      </c>
      <c r="BW588" s="79">
        <v>400</v>
      </c>
      <c r="BX588" s="79" t="s">
        <v>1287</v>
      </c>
      <c r="BZ588" s="81">
        <v>0.3</v>
      </c>
      <c r="CA588">
        <f t="shared" si="149"/>
        <v>-1.2039728043259361</v>
      </c>
    </row>
    <row r="589" spans="1:79" x14ac:dyDescent="0.3">
      <c r="A589" s="2" t="s">
        <v>1423</v>
      </c>
      <c r="B589" s="17"/>
      <c r="C589" s="13"/>
      <c r="D589" s="2">
        <v>2.17</v>
      </c>
      <c r="E589" s="2" t="s">
        <v>258</v>
      </c>
      <c r="F589" s="9" t="s">
        <v>587</v>
      </c>
      <c r="G589" t="s">
        <v>636</v>
      </c>
      <c r="I589" s="2"/>
      <c r="J589" s="25">
        <v>1</v>
      </c>
      <c r="K589">
        <v>1</v>
      </c>
      <c r="L589">
        <v>0</v>
      </c>
      <c r="M589" s="2"/>
      <c r="N589" s="2"/>
      <c r="O589" s="2"/>
      <c r="P589" s="2"/>
      <c r="Q589" s="2"/>
      <c r="R589" s="25">
        <v>3.950634</v>
      </c>
      <c r="S589" s="25">
        <v>3.950634</v>
      </c>
      <c r="T589" s="25">
        <v>15.513552000000001</v>
      </c>
      <c r="U589">
        <v>3.8658999999999999</v>
      </c>
      <c r="V589">
        <v>3.8658999999999999</v>
      </c>
      <c r="W589">
        <v>15.2538</v>
      </c>
      <c r="X589">
        <v>0</v>
      </c>
      <c r="AA589" s="2"/>
      <c r="AB589">
        <v>20</v>
      </c>
      <c r="AC589" s="55">
        <f t="shared" si="152"/>
        <v>0</v>
      </c>
      <c r="AD589" s="57">
        <v>242.1279024923125</v>
      </c>
      <c r="AE589" s="55">
        <v>227.970829547178</v>
      </c>
      <c r="AF589" s="55">
        <v>0</v>
      </c>
      <c r="AG589" s="52"/>
      <c r="AH589" s="51">
        <v>8.2600971611006269E-2</v>
      </c>
      <c r="AI589" s="52">
        <v>8.7730522539775438E-2</v>
      </c>
      <c r="AJ589" s="52"/>
      <c r="AK589" s="28">
        <v>1.9375</v>
      </c>
      <c r="AL589" s="28">
        <v>2.5</v>
      </c>
      <c r="AM589" s="28">
        <v>0.5625</v>
      </c>
      <c r="AN589" s="28">
        <v>2.625</v>
      </c>
      <c r="AO589" s="28">
        <v>0.25409836065573771</v>
      </c>
      <c r="AP589" s="28">
        <v>0.32786885245901642</v>
      </c>
      <c r="AQ589" s="28">
        <v>7.3770491803278687E-2</v>
      </c>
      <c r="AR589" s="28">
        <v>0.34426229508196721</v>
      </c>
      <c r="AS589" s="25">
        <v>0.79</v>
      </c>
      <c r="AT589" s="25">
        <v>3.44</v>
      </c>
      <c r="AU589" s="25">
        <v>2.65</v>
      </c>
      <c r="AV589" s="25">
        <v>2.6056249999999999</v>
      </c>
      <c r="AW589">
        <v>2.6056249999999999</v>
      </c>
      <c r="AX589">
        <v>5.9703320286696879</v>
      </c>
      <c r="AY589" s="75">
        <v>0.52453741991489755</v>
      </c>
      <c r="AZ589" s="75">
        <v>0.55711138795694093</v>
      </c>
      <c r="BA589" s="75"/>
      <c r="BC589">
        <v>4.1300485805503127E-2</v>
      </c>
      <c r="BD589">
        <v>4.3865261269887712E-2</v>
      </c>
      <c r="BF589">
        <v>8.5165747075390846E-2</v>
      </c>
      <c r="BG589">
        <v>4.2582873537695423E-2</v>
      </c>
      <c r="BH589">
        <v>0.54082440393591924</v>
      </c>
      <c r="BI589" s="79" t="s">
        <v>1264</v>
      </c>
      <c r="BJ589" s="79">
        <f>1273</f>
        <v>1273</v>
      </c>
      <c r="BK589" s="79">
        <v>10</v>
      </c>
      <c r="BL589" s="79" t="s">
        <v>1308</v>
      </c>
      <c r="BM589" s="79" t="s">
        <v>1268</v>
      </c>
      <c r="BN589" s="79" t="s">
        <v>890</v>
      </c>
      <c r="BO589" s="79">
        <v>0.15</v>
      </c>
      <c r="BP589" s="81"/>
      <c r="BQ589" s="79">
        <v>1</v>
      </c>
      <c r="BR589" s="79">
        <v>20</v>
      </c>
      <c r="BS589" s="79" t="s">
        <v>464</v>
      </c>
      <c r="BT589" s="79" t="s">
        <v>464</v>
      </c>
      <c r="BU589" s="79" t="s">
        <v>1271</v>
      </c>
      <c r="BV589" s="79">
        <v>500</v>
      </c>
      <c r="BW589" s="79">
        <v>400</v>
      </c>
      <c r="BX589" s="79" t="s">
        <v>1287</v>
      </c>
      <c r="BZ589" s="81">
        <v>2</v>
      </c>
      <c r="CA589">
        <f t="shared" si="149"/>
        <v>0.69314718055994529</v>
      </c>
    </row>
    <row r="590" spans="1:79" x14ac:dyDescent="0.3">
      <c r="A590" s="2" t="s">
        <v>1423</v>
      </c>
      <c r="B590" s="17"/>
      <c r="C590" s="13"/>
      <c r="D590" s="2">
        <v>2.17</v>
      </c>
      <c r="E590" s="2" t="s">
        <v>258</v>
      </c>
      <c r="F590" s="9" t="s">
        <v>587</v>
      </c>
      <c r="G590" t="s">
        <v>636</v>
      </c>
      <c r="I590" s="2"/>
      <c r="J590" s="25">
        <v>1</v>
      </c>
      <c r="K590">
        <v>1</v>
      </c>
      <c r="L590">
        <v>0</v>
      </c>
      <c r="M590" s="2"/>
      <c r="N590" s="2"/>
      <c r="O590" s="2"/>
      <c r="P590" s="2"/>
      <c r="Q590" s="2"/>
      <c r="R590" s="25">
        <v>3.950634</v>
      </c>
      <c r="S590" s="25">
        <v>3.950634</v>
      </c>
      <c r="T590" s="25">
        <v>15.513552000000001</v>
      </c>
      <c r="U590">
        <v>3.8658999999999999</v>
      </c>
      <c r="V590">
        <v>3.8658999999999999</v>
      </c>
      <c r="W590">
        <v>15.2538</v>
      </c>
      <c r="X590">
        <v>0</v>
      </c>
      <c r="AA590" s="2"/>
      <c r="AB590">
        <v>20</v>
      </c>
      <c r="AC590" s="55">
        <f t="shared" ref="AC590" si="153">M590*N590*O590</f>
        <v>0</v>
      </c>
      <c r="AD590" s="57">
        <v>242.1279024923125</v>
      </c>
      <c r="AE590" s="55">
        <v>227.970829547178</v>
      </c>
      <c r="AF590" s="55">
        <v>0</v>
      </c>
      <c r="AG590" s="52"/>
      <c r="AH590" s="51">
        <v>8.2600971611006269E-2</v>
      </c>
      <c r="AI590" s="52">
        <v>8.7730522539775438E-2</v>
      </c>
      <c r="AJ590" s="52"/>
      <c r="AK590" s="28">
        <v>1.9375</v>
      </c>
      <c r="AL590" s="28">
        <v>2.5</v>
      </c>
      <c r="AM590" s="28">
        <v>0.5625</v>
      </c>
      <c r="AN590" s="28">
        <v>2.625</v>
      </c>
      <c r="AO590" s="28">
        <v>0.25409836065573771</v>
      </c>
      <c r="AP590" s="28">
        <v>0.32786885245901642</v>
      </c>
      <c r="AQ590" s="28">
        <v>7.3770491803278687E-2</v>
      </c>
      <c r="AR590" s="28">
        <v>0.34426229508196721</v>
      </c>
      <c r="AS590" s="25">
        <v>0.79</v>
      </c>
      <c r="AT590" s="25">
        <v>3.44</v>
      </c>
      <c r="AU590" s="25">
        <v>2.65</v>
      </c>
      <c r="AV590" s="25">
        <v>2.6056249999999999</v>
      </c>
      <c r="AW590">
        <v>2.6056249999999999</v>
      </c>
      <c r="AX590">
        <v>5.9703320286696879</v>
      </c>
      <c r="AY590" s="75">
        <v>0.52453741991489755</v>
      </c>
      <c r="AZ590" s="75">
        <v>0.55711138795694093</v>
      </c>
      <c r="BA590" s="75"/>
      <c r="BC590">
        <v>4.1300485805503127E-2</v>
      </c>
      <c r="BD590">
        <v>4.3865261269887712E-2</v>
      </c>
      <c r="BF590">
        <v>8.5165747075390846E-2</v>
      </c>
      <c r="BG590">
        <v>4.2582873537695423E-2</v>
      </c>
      <c r="BH590">
        <v>0.54082440393591924</v>
      </c>
      <c r="BI590" s="79" t="s">
        <v>1264</v>
      </c>
      <c r="BJ590" s="79">
        <f>1273</f>
        <v>1273</v>
      </c>
      <c r="BK590" s="79">
        <v>10</v>
      </c>
      <c r="BL590" s="79" t="s">
        <v>1308</v>
      </c>
      <c r="BM590" s="79" t="s">
        <v>1268</v>
      </c>
      <c r="BN590" s="79" t="s">
        <v>890</v>
      </c>
      <c r="BO590" s="79">
        <v>0.15</v>
      </c>
      <c r="BP590" s="81">
        <v>112</v>
      </c>
      <c r="BQ590" s="79">
        <v>1</v>
      </c>
      <c r="BR590" s="79">
        <v>20</v>
      </c>
      <c r="BS590" s="79" t="s">
        <v>464</v>
      </c>
      <c r="BT590" s="79" t="s">
        <v>464</v>
      </c>
      <c r="BU590" s="79" t="s">
        <v>1271</v>
      </c>
      <c r="BV590" s="79">
        <v>500</v>
      </c>
      <c r="BW590" s="79">
        <v>400</v>
      </c>
      <c r="BX590" s="79" t="s">
        <v>1287</v>
      </c>
      <c r="BZ590" s="81">
        <v>10</v>
      </c>
      <c r="CA590">
        <f t="shared" si="149"/>
        <v>2.3025850929940459</v>
      </c>
    </row>
    <row r="591" spans="1:79" x14ac:dyDescent="0.3">
      <c r="A591" s="2" t="s">
        <v>4</v>
      </c>
      <c r="B591" s="13" t="s">
        <v>689</v>
      </c>
      <c r="C591" s="13"/>
      <c r="D591" s="2">
        <v>3.35</v>
      </c>
      <c r="E591" s="2" t="s">
        <v>260</v>
      </c>
      <c r="F591" s="9" t="s">
        <v>527</v>
      </c>
      <c r="G591" t="s">
        <v>609</v>
      </c>
      <c r="I591" s="2"/>
      <c r="J591" s="25">
        <v>4</v>
      </c>
      <c r="K591">
        <v>4</v>
      </c>
      <c r="L591">
        <v>0</v>
      </c>
      <c r="M591" s="2"/>
      <c r="N591" s="2"/>
      <c r="O591" s="2"/>
      <c r="P591" s="2"/>
      <c r="Q591" s="2"/>
      <c r="R591" s="25">
        <v>7.8084429999999996</v>
      </c>
      <c r="S591" s="25">
        <v>7.8548809999999998</v>
      </c>
      <c r="T591" s="25">
        <v>15.19056011</v>
      </c>
      <c r="U591">
        <v>3.8801999999999999</v>
      </c>
      <c r="V591">
        <v>29.507999999999999</v>
      </c>
      <c r="W591">
        <v>7.7140000000000004</v>
      </c>
      <c r="X591">
        <v>0</v>
      </c>
      <c r="AA591" s="2"/>
      <c r="AB591">
        <v>20</v>
      </c>
      <c r="AC591" s="55">
        <f t="shared" si="141"/>
        <v>0</v>
      </c>
      <c r="AD591" s="57">
        <v>924.74694800021894</v>
      </c>
      <c r="AE591" s="55">
        <v>883.22940750240002</v>
      </c>
      <c r="AF591" s="55">
        <v>0</v>
      </c>
      <c r="AG591" s="52"/>
      <c r="AH591" s="51">
        <v>8.6510153045653584E-2</v>
      </c>
      <c r="AI591" s="52">
        <v>9.0576694254581439E-2</v>
      </c>
      <c r="AJ591" s="52"/>
      <c r="AK591" s="28">
        <v>1.75</v>
      </c>
      <c r="AL591" s="28">
        <v>2.5</v>
      </c>
      <c r="AM591" s="28">
        <v>0.75</v>
      </c>
      <c r="AN591" s="28">
        <v>0</v>
      </c>
      <c r="AO591" s="28">
        <v>0.35</v>
      </c>
      <c r="AP591" s="28">
        <v>0.5</v>
      </c>
      <c r="AQ591" s="28">
        <v>0.15</v>
      </c>
      <c r="AR591" s="28">
        <v>0</v>
      </c>
      <c r="AS591" s="25">
        <v>0.82</v>
      </c>
      <c r="AT591" s="25">
        <v>3.44</v>
      </c>
      <c r="AU591" s="25">
        <v>2.62</v>
      </c>
      <c r="AV591" s="25">
        <v>2.6262500000000002</v>
      </c>
      <c r="AW591">
        <v>2.6262500000000002</v>
      </c>
      <c r="AX591">
        <v>5.96680968125</v>
      </c>
      <c r="AY591" s="75">
        <v>0.50555206026575039</v>
      </c>
      <c r="AZ591" s="75">
        <v>0</v>
      </c>
      <c r="BA591" s="75"/>
      <c r="BC591">
        <v>4.3255076522826792E-2</v>
      </c>
      <c r="BD591">
        <v>4.5288347127290719E-2</v>
      </c>
      <c r="BF591">
        <v>8.8543423650117511E-2</v>
      </c>
      <c r="BG591">
        <v>4.4271711825058763E-2</v>
      </c>
      <c r="BH591">
        <v>0.2527760301328752</v>
      </c>
      <c r="BI591" s="79" t="s">
        <v>1264</v>
      </c>
      <c r="BJ591" s="79">
        <f>1250+273</f>
        <v>1523</v>
      </c>
      <c r="BK591" s="79">
        <v>120</v>
      </c>
      <c r="BM591" s="79" t="s">
        <v>1268</v>
      </c>
      <c r="BN591" s="79" t="s">
        <v>863</v>
      </c>
      <c r="BO591" s="79">
        <v>3</v>
      </c>
      <c r="BP591" s="81">
        <v>208</v>
      </c>
      <c r="BQ591" s="79">
        <v>2</v>
      </c>
      <c r="BR591" s="79">
        <v>0</v>
      </c>
      <c r="BS591" s="79" t="s">
        <v>464</v>
      </c>
      <c r="BT591" s="79" t="s">
        <v>464</v>
      </c>
      <c r="BU591" s="79" t="s">
        <v>1266</v>
      </c>
      <c r="BV591" s="79">
        <v>175</v>
      </c>
      <c r="BX591" s="79" t="s">
        <v>1287</v>
      </c>
      <c r="BZ591" s="81">
        <v>22.8</v>
      </c>
      <c r="CA591">
        <f t="shared" si="149"/>
        <v>3.1267605359603952</v>
      </c>
    </row>
    <row r="592" spans="1:79" x14ac:dyDescent="0.3">
      <c r="A592" s="2" t="s">
        <v>4</v>
      </c>
      <c r="B592" s="13" t="s">
        <v>689</v>
      </c>
      <c r="C592" s="13"/>
      <c r="D592" s="2">
        <v>3.35</v>
      </c>
      <c r="E592" s="2" t="s">
        <v>260</v>
      </c>
      <c r="F592" s="9" t="s">
        <v>527</v>
      </c>
      <c r="G592" t="s">
        <v>609</v>
      </c>
      <c r="I592" s="2"/>
      <c r="J592" s="25">
        <v>4</v>
      </c>
      <c r="K592">
        <v>4</v>
      </c>
      <c r="L592">
        <v>0</v>
      </c>
      <c r="M592" s="2"/>
      <c r="N592" s="2"/>
      <c r="O592" s="2"/>
      <c r="P592" s="2"/>
      <c r="Q592" s="2"/>
      <c r="R592" s="25">
        <v>7.8084429999999996</v>
      </c>
      <c r="S592" s="25">
        <v>7.8548809999999998</v>
      </c>
      <c r="T592" s="25">
        <v>15.19056011</v>
      </c>
      <c r="U592">
        <v>3.8801999999999999</v>
      </c>
      <c r="V592">
        <v>29.507999999999999</v>
      </c>
      <c r="W592">
        <v>7.7140000000000004</v>
      </c>
      <c r="X592">
        <v>0</v>
      </c>
      <c r="AA592" s="2"/>
      <c r="AB592">
        <v>20</v>
      </c>
      <c r="AC592" s="55">
        <f t="shared" ref="AC592" si="154">M592*N592*O592</f>
        <v>0</v>
      </c>
      <c r="AD592" s="57">
        <v>924.74694800021894</v>
      </c>
      <c r="AE592" s="55">
        <v>883.22940750240002</v>
      </c>
      <c r="AF592" s="55">
        <v>0</v>
      </c>
      <c r="AG592" s="52"/>
      <c r="AH592" s="51">
        <v>8.6510153045653584E-2</v>
      </c>
      <c r="AI592" s="52">
        <v>9.0576694254581439E-2</v>
      </c>
      <c r="AJ592" s="52"/>
      <c r="AK592" s="28">
        <v>1.75</v>
      </c>
      <c r="AL592" s="28">
        <v>2.5</v>
      </c>
      <c r="AM592" s="28">
        <v>0.75</v>
      </c>
      <c r="AN592" s="28">
        <v>0</v>
      </c>
      <c r="AO592" s="28">
        <v>0.35</v>
      </c>
      <c r="AP592" s="28">
        <v>0.5</v>
      </c>
      <c r="AQ592" s="28">
        <v>0.15</v>
      </c>
      <c r="AR592" s="28">
        <v>0</v>
      </c>
      <c r="AS592" s="25">
        <v>0.82</v>
      </c>
      <c r="AT592" s="25">
        <v>3.44</v>
      </c>
      <c r="AU592" s="25">
        <v>2.62</v>
      </c>
      <c r="AV592" s="25">
        <v>2.6262500000000002</v>
      </c>
      <c r="AW592">
        <v>2.6262500000000002</v>
      </c>
      <c r="AX592">
        <v>5.96680968125</v>
      </c>
      <c r="AY592" s="75">
        <v>0.50555206026575039</v>
      </c>
      <c r="AZ592" s="75">
        <v>0</v>
      </c>
      <c r="BA592" s="75"/>
      <c r="BC592">
        <v>4.3255076522826792E-2</v>
      </c>
      <c r="BD592">
        <v>4.5288347127290719E-2</v>
      </c>
      <c r="BF592">
        <v>8.8543423650117511E-2</v>
      </c>
      <c r="BG592">
        <v>4.4271711825058763E-2</v>
      </c>
      <c r="BH592">
        <v>0.2527760301328752</v>
      </c>
      <c r="BI592" s="79" t="s">
        <v>1264</v>
      </c>
      <c r="BJ592" s="79">
        <f>1250+273</f>
        <v>1523</v>
      </c>
      <c r="BK592" s="79">
        <v>120</v>
      </c>
      <c r="BM592" s="79" t="s">
        <v>1268</v>
      </c>
      <c r="BN592" s="79" t="s">
        <v>863</v>
      </c>
      <c r="BO592" s="79">
        <v>3</v>
      </c>
      <c r="BP592" s="81">
        <v>208</v>
      </c>
      <c r="BQ592" s="79">
        <v>2</v>
      </c>
      <c r="BR592" s="79">
        <v>0</v>
      </c>
      <c r="BS592" s="79" t="s">
        <v>464</v>
      </c>
      <c r="BT592" s="79" t="s">
        <v>464</v>
      </c>
      <c r="BU592" s="79" t="s">
        <v>1266</v>
      </c>
      <c r="BV592" s="79">
        <v>175</v>
      </c>
      <c r="BX592" s="79" t="s">
        <v>1287</v>
      </c>
      <c r="BZ592" s="81">
        <v>784</v>
      </c>
      <c r="CA592">
        <f t="shared" si="149"/>
        <v>6.6644090203504076</v>
      </c>
    </row>
    <row r="593" spans="1:80" x14ac:dyDescent="0.3">
      <c r="A593" s="2" t="s">
        <v>38</v>
      </c>
      <c r="B593" s="2"/>
      <c r="C593" s="2"/>
      <c r="D593" s="2">
        <v>3.92</v>
      </c>
      <c r="E593" s="2" t="s">
        <v>261</v>
      </c>
      <c r="F593" s="9" t="s">
        <v>545</v>
      </c>
      <c r="G593" t="s">
        <v>626</v>
      </c>
      <c r="I593" s="2"/>
      <c r="J593" s="25">
        <v>1</v>
      </c>
      <c r="K593">
        <v>1</v>
      </c>
      <c r="L593">
        <v>0</v>
      </c>
      <c r="M593" s="2"/>
      <c r="N593" s="2"/>
      <c r="O593" s="2"/>
      <c r="P593" s="2"/>
      <c r="Q593" s="2"/>
      <c r="R593" s="25">
        <v>5.8532381300000003</v>
      </c>
      <c r="S593" s="25">
        <v>5.8532371599999999</v>
      </c>
      <c r="T593" s="25">
        <v>11.912811489999999</v>
      </c>
      <c r="U593">
        <v>5.7946</v>
      </c>
      <c r="V593">
        <v>5.7946</v>
      </c>
      <c r="W593">
        <v>11.787599999999999</v>
      </c>
      <c r="X593">
        <v>0</v>
      </c>
      <c r="AA593" s="2"/>
      <c r="AB593">
        <v>30</v>
      </c>
      <c r="AC593" s="55">
        <f t="shared" si="141"/>
        <v>0</v>
      </c>
      <c r="AD593" s="57">
        <v>353.45760058531442</v>
      </c>
      <c r="AE593" s="55">
        <v>342.77011164986573</v>
      </c>
      <c r="AF593" s="55">
        <v>0</v>
      </c>
      <c r="AG593" s="52"/>
      <c r="AH593" s="51">
        <v>8.487580957467307E-2</v>
      </c>
      <c r="AI593" s="52">
        <v>8.752221672887435E-2</v>
      </c>
      <c r="AJ593" s="52"/>
      <c r="AK593" s="28">
        <v>1.833333333333333</v>
      </c>
      <c r="AL593" s="28">
        <v>2.5</v>
      </c>
      <c r="AM593" s="28">
        <v>0.66666666666666663</v>
      </c>
      <c r="AN593" s="28">
        <v>0</v>
      </c>
      <c r="AO593" s="28">
        <v>0.36666666666666659</v>
      </c>
      <c r="AP593" s="28">
        <v>0.5</v>
      </c>
      <c r="AQ593" s="28">
        <v>0.1333333333333333</v>
      </c>
      <c r="AR593" s="28">
        <v>0</v>
      </c>
      <c r="AS593" s="25">
        <v>0.89</v>
      </c>
      <c r="AT593" s="25">
        <v>3.44</v>
      </c>
      <c r="AU593" s="25">
        <v>2.5499999999999998</v>
      </c>
      <c r="AV593" s="25">
        <v>2.6020833333333329</v>
      </c>
      <c r="AW593">
        <v>2.6020833333333329</v>
      </c>
      <c r="AX593">
        <v>5.9098726145833336</v>
      </c>
      <c r="AY593" s="75">
        <v>0.57410011132036598</v>
      </c>
      <c r="AZ593" s="75">
        <v>0.59200041353179045</v>
      </c>
      <c r="BA593" s="75"/>
      <c r="BC593">
        <v>4.2437904787336528E-2</v>
      </c>
      <c r="BD593">
        <v>4.3761108364437168E-2</v>
      </c>
      <c r="BF593">
        <v>8.619901315177371E-2</v>
      </c>
      <c r="BG593">
        <v>4.3099506575886848E-2</v>
      </c>
      <c r="BH593">
        <v>0.58305026242607827</v>
      </c>
      <c r="BI593" s="79" t="s">
        <v>1414</v>
      </c>
      <c r="BJ593" s="79">
        <v>473</v>
      </c>
      <c r="BK593" s="79">
        <v>12</v>
      </c>
      <c r="BM593" s="79" t="s">
        <v>464</v>
      </c>
      <c r="BN593" s="79" t="s">
        <v>464</v>
      </c>
      <c r="BO593" s="79">
        <v>0</v>
      </c>
      <c r="BP593" s="79">
        <v>1.6</v>
      </c>
      <c r="BQ593" s="79">
        <v>0.83</v>
      </c>
      <c r="BR593" s="79">
        <v>0</v>
      </c>
      <c r="BS593" s="79" t="s">
        <v>464</v>
      </c>
      <c r="BT593" s="79" t="s">
        <v>464</v>
      </c>
      <c r="BU593" s="79" t="s">
        <v>1266</v>
      </c>
      <c r="BV593" s="79">
        <v>450</v>
      </c>
      <c r="BX593" s="79" t="s">
        <v>1287</v>
      </c>
      <c r="BY593" s="79">
        <v>298</v>
      </c>
      <c r="BZ593" s="81">
        <v>15</v>
      </c>
      <c r="CA593">
        <f t="shared" si="149"/>
        <v>2.7080502011022101</v>
      </c>
    </row>
    <row r="594" spans="1:80" x14ac:dyDescent="0.3">
      <c r="A594" s="2" t="s">
        <v>38</v>
      </c>
      <c r="B594" s="2"/>
      <c r="C594" s="2"/>
      <c r="D594" s="2">
        <v>3.84</v>
      </c>
      <c r="E594" s="2" t="s">
        <v>261</v>
      </c>
      <c r="F594" s="9" t="s">
        <v>545</v>
      </c>
      <c r="G594" t="s">
        <v>626</v>
      </c>
      <c r="I594" s="2"/>
      <c r="J594" s="25">
        <v>1</v>
      </c>
      <c r="K594">
        <v>1</v>
      </c>
      <c r="L594">
        <v>0</v>
      </c>
      <c r="M594" s="2"/>
      <c r="N594" s="2"/>
      <c r="O594" s="2"/>
      <c r="P594" s="2"/>
      <c r="Q594" s="2"/>
      <c r="R594" s="25">
        <v>5.8532381300000003</v>
      </c>
      <c r="S594" s="25">
        <v>5.8532371599999999</v>
      </c>
      <c r="T594" s="25">
        <v>11.912811489999999</v>
      </c>
      <c r="U594">
        <v>5.7946</v>
      </c>
      <c r="V594">
        <v>5.7946</v>
      </c>
      <c r="W594">
        <v>11.787599999999999</v>
      </c>
      <c r="X594">
        <v>0</v>
      </c>
      <c r="AA594" s="2"/>
      <c r="AB594">
        <v>30</v>
      </c>
      <c r="AC594" s="55">
        <f t="shared" ref="AC594:AC595" si="155">M594*N594*O594</f>
        <v>0</v>
      </c>
      <c r="AD594" s="57">
        <v>353.45760058531442</v>
      </c>
      <c r="AE594" s="55">
        <v>342.77011164986573</v>
      </c>
      <c r="AF594" s="55">
        <v>0</v>
      </c>
      <c r="AG594" s="52"/>
      <c r="AH594" s="51">
        <v>8.487580957467307E-2</v>
      </c>
      <c r="AI594" s="52">
        <v>8.752221672887435E-2</v>
      </c>
      <c r="AJ594" s="52"/>
      <c r="AK594" s="28">
        <v>1.833333333333333</v>
      </c>
      <c r="AL594" s="28">
        <v>2.5</v>
      </c>
      <c r="AM594" s="28">
        <v>0.66666666666666663</v>
      </c>
      <c r="AN594" s="28">
        <v>0</v>
      </c>
      <c r="AO594" s="28">
        <v>0.36666666666666659</v>
      </c>
      <c r="AP594" s="28">
        <v>0.5</v>
      </c>
      <c r="AQ594" s="28">
        <v>0.1333333333333333</v>
      </c>
      <c r="AR594" s="28">
        <v>0</v>
      </c>
      <c r="AS594" s="25">
        <v>0.89</v>
      </c>
      <c r="AT594" s="25">
        <v>3.44</v>
      </c>
      <c r="AU594" s="25">
        <v>2.5499999999999998</v>
      </c>
      <c r="AV594" s="25">
        <v>2.6020833333333329</v>
      </c>
      <c r="AW594">
        <v>2.6020833333333329</v>
      </c>
      <c r="AX594">
        <v>5.9098726145833336</v>
      </c>
      <c r="AY594" s="75">
        <v>0.57410011132036598</v>
      </c>
      <c r="AZ594" s="75">
        <v>0.59200041353179045</v>
      </c>
      <c r="BA594" s="75"/>
      <c r="BC594">
        <v>4.2437904787336528E-2</v>
      </c>
      <c r="BD594">
        <v>4.3761108364437168E-2</v>
      </c>
      <c r="BF594">
        <v>8.619901315177371E-2</v>
      </c>
      <c r="BG594">
        <v>4.3099506575886848E-2</v>
      </c>
      <c r="BH594">
        <v>0.58305026242607827</v>
      </c>
      <c r="BI594" s="79" t="s">
        <v>1414</v>
      </c>
      <c r="BJ594" s="79">
        <v>473</v>
      </c>
      <c r="BK594" s="79">
        <v>12</v>
      </c>
      <c r="BM594" s="79" t="s">
        <v>464</v>
      </c>
      <c r="BN594" s="79" t="s">
        <v>464</v>
      </c>
      <c r="BO594" s="79">
        <v>0</v>
      </c>
      <c r="BP594" s="79">
        <v>10.9</v>
      </c>
      <c r="BQ594" s="79">
        <v>0.83</v>
      </c>
      <c r="BR594" s="79">
        <v>0</v>
      </c>
      <c r="BS594" s="79" t="s">
        <v>464</v>
      </c>
      <c r="BT594" s="79" t="s">
        <v>464</v>
      </c>
      <c r="BU594" s="79" t="s">
        <v>1266</v>
      </c>
      <c r="BV594" s="79">
        <v>450</v>
      </c>
      <c r="BX594" s="79" t="s">
        <v>1287</v>
      </c>
      <c r="BY594" s="79">
        <v>298</v>
      </c>
      <c r="BZ594" s="81">
        <v>35.200000000000003</v>
      </c>
      <c r="CA594">
        <f t="shared" si="149"/>
        <v>3.5610460826040513</v>
      </c>
    </row>
    <row r="595" spans="1:80" x14ac:dyDescent="0.3">
      <c r="A595" s="2" t="s">
        <v>38</v>
      </c>
      <c r="B595" s="2"/>
      <c r="C595" s="2"/>
      <c r="D595" s="2">
        <v>3.92</v>
      </c>
      <c r="E595" s="2" t="s">
        <v>261</v>
      </c>
      <c r="F595" s="9" t="s">
        <v>545</v>
      </c>
      <c r="G595" t="s">
        <v>626</v>
      </c>
      <c r="I595" s="2"/>
      <c r="J595" s="25">
        <v>1</v>
      </c>
      <c r="K595">
        <v>1</v>
      </c>
      <c r="L595">
        <v>0</v>
      </c>
      <c r="M595" s="2"/>
      <c r="N595" s="2"/>
      <c r="O595" s="2"/>
      <c r="P595" s="2"/>
      <c r="Q595" s="2"/>
      <c r="R595" s="25">
        <v>5.8532381300000003</v>
      </c>
      <c r="S595" s="25">
        <v>5.8532371599999999</v>
      </c>
      <c r="T595" s="25">
        <v>11.912811489999999</v>
      </c>
      <c r="U595">
        <v>5.7946</v>
      </c>
      <c r="V595">
        <v>5.7946</v>
      </c>
      <c r="W595">
        <v>11.787599999999999</v>
      </c>
      <c r="X595">
        <v>0</v>
      </c>
      <c r="AA595" s="2"/>
      <c r="AB595">
        <v>30</v>
      </c>
      <c r="AC595" s="55">
        <f t="shared" si="155"/>
        <v>0</v>
      </c>
      <c r="AD595" s="57">
        <v>353.45760058531442</v>
      </c>
      <c r="AE595" s="55">
        <v>342.77011164986573</v>
      </c>
      <c r="AF595" s="55">
        <v>0</v>
      </c>
      <c r="AG595" s="52"/>
      <c r="AH595" s="51">
        <v>8.487580957467307E-2</v>
      </c>
      <c r="AI595" s="52">
        <v>8.752221672887435E-2</v>
      </c>
      <c r="AJ595" s="52"/>
      <c r="AK595" s="28">
        <v>1.833333333333333</v>
      </c>
      <c r="AL595" s="28">
        <v>2.5</v>
      </c>
      <c r="AM595" s="28">
        <v>0.66666666666666663</v>
      </c>
      <c r="AN595" s="28">
        <v>0</v>
      </c>
      <c r="AO595" s="28">
        <v>0.36666666666666659</v>
      </c>
      <c r="AP595" s="28">
        <v>0.5</v>
      </c>
      <c r="AQ595" s="28">
        <v>0.1333333333333333</v>
      </c>
      <c r="AR595" s="28">
        <v>0</v>
      </c>
      <c r="AS595" s="25">
        <v>0.89</v>
      </c>
      <c r="AT595" s="25">
        <v>3.44</v>
      </c>
      <c r="AU595" s="25">
        <v>2.5499999999999998</v>
      </c>
      <c r="AV595" s="25">
        <v>2.6020833333333329</v>
      </c>
      <c r="AW595">
        <v>2.6020833333333329</v>
      </c>
      <c r="AX595">
        <v>5.9098726145833336</v>
      </c>
      <c r="AY595" s="75">
        <v>0.57410011132036598</v>
      </c>
      <c r="AZ595" s="75">
        <v>0.59200041353179045</v>
      </c>
      <c r="BA595" s="75"/>
      <c r="BC595">
        <v>4.2437904787336528E-2</v>
      </c>
      <c r="BD595">
        <v>4.3761108364437168E-2</v>
      </c>
      <c r="BF595">
        <v>8.619901315177371E-2</v>
      </c>
      <c r="BG595">
        <v>4.3099506575886848E-2</v>
      </c>
      <c r="BH595">
        <v>0.58305026242607827</v>
      </c>
      <c r="BI595" s="79" t="s">
        <v>1414</v>
      </c>
      <c r="BJ595" s="79">
        <v>473</v>
      </c>
      <c r="BK595" s="79">
        <v>12</v>
      </c>
      <c r="BM595" s="79" t="s">
        <v>1275</v>
      </c>
      <c r="BN595" s="79" t="s">
        <v>56</v>
      </c>
      <c r="BP595" s="79">
        <v>1.6</v>
      </c>
      <c r="BQ595" s="79">
        <v>0.83</v>
      </c>
      <c r="BR595" s="79">
        <v>0</v>
      </c>
      <c r="BS595" s="79" t="s">
        <v>464</v>
      </c>
      <c r="BT595" s="79" t="s">
        <v>464</v>
      </c>
      <c r="BU595" s="79" t="s">
        <v>1266</v>
      </c>
      <c r="BV595" s="79">
        <v>450</v>
      </c>
      <c r="BX595" s="79" t="s">
        <v>1287</v>
      </c>
      <c r="BY595" s="79">
        <v>298</v>
      </c>
      <c r="BZ595" s="81">
        <v>94.5</v>
      </c>
      <c r="CA595">
        <f t="shared" si="149"/>
        <v>4.5485998344996972</v>
      </c>
    </row>
    <row r="596" spans="1:80" x14ac:dyDescent="0.3">
      <c r="A596" s="2" t="s">
        <v>38</v>
      </c>
      <c r="B596" s="2"/>
      <c r="C596" s="2"/>
      <c r="D596" s="2">
        <v>3.84</v>
      </c>
      <c r="E596" s="2" t="s">
        <v>261</v>
      </c>
      <c r="F596" s="9" t="s">
        <v>545</v>
      </c>
      <c r="G596" t="s">
        <v>626</v>
      </c>
      <c r="I596" s="2"/>
      <c r="J596" s="25">
        <v>1</v>
      </c>
      <c r="K596">
        <v>1</v>
      </c>
      <c r="L596">
        <v>0</v>
      </c>
      <c r="M596" s="2"/>
      <c r="N596" s="2"/>
      <c r="O596" s="2"/>
      <c r="P596" s="2"/>
      <c r="Q596" s="2"/>
      <c r="R596" s="25">
        <v>5.8532381300000003</v>
      </c>
      <c r="S596" s="25">
        <v>5.8532371599999999</v>
      </c>
      <c r="T596" s="25">
        <v>11.912811489999999</v>
      </c>
      <c r="U596">
        <v>5.7946</v>
      </c>
      <c r="V596">
        <v>5.7946</v>
      </c>
      <c r="W596">
        <v>11.787599999999999</v>
      </c>
      <c r="X596">
        <v>0</v>
      </c>
      <c r="AA596" s="2"/>
      <c r="AB596">
        <v>30</v>
      </c>
      <c r="AC596" s="55">
        <f t="shared" ref="AC596:AC597" si="156">M596*N596*O596</f>
        <v>0</v>
      </c>
      <c r="AD596" s="57">
        <v>353.45760058531442</v>
      </c>
      <c r="AE596" s="55">
        <v>342.77011164986573</v>
      </c>
      <c r="AF596" s="55">
        <v>0</v>
      </c>
      <c r="AG596" s="52"/>
      <c r="AH596" s="51">
        <v>8.487580957467307E-2</v>
      </c>
      <c r="AI596" s="52">
        <v>8.752221672887435E-2</v>
      </c>
      <c r="AJ596" s="52"/>
      <c r="AK596" s="28">
        <v>1.833333333333333</v>
      </c>
      <c r="AL596" s="28">
        <v>2.5</v>
      </c>
      <c r="AM596" s="28">
        <v>0.66666666666666663</v>
      </c>
      <c r="AN596" s="28">
        <v>0</v>
      </c>
      <c r="AO596" s="28">
        <v>0.36666666666666659</v>
      </c>
      <c r="AP596" s="28">
        <v>0.5</v>
      </c>
      <c r="AQ596" s="28">
        <v>0.1333333333333333</v>
      </c>
      <c r="AR596" s="28">
        <v>0</v>
      </c>
      <c r="AS596" s="25">
        <v>0.89</v>
      </c>
      <c r="AT596" s="25">
        <v>3.44</v>
      </c>
      <c r="AU596" s="25">
        <v>2.5499999999999998</v>
      </c>
      <c r="AV596" s="25">
        <v>2.6020833333333329</v>
      </c>
      <c r="AW596">
        <v>2.6020833333333329</v>
      </c>
      <c r="AX596">
        <v>5.9098726145833336</v>
      </c>
      <c r="AY596" s="75">
        <v>0.57410011132036598</v>
      </c>
      <c r="AZ596" s="75">
        <v>0.59200041353179045</v>
      </c>
      <c r="BA596" s="75"/>
      <c r="BC596">
        <v>4.2437904787336528E-2</v>
      </c>
      <c r="BD596">
        <v>4.3761108364437168E-2</v>
      </c>
      <c r="BF596">
        <v>8.619901315177371E-2</v>
      </c>
      <c r="BG596">
        <v>4.3099506575886848E-2</v>
      </c>
      <c r="BH596">
        <v>0.58305026242607827</v>
      </c>
      <c r="BI596" s="79" t="s">
        <v>1414</v>
      </c>
      <c r="BJ596" s="79">
        <v>473</v>
      </c>
      <c r="BK596" s="79">
        <v>12</v>
      </c>
      <c r="BM596" s="79" t="s">
        <v>1275</v>
      </c>
      <c r="BN596" s="79" t="s">
        <v>56</v>
      </c>
      <c r="BP596" s="79">
        <v>10.9</v>
      </c>
      <c r="BQ596" s="79">
        <v>0.83</v>
      </c>
      <c r="BR596" s="79">
        <v>0</v>
      </c>
      <c r="BS596" s="79" t="s">
        <v>464</v>
      </c>
      <c r="BT596" s="79" t="s">
        <v>464</v>
      </c>
      <c r="BU596" s="79" t="s">
        <v>1266</v>
      </c>
      <c r="BV596" s="79">
        <v>450</v>
      </c>
      <c r="BX596" s="79" t="s">
        <v>1287</v>
      </c>
      <c r="BY596" s="79">
        <v>298</v>
      </c>
      <c r="BZ596" s="81">
        <v>321.60000000000002</v>
      </c>
      <c r="CA596">
        <f t="shared" si="149"/>
        <v>5.7733085373048114</v>
      </c>
    </row>
    <row r="597" spans="1:80" x14ac:dyDescent="0.3">
      <c r="A597" s="2" t="s">
        <v>38</v>
      </c>
      <c r="B597" s="2"/>
      <c r="C597" s="2"/>
      <c r="D597" s="2">
        <v>3.84</v>
      </c>
      <c r="E597" s="2" t="s">
        <v>261</v>
      </c>
      <c r="F597" s="9" t="s">
        <v>545</v>
      </c>
      <c r="G597" t="s">
        <v>626</v>
      </c>
      <c r="I597" s="2"/>
      <c r="J597" s="25">
        <v>1</v>
      </c>
      <c r="K597">
        <v>1</v>
      </c>
      <c r="L597">
        <v>0</v>
      </c>
      <c r="M597" s="2"/>
      <c r="N597" s="2"/>
      <c r="O597" s="2"/>
      <c r="P597" s="2"/>
      <c r="Q597" s="2"/>
      <c r="R597" s="25">
        <v>5.8532381300000003</v>
      </c>
      <c r="S597" s="25">
        <v>5.8532371599999999</v>
      </c>
      <c r="T597" s="25">
        <v>11.912811489999999</v>
      </c>
      <c r="U597">
        <v>5.7946</v>
      </c>
      <c r="V597">
        <v>5.7946</v>
      </c>
      <c r="W597">
        <v>11.787599999999999</v>
      </c>
      <c r="X597">
        <v>0</v>
      </c>
      <c r="AA597" s="2"/>
      <c r="AB597">
        <v>30</v>
      </c>
      <c r="AC597" s="55">
        <f t="shared" si="156"/>
        <v>0</v>
      </c>
      <c r="AD597" s="57">
        <v>353.45760058531442</v>
      </c>
      <c r="AE597" s="55">
        <v>342.77011164986573</v>
      </c>
      <c r="AF597" s="55">
        <v>0</v>
      </c>
      <c r="AG597" s="52"/>
      <c r="AH597" s="51">
        <v>8.487580957467307E-2</v>
      </c>
      <c r="AI597" s="52">
        <v>8.752221672887435E-2</v>
      </c>
      <c r="AJ597" s="52"/>
      <c r="AK597" s="28">
        <v>1.833333333333333</v>
      </c>
      <c r="AL597" s="28">
        <v>2.5</v>
      </c>
      <c r="AM597" s="28">
        <v>0.66666666666666663</v>
      </c>
      <c r="AN597" s="28">
        <v>0</v>
      </c>
      <c r="AO597" s="28">
        <v>0.36666666666666659</v>
      </c>
      <c r="AP597" s="28">
        <v>0.5</v>
      </c>
      <c r="AQ597" s="28">
        <v>0.1333333333333333</v>
      </c>
      <c r="AR597" s="28">
        <v>0</v>
      </c>
      <c r="AS597" s="25">
        <v>0.89</v>
      </c>
      <c r="AT597" s="25">
        <v>3.44</v>
      </c>
      <c r="AU597" s="25">
        <v>2.5499999999999998</v>
      </c>
      <c r="AV597" s="25">
        <v>2.6020833333333329</v>
      </c>
      <c r="AW597">
        <v>2.6020833333333329</v>
      </c>
      <c r="AX597">
        <v>5.9098726145833336</v>
      </c>
      <c r="AY597" s="75">
        <v>0.57410011132036598</v>
      </c>
      <c r="AZ597" s="75">
        <v>0.59200041353179045</v>
      </c>
      <c r="BA597" s="75"/>
      <c r="BC597">
        <v>4.2437904787336528E-2</v>
      </c>
      <c r="BD597">
        <v>4.3761108364437168E-2</v>
      </c>
      <c r="BF597">
        <v>8.619901315177371E-2</v>
      </c>
      <c r="BG597">
        <v>4.3099506575886848E-2</v>
      </c>
      <c r="BH597">
        <v>0.58305026242607827</v>
      </c>
      <c r="BI597" s="79" t="s">
        <v>1414</v>
      </c>
      <c r="BJ597" s="79">
        <v>473</v>
      </c>
      <c r="BK597" s="79">
        <v>12</v>
      </c>
      <c r="BM597" s="79" t="s">
        <v>464</v>
      </c>
      <c r="BN597" s="79" t="s">
        <v>464</v>
      </c>
      <c r="BO597" s="79">
        <v>0</v>
      </c>
      <c r="BP597" s="79">
        <v>10.9</v>
      </c>
      <c r="BQ597" s="79">
        <v>0.83</v>
      </c>
      <c r="BR597" s="79">
        <v>0</v>
      </c>
      <c r="BS597" s="79" t="s">
        <v>464</v>
      </c>
      <c r="BT597" s="79" t="s">
        <v>464</v>
      </c>
      <c r="BU597" s="79" t="s">
        <v>1266</v>
      </c>
      <c r="BV597" s="79">
        <v>450</v>
      </c>
      <c r="BW597" s="79">
        <v>420</v>
      </c>
      <c r="BX597" s="79" t="s">
        <v>1287</v>
      </c>
      <c r="BY597" s="79">
        <v>298</v>
      </c>
      <c r="BZ597" s="81">
        <v>0</v>
      </c>
      <c r="CA597" t="e">
        <f t="shared" si="149"/>
        <v>#NUM!</v>
      </c>
    </row>
    <row r="598" spans="1:80" x14ac:dyDescent="0.3">
      <c r="A598" s="2" t="s">
        <v>4</v>
      </c>
      <c r="B598" s="20" t="s">
        <v>689</v>
      </c>
      <c r="C598" s="13"/>
      <c r="D598" s="2"/>
      <c r="E598" s="2" t="s">
        <v>263</v>
      </c>
      <c r="F598" s="9" t="s">
        <v>527</v>
      </c>
      <c r="G598" t="s">
        <v>609</v>
      </c>
      <c r="I598" s="2">
        <v>4</v>
      </c>
      <c r="J598" s="25">
        <v>0</v>
      </c>
      <c r="K598">
        <v>0</v>
      </c>
      <c r="L598">
        <v>0</v>
      </c>
      <c r="M598" s="2">
        <v>3.8490000000000002</v>
      </c>
      <c r="N598" s="2">
        <v>29.42</v>
      </c>
      <c r="O598" s="2">
        <v>7.6680000000000001</v>
      </c>
      <c r="P598" s="2" t="s">
        <v>472</v>
      </c>
      <c r="Q598" s="2"/>
      <c r="R598" s="25">
        <v>0</v>
      </c>
      <c r="S598" s="25"/>
      <c r="T598" s="25"/>
      <c r="U598">
        <v>0</v>
      </c>
      <c r="X598">
        <v>0</v>
      </c>
      <c r="AA598" s="2"/>
      <c r="AB598">
        <v>20</v>
      </c>
      <c r="AC598" s="55">
        <f t="shared" si="141"/>
        <v>868.30576344000008</v>
      </c>
      <c r="AD598" s="57">
        <v>0</v>
      </c>
      <c r="AE598" s="55">
        <v>0</v>
      </c>
      <c r="AF598" s="55">
        <v>0</v>
      </c>
      <c r="AG598" s="52">
        <f t="shared" ref="AG598:AG599" si="157">I598*AB598/AC598</f>
        <v>9.2133443503888482E-2</v>
      </c>
      <c r="AH598" s="51"/>
      <c r="AI598" s="52"/>
      <c r="AJ598" s="52"/>
      <c r="AK598" s="28">
        <v>1.75</v>
      </c>
      <c r="AL598" s="28">
        <v>2.5</v>
      </c>
      <c r="AM598" s="28">
        <v>0.75</v>
      </c>
      <c r="AN598" s="28">
        <v>0</v>
      </c>
      <c r="AO598" s="28">
        <v>0.35</v>
      </c>
      <c r="AP598" s="28">
        <v>0.5</v>
      </c>
      <c r="AQ598" s="28">
        <v>0.15</v>
      </c>
      <c r="AR598" s="28">
        <v>0</v>
      </c>
      <c r="AS598" s="25">
        <v>0.82</v>
      </c>
      <c r="AT598" s="25">
        <v>3.44</v>
      </c>
      <c r="AU598" s="25">
        <v>2.62</v>
      </c>
      <c r="AV598" s="25">
        <v>2.6262500000000002</v>
      </c>
      <c r="AW598">
        <v>2.7466666666666661</v>
      </c>
      <c r="AX598">
        <v>6.2031928980000002</v>
      </c>
      <c r="AY598" s="75"/>
      <c r="AZ598" s="75"/>
      <c r="BA598" s="75"/>
      <c r="BB598">
        <v>4.6066721751944241E-2</v>
      </c>
      <c r="BF598">
        <v>9.2133443503888482E-2</v>
      </c>
      <c r="BG598">
        <v>4.6066721751944241E-2</v>
      </c>
      <c r="BH598">
        <v>0</v>
      </c>
      <c r="BI598" s="79" t="s">
        <v>1435</v>
      </c>
      <c r="BJ598" s="79">
        <v>1473</v>
      </c>
      <c r="BK598" s="79">
        <v>10</v>
      </c>
      <c r="BM598" s="79" t="s">
        <v>1268</v>
      </c>
      <c r="BN598" s="79" t="s">
        <v>890</v>
      </c>
      <c r="BO598" s="79">
        <v>1</v>
      </c>
      <c r="BQ598" s="79">
        <v>0.5</v>
      </c>
      <c r="BR598" s="79">
        <v>20</v>
      </c>
      <c r="BS598" s="79" t="s">
        <v>464</v>
      </c>
      <c r="BT598" s="79" t="s">
        <v>464</v>
      </c>
      <c r="BU598" s="79" t="s">
        <v>1271</v>
      </c>
      <c r="BV598" s="79">
        <v>500</v>
      </c>
      <c r="BW598" s="79">
        <v>400</v>
      </c>
      <c r="BX598" s="79" t="s">
        <v>1287</v>
      </c>
      <c r="BZ598" s="81">
        <v>6.7000000000000004E-2</v>
      </c>
      <c r="CA598">
        <f t="shared" si="149"/>
        <v>-2.7030626595911711</v>
      </c>
    </row>
    <row r="599" spans="1:80" x14ac:dyDescent="0.3">
      <c r="A599" s="2" t="s">
        <v>63</v>
      </c>
      <c r="B599" s="20" t="s">
        <v>689</v>
      </c>
      <c r="C599" s="13"/>
      <c r="D599" s="2"/>
      <c r="E599" s="2" t="s">
        <v>263</v>
      </c>
      <c r="F599" s="9" t="s">
        <v>527</v>
      </c>
      <c r="G599" t="s">
        <v>609</v>
      </c>
      <c r="I599" s="2">
        <v>4</v>
      </c>
      <c r="J599" s="25">
        <v>0</v>
      </c>
      <c r="K599">
        <v>0</v>
      </c>
      <c r="L599">
        <v>0</v>
      </c>
      <c r="M599" s="2">
        <v>3.8490000000000002</v>
      </c>
      <c r="N599" s="2">
        <v>29.42</v>
      </c>
      <c r="O599" s="2">
        <v>7.6680000000000001</v>
      </c>
      <c r="P599" s="2" t="s">
        <v>472</v>
      </c>
      <c r="Q599" s="2"/>
      <c r="R599" s="25">
        <v>0</v>
      </c>
      <c r="S599" s="25"/>
      <c r="T599" s="25"/>
      <c r="U599">
        <v>0</v>
      </c>
      <c r="X599">
        <v>0</v>
      </c>
      <c r="AA599" s="2"/>
      <c r="AB599">
        <v>20</v>
      </c>
      <c r="AC599" s="55">
        <f t="shared" si="141"/>
        <v>868.30576344000008</v>
      </c>
      <c r="AD599" s="57">
        <v>0</v>
      </c>
      <c r="AE599" s="55">
        <v>0</v>
      </c>
      <c r="AF599" s="55">
        <v>0</v>
      </c>
      <c r="AG599" s="52">
        <f t="shared" si="157"/>
        <v>9.2133443503888482E-2</v>
      </c>
      <c r="AH599" s="51"/>
      <c r="AI599" s="52"/>
      <c r="AJ599" s="52"/>
      <c r="AK599" s="28">
        <v>1.75</v>
      </c>
      <c r="AL599" s="28">
        <v>2.5</v>
      </c>
      <c r="AM599" s="28">
        <v>0.75</v>
      </c>
      <c r="AN599" s="28">
        <v>0</v>
      </c>
      <c r="AO599" s="28">
        <v>0.35</v>
      </c>
      <c r="AP599" s="28">
        <v>0.5</v>
      </c>
      <c r="AQ599" s="28">
        <v>0.15</v>
      </c>
      <c r="AR599" s="28">
        <v>0</v>
      </c>
      <c r="AS599" s="25">
        <v>0.82</v>
      </c>
      <c r="AT599" s="25">
        <v>3.44</v>
      </c>
      <c r="AU599" s="25">
        <v>2.62</v>
      </c>
      <c r="AV599" s="25">
        <v>2.6262500000000002</v>
      </c>
      <c r="AW599">
        <v>2.7466666666666661</v>
      </c>
      <c r="AX599">
        <v>6.2031928980000002</v>
      </c>
      <c r="AY599" s="75"/>
      <c r="AZ599" s="75"/>
      <c r="BA599" s="75"/>
      <c r="BB599">
        <v>4.6066721751944241E-2</v>
      </c>
      <c r="BF599">
        <v>9.2133443503888482E-2</v>
      </c>
      <c r="BG599">
        <v>4.6066721751944241E-2</v>
      </c>
      <c r="BH599">
        <v>0</v>
      </c>
      <c r="BI599" s="79" t="s">
        <v>1435</v>
      </c>
      <c r="BJ599" s="79">
        <v>1473</v>
      </c>
      <c r="BK599" s="79">
        <v>10</v>
      </c>
      <c r="BM599" s="79" t="s">
        <v>1268</v>
      </c>
      <c r="BN599" s="79" t="s">
        <v>890</v>
      </c>
      <c r="BO599" s="79">
        <v>1</v>
      </c>
      <c r="BQ599" s="79">
        <v>0.5</v>
      </c>
      <c r="BR599" s="79">
        <v>20</v>
      </c>
      <c r="BS599" s="79" t="s">
        <v>464</v>
      </c>
      <c r="BT599" s="79" t="s">
        <v>464</v>
      </c>
      <c r="BU599" s="79" t="s">
        <v>1271</v>
      </c>
      <c r="BV599" s="79">
        <v>500</v>
      </c>
      <c r="BW599" s="79">
        <v>400</v>
      </c>
      <c r="BX599" s="79" t="s">
        <v>1287</v>
      </c>
      <c r="BZ599" s="81">
        <v>0.183</v>
      </c>
      <c r="CA599">
        <f t="shared" si="149"/>
        <v>-1.6982691261407161</v>
      </c>
    </row>
    <row r="600" spans="1:80" x14ac:dyDescent="0.3">
      <c r="A600" s="2" t="s">
        <v>63</v>
      </c>
      <c r="B600" s="20" t="s">
        <v>689</v>
      </c>
      <c r="C600" s="13"/>
      <c r="D600" s="2"/>
      <c r="E600" s="2" t="s">
        <v>263</v>
      </c>
      <c r="F600" s="9" t="s">
        <v>527</v>
      </c>
      <c r="G600" t="s">
        <v>609</v>
      </c>
      <c r="I600" s="2">
        <v>4</v>
      </c>
      <c r="J600" s="25">
        <v>0</v>
      </c>
      <c r="K600">
        <v>0</v>
      </c>
      <c r="L600">
        <v>0</v>
      </c>
      <c r="M600" s="2">
        <v>3.8490000000000002</v>
      </c>
      <c r="N600" s="2">
        <v>29.42</v>
      </c>
      <c r="O600" s="2">
        <v>7.6680000000000001</v>
      </c>
      <c r="P600" s="2" t="s">
        <v>472</v>
      </c>
      <c r="Q600" s="2"/>
      <c r="R600" s="25">
        <v>0</v>
      </c>
      <c r="S600" s="25"/>
      <c r="T600" s="25"/>
      <c r="U600">
        <v>0</v>
      </c>
      <c r="X600">
        <v>0</v>
      </c>
      <c r="AA600" s="2"/>
      <c r="AB600">
        <v>20</v>
      </c>
      <c r="AC600" s="55">
        <f t="shared" ref="AC600" si="158">M600*N600*O600</f>
        <v>868.30576344000008</v>
      </c>
      <c r="AD600" s="57">
        <v>0</v>
      </c>
      <c r="AE600" s="55">
        <v>0</v>
      </c>
      <c r="AF600" s="55">
        <v>0</v>
      </c>
      <c r="AG600" s="52">
        <f t="shared" ref="AG600" si="159">I600*AB600/AC600</f>
        <v>9.2133443503888482E-2</v>
      </c>
      <c r="AH600" s="51"/>
      <c r="AI600" s="52"/>
      <c r="AJ600" s="52"/>
      <c r="AK600" s="28">
        <v>1.75</v>
      </c>
      <c r="AL600" s="28">
        <v>2.5</v>
      </c>
      <c r="AM600" s="28">
        <v>0.75</v>
      </c>
      <c r="AN600" s="28">
        <v>0</v>
      </c>
      <c r="AO600" s="28">
        <v>0.35</v>
      </c>
      <c r="AP600" s="28">
        <v>0.5</v>
      </c>
      <c r="AQ600" s="28">
        <v>0.15</v>
      </c>
      <c r="AR600" s="28">
        <v>0</v>
      </c>
      <c r="AS600" s="25">
        <v>0.82</v>
      </c>
      <c r="AT600" s="25">
        <v>3.44</v>
      </c>
      <c r="AU600" s="25">
        <v>2.62</v>
      </c>
      <c r="AV600" s="25">
        <v>2.6262500000000002</v>
      </c>
      <c r="AW600">
        <v>2.7466666666666661</v>
      </c>
      <c r="AX600">
        <v>6.2031928980000002</v>
      </c>
      <c r="AY600" s="75"/>
      <c r="AZ600" s="75"/>
      <c r="BA600" s="75"/>
      <c r="BB600">
        <v>4.6066721751944241E-2</v>
      </c>
      <c r="BF600">
        <v>9.2133443503888482E-2</v>
      </c>
      <c r="BG600">
        <v>4.6066721751944241E-2</v>
      </c>
      <c r="BH600">
        <v>0</v>
      </c>
      <c r="BI600" s="79" t="s">
        <v>1435</v>
      </c>
      <c r="BJ600" s="79">
        <v>1473</v>
      </c>
      <c r="BK600" s="79">
        <v>10</v>
      </c>
      <c r="BM600" s="79" t="s">
        <v>1268</v>
      </c>
      <c r="BN600" s="79" t="s">
        <v>890</v>
      </c>
      <c r="BO600" s="79">
        <v>1</v>
      </c>
      <c r="BP600" s="81">
        <v>112</v>
      </c>
      <c r="BQ600" s="79">
        <v>0.5</v>
      </c>
      <c r="BR600" s="79">
        <v>20</v>
      </c>
      <c r="BS600" s="79" t="s">
        <v>464</v>
      </c>
      <c r="BT600" s="79" t="s">
        <v>464</v>
      </c>
      <c r="BU600" s="79" t="s">
        <v>1271</v>
      </c>
      <c r="BV600" s="79">
        <v>500</v>
      </c>
      <c r="BW600" s="79">
        <v>400</v>
      </c>
      <c r="BX600" s="79" t="s">
        <v>1287</v>
      </c>
      <c r="BZ600" s="81">
        <v>0.4</v>
      </c>
      <c r="CA600">
        <f t="shared" si="149"/>
        <v>-0.916290731874155</v>
      </c>
    </row>
    <row r="601" spans="1:80" s="1" customFormat="1" x14ac:dyDescent="0.3">
      <c r="A601" s="1" t="s">
        <v>889</v>
      </c>
      <c r="B601" s="92" t="s">
        <v>945</v>
      </c>
      <c r="C601" s="15"/>
      <c r="D601" s="1">
        <v>2.92</v>
      </c>
      <c r="E601" s="1" t="s">
        <v>264</v>
      </c>
      <c r="F601" s="32"/>
      <c r="H601" s="1" t="s">
        <v>1174</v>
      </c>
      <c r="J601" s="36">
        <v>4</v>
      </c>
      <c r="K601" s="1">
        <v>4</v>
      </c>
      <c r="L601" s="1">
        <v>0</v>
      </c>
      <c r="R601" s="36">
        <v>7.8084429999999996</v>
      </c>
      <c r="S601" s="36">
        <v>7.8548809999999998</v>
      </c>
      <c r="T601" s="36">
        <v>15.19056011</v>
      </c>
      <c r="U601" s="1">
        <v>3.8801999999999999</v>
      </c>
      <c r="V601" s="1">
        <v>29.507999999999999</v>
      </c>
      <c r="W601" s="1">
        <v>7.7140000000000004</v>
      </c>
      <c r="X601" s="1">
        <v>0</v>
      </c>
      <c r="AB601" s="1">
        <v>20</v>
      </c>
      <c r="AC601" s="1">
        <f t="shared" si="141"/>
        <v>0</v>
      </c>
      <c r="AD601" s="36">
        <v>924.74694800021894</v>
      </c>
      <c r="AE601" s="1">
        <v>883.22940750240002</v>
      </c>
      <c r="AF601" s="1">
        <v>0</v>
      </c>
      <c r="AH601" s="36">
        <v>8.6510153045653584E-2</v>
      </c>
      <c r="AI601" s="1">
        <v>9.0576694254581439E-2</v>
      </c>
      <c r="AK601" s="1">
        <v>1.75</v>
      </c>
      <c r="AL601" s="1">
        <v>2.5</v>
      </c>
      <c r="AM601" s="1">
        <v>0.75</v>
      </c>
      <c r="AN601" s="1">
        <v>0</v>
      </c>
      <c r="AO601" s="1">
        <v>0.35</v>
      </c>
      <c r="AP601" s="1">
        <v>0.5</v>
      </c>
      <c r="AQ601" s="1">
        <v>0.15</v>
      </c>
      <c r="AR601" s="1">
        <v>0</v>
      </c>
      <c r="AS601" s="36">
        <v>0.82</v>
      </c>
      <c r="AT601" s="36">
        <v>3.44</v>
      </c>
      <c r="AU601" s="36">
        <v>2.62</v>
      </c>
      <c r="AV601" s="36">
        <v>2.6262500000000002</v>
      </c>
      <c r="AW601" s="1">
        <v>2.6262500000000002</v>
      </c>
      <c r="AX601" s="1">
        <v>5.96680968125</v>
      </c>
      <c r="AY601" s="1">
        <v>0.50555206026575039</v>
      </c>
      <c r="AZ601" s="1">
        <v>0</v>
      </c>
      <c r="BC601" s="1">
        <v>4.3255076522826792E-2</v>
      </c>
      <c r="BD601" s="1">
        <v>4.5288347127290719E-2</v>
      </c>
      <c r="BF601" s="1">
        <v>8.8543423650117511E-2</v>
      </c>
      <c r="BG601" s="1">
        <v>4.4271711825058763E-2</v>
      </c>
      <c r="BH601" s="1">
        <v>0.2527760301328752</v>
      </c>
      <c r="BI601" s="81" t="s">
        <v>1264</v>
      </c>
      <c r="BJ601" s="81">
        <v>1273</v>
      </c>
      <c r="BK601" s="81">
        <v>10</v>
      </c>
      <c r="BL601" s="81"/>
      <c r="BM601" s="81" t="s">
        <v>1268</v>
      </c>
      <c r="BN601" s="81" t="s">
        <v>890</v>
      </c>
      <c r="BO601" s="81">
        <v>0.15</v>
      </c>
      <c r="BP601" s="81"/>
      <c r="BQ601" s="81">
        <v>1</v>
      </c>
      <c r="BR601" s="81">
        <v>20</v>
      </c>
      <c r="BS601" s="81" t="s">
        <v>464</v>
      </c>
      <c r="BT601" s="81" t="s">
        <v>464</v>
      </c>
      <c r="BU601" s="81" t="s">
        <v>1271</v>
      </c>
      <c r="BV601" s="81">
        <v>500</v>
      </c>
      <c r="BW601" s="81"/>
      <c r="BX601" s="81" t="s">
        <v>1287</v>
      </c>
      <c r="BY601" s="81"/>
      <c r="BZ601" s="81">
        <f>3.31*5</f>
        <v>16.55</v>
      </c>
      <c r="CA601">
        <f t="shared" si="149"/>
        <v>2.806386101823072</v>
      </c>
    </row>
    <row r="602" spans="1:80" s="1" customFormat="1" x14ac:dyDescent="0.3">
      <c r="A602" s="1" t="s">
        <v>1434</v>
      </c>
      <c r="B602" s="92" t="s">
        <v>945</v>
      </c>
      <c r="C602" s="15"/>
      <c r="E602" s="1" t="s">
        <v>264</v>
      </c>
      <c r="F602" s="32"/>
      <c r="H602" s="1" t="s">
        <v>1174</v>
      </c>
      <c r="J602" s="36">
        <v>4</v>
      </c>
      <c r="K602" s="1">
        <v>4</v>
      </c>
      <c r="L602" s="1">
        <v>0</v>
      </c>
      <c r="R602" s="36">
        <v>7.8084429999999996</v>
      </c>
      <c r="S602" s="36">
        <v>7.8548809999999998</v>
      </c>
      <c r="T602" s="36">
        <v>15.19056011</v>
      </c>
      <c r="U602" s="1">
        <v>3.8801999999999999</v>
      </c>
      <c r="V602" s="1">
        <v>29.507999999999999</v>
      </c>
      <c r="W602" s="1">
        <v>7.7140000000000004</v>
      </c>
      <c r="X602" s="1">
        <v>0</v>
      </c>
      <c r="AB602" s="1">
        <v>20</v>
      </c>
      <c r="AC602" s="1">
        <f t="shared" ref="AC602" si="160">M602*N602*O602</f>
        <v>0</v>
      </c>
      <c r="AD602" s="36">
        <v>924.74694800021894</v>
      </c>
      <c r="AE602" s="1">
        <v>883.22940750240002</v>
      </c>
      <c r="AF602" s="1">
        <v>0</v>
      </c>
      <c r="AH602" s="36">
        <v>8.6510153045653584E-2</v>
      </c>
      <c r="AI602" s="1">
        <v>9.0576694254581439E-2</v>
      </c>
      <c r="AK602" s="1">
        <v>1.75</v>
      </c>
      <c r="AL602" s="1">
        <v>2.5</v>
      </c>
      <c r="AM602" s="1">
        <v>0.75</v>
      </c>
      <c r="AN602" s="1">
        <v>0</v>
      </c>
      <c r="AO602" s="1">
        <v>0.35</v>
      </c>
      <c r="AP602" s="1">
        <v>0.5</v>
      </c>
      <c r="AQ602" s="1">
        <v>0.15</v>
      </c>
      <c r="AR602" s="1">
        <v>0</v>
      </c>
      <c r="AS602" s="36">
        <v>0.82</v>
      </c>
      <c r="AT602" s="36">
        <v>3.44</v>
      </c>
      <c r="AU602" s="36">
        <v>2.62</v>
      </c>
      <c r="AV602" s="36">
        <v>2.6262500000000002</v>
      </c>
      <c r="AW602" s="1">
        <v>2.6262500000000002</v>
      </c>
      <c r="AX602" s="1">
        <v>5.96680968125</v>
      </c>
      <c r="AY602" s="1">
        <v>0.50555206026575039</v>
      </c>
      <c r="AZ602" s="1">
        <v>0</v>
      </c>
      <c r="BC602" s="1">
        <v>4.3255076522826792E-2</v>
      </c>
      <c r="BD602" s="1">
        <v>4.5288347127290719E-2</v>
      </c>
      <c r="BF602" s="1">
        <v>8.8543423650117511E-2</v>
      </c>
      <c r="BG602" s="1">
        <v>4.4271711825058763E-2</v>
      </c>
      <c r="BH602" s="1">
        <v>0.2527760301328752</v>
      </c>
      <c r="BI602" s="81" t="s">
        <v>1264</v>
      </c>
      <c r="BJ602" s="81">
        <v>1273</v>
      </c>
      <c r="BK602" s="81">
        <v>10</v>
      </c>
      <c r="BL602" s="81"/>
      <c r="BM602" s="81" t="s">
        <v>1268</v>
      </c>
      <c r="BN602" s="81" t="s">
        <v>890</v>
      </c>
      <c r="BO602" s="81">
        <v>0.15</v>
      </c>
      <c r="BP602" s="81"/>
      <c r="BQ602" s="81">
        <v>1</v>
      </c>
      <c r="BR602" s="81">
        <v>20</v>
      </c>
      <c r="BS602" s="81" t="s">
        <v>464</v>
      </c>
      <c r="BT602" s="81" t="s">
        <v>464</v>
      </c>
      <c r="BU602" s="81" t="s">
        <v>1271</v>
      </c>
      <c r="BV602" s="81">
        <v>500</v>
      </c>
      <c r="BW602" s="81"/>
      <c r="BX602" s="81" t="s">
        <v>1287</v>
      </c>
      <c r="BY602" s="81"/>
      <c r="BZ602" s="81">
        <f>2.6*5</f>
        <v>13</v>
      </c>
      <c r="CA602">
        <f t="shared" si="149"/>
        <v>2.5649493574615367</v>
      </c>
    </row>
    <row r="603" spans="1:80" x14ac:dyDescent="0.3">
      <c r="A603" s="2" t="s">
        <v>1436</v>
      </c>
      <c r="B603" s="13"/>
      <c r="C603" s="13"/>
      <c r="D603" s="2"/>
      <c r="E603" s="2" t="s">
        <v>265</v>
      </c>
      <c r="F603" s="32" t="s">
        <v>527</v>
      </c>
      <c r="G603" s="1" t="s">
        <v>609</v>
      </c>
      <c r="I603" s="2"/>
      <c r="J603" s="25">
        <v>4</v>
      </c>
      <c r="K603">
        <v>4</v>
      </c>
      <c r="L603">
        <v>0</v>
      </c>
      <c r="M603" s="2"/>
      <c r="N603" s="2"/>
      <c r="O603" s="2"/>
      <c r="P603" s="2"/>
      <c r="Q603" s="2"/>
      <c r="R603" s="25">
        <v>7.8084429999999996</v>
      </c>
      <c r="S603" s="25">
        <v>7.8548809999999998</v>
      </c>
      <c r="T603" s="25">
        <v>15.19056011</v>
      </c>
      <c r="U603">
        <v>3.8801999999999999</v>
      </c>
      <c r="V603">
        <v>29.507999999999999</v>
      </c>
      <c r="W603">
        <v>7.7140000000000004</v>
      </c>
      <c r="X603">
        <v>0</v>
      </c>
      <c r="AA603" s="2"/>
      <c r="AB603">
        <v>20</v>
      </c>
      <c r="AC603" s="55">
        <f t="shared" si="141"/>
        <v>0</v>
      </c>
      <c r="AD603" s="57">
        <v>924.74694800021894</v>
      </c>
      <c r="AE603" s="55">
        <v>883.22940750240002</v>
      </c>
      <c r="AF603" s="55">
        <v>0</v>
      </c>
      <c r="AG603" s="52"/>
      <c r="AH603" s="51">
        <v>8.6510153045653584E-2</v>
      </c>
      <c r="AI603" s="52">
        <v>9.0576694254581439E-2</v>
      </c>
      <c r="AJ603" s="52"/>
      <c r="AK603" s="28">
        <v>1.75</v>
      </c>
      <c r="AL603" s="28">
        <v>2.5</v>
      </c>
      <c r="AM603" s="28">
        <v>0.75</v>
      </c>
      <c r="AN603" s="28">
        <v>0</v>
      </c>
      <c r="AO603" s="28">
        <v>0.35</v>
      </c>
      <c r="AP603" s="28">
        <v>0.5</v>
      </c>
      <c r="AQ603" s="28">
        <v>0.15</v>
      </c>
      <c r="AR603" s="28">
        <v>0</v>
      </c>
      <c r="AS603" s="25">
        <v>0.82</v>
      </c>
      <c r="AT603" s="25">
        <v>3.44</v>
      </c>
      <c r="AU603" s="25">
        <v>2.62</v>
      </c>
      <c r="AV603" s="25">
        <v>2.6262500000000002</v>
      </c>
      <c r="AW603">
        <v>2.6262500000000002</v>
      </c>
      <c r="AX603">
        <v>5.96680968125</v>
      </c>
      <c r="AY603" s="75">
        <v>0.50555206026575039</v>
      </c>
      <c r="AZ603" s="75">
        <v>0</v>
      </c>
      <c r="BA603" s="75"/>
      <c r="BC603">
        <v>4.3255076522826792E-2</v>
      </c>
      <c r="BD603">
        <v>4.5288347127290719E-2</v>
      </c>
      <c r="BF603">
        <v>8.8543423650117511E-2</v>
      </c>
      <c r="BG603">
        <v>4.4271711825058763E-2</v>
      </c>
      <c r="BH603">
        <v>0.2527760301328752</v>
      </c>
      <c r="BI603" s="79" t="s">
        <v>1435</v>
      </c>
      <c r="BJ603" s="79">
        <v>1473</v>
      </c>
      <c r="BK603" s="79">
        <v>10</v>
      </c>
      <c r="BM603" s="79" t="s">
        <v>464</v>
      </c>
      <c r="BN603" s="79" t="s">
        <v>464</v>
      </c>
      <c r="BO603" s="79">
        <v>0</v>
      </c>
      <c r="BP603" s="81">
        <v>84</v>
      </c>
      <c r="BQ603" s="79">
        <v>3.3300000000000003E-2</v>
      </c>
      <c r="BR603" s="79">
        <v>10</v>
      </c>
      <c r="BS603" s="79" t="s">
        <v>464</v>
      </c>
      <c r="BT603" s="79" t="s">
        <v>464</v>
      </c>
      <c r="BU603" s="79" t="s">
        <v>1271</v>
      </c>
      <c r="BV603" s="79">
        <v>500</v>
      </c>
      <c r="BX603" s="79" t="s">
        <v>1287</v>
      </c>
      <c r="BZ603" s="81">
        <v>46</v>
      </c>
      <c r="CA603">
        <f t="shared" si="149"/>
        <v>3.8286413964890951</v>
      </c>
    </row>
    <row r="604" spans="1:80" x14ac:dyDescent="0.3">
      <c r="A604" s="2" t="s">
        <v>1437</v>
      </c>
      <c r="B604" s="13"/>
      <c r="C604" s="13"/>
      <c r="D604" s="2"/>
      <c r="E604" s="2" t="s">
        <v>265</v>
      </c>
      <c r="F604" s="32" t="s">
        <v>527</v>
      </c>
      <c r="G604" s="1" t="s">
        <v>609</v>
      </c>
      <c r="I604" s="2"/>
      <c r="J604" s="25">
        <v>4</v>
      </c>
      <c r="K604">
        <v>4</v>
      </c>
      <c r="L604">
        <v>0</v>
      </c>
      <c r="M604" s="2"/>
      <c r="N604" s="2"/>
      <c r="O604" s="2"/>
      <c r="P604" s="2"/>
      <c r="Q604" s="2"/>
      <c r="R604" s="25">
        <v>7.8084429999999996</v>
      </c>
      <c r="S604" s="25">
        <v>7.8548809999999998</v>
      </c>
      <c r="T604" s="25">
        <v>15.19056011</v>
      </c>
      <c r="U604">
        <v>3.8801999999999999</v>
      </c>
      <c r="V604">
        <v>29.507999999999999</v>
      </c>
      <c r="W604">
        <v>7.7140000000000004</v>
      </c>
      <c r="X604">
        <v>0</v>
      </c>
      <c r="AA604" s="2"/>
      <c r="AB604">
        <v>20</v>
      </c>
      <c r="AC604" s="55">
        <f t="shared" ref="AC604" si="161">M604*N604*O604</f>
        <v>0</v>
      </c>
      <c r="AD604" s="57">
        <v>924.74694800021894</v>
      </c>
      <c r="AE604" s="55">
        <v>883.22940750240002</v>
      </c>
      <c r="AF604" s="55">
        <v>0</v>
      </c>
      <c r="AG604" s="52"/>
      <c r="AH604" s="51">
        <v>8.6510153045653584E-2</v>
      </c>
      <c r="AI604" s="52">
        <v>9.0576694254581439E-2</v>
      </c>
      <c r="AJ604" s="52"/>
      <c r="AK604" s="28">
        <v>1.75</v>
      </c>
      <c r="AL604" s="28">
        <v>2.5</v>
      </c>
      <c r="AM604" s="28">
        <v>0.75</v>
      </c>
      <c r="AN604" s="28">
        <v>0</v>
      </c>
      <c r="AO604" s="28">
        <v>0.35</v>
      </c>
      <c r="AP604" s="28">
        <v>0.5</v>
      </c>
      <c r="AQ604" s="28">
        <v>0.15</v>
      </c>
      <c r="AR604" s="28">
        <v>0</v>
      </c>
      <c r="AS604" s="25">
        <v>0.82</v>
      </c>
      <c r="AT604" s="25">
        <v>3.44</v>
      </c>
      <c r="AU604" s="25">
        <v>2.62</v>
      </c>
      <c r="AV604" s="25">
        <v>2.6262500000000002</v>
      </c>
      <c r="AW604">
        <v>2.6262500000000002</v>
      </c>
      <c r="AX604">
        <v>5.96680968125</v>
      </c>
      <c r="AY604" s="75">
        <v>0.50555206026575039</v>
      </c>
      <c r="AZ604" s="75">
        <v>0</v>
      </c>
      <c r="BA604" s="75"/>
      <c r="BC604">
        <v>4.3255076522826792E-2</v>
      </c>
      <c r="BD604">
        <v>4.5288347127290719E-2</v>
      </c>
      <c r="BF604">
        <v>8.8543423650117511E-2</v>
      </c>
      <c r="BG604">
        <v>4.4271711825058763E-2</v>
      </c>
      <c r="BH604">
        <v>0.2527760301328752</v>
      </c>
      <c r="BI604" s="79" t="s">
        <v>1435</v>
      </c>
      <c r="BJ604" s="79">
        <v>1473</v>
      </c>
      <c r="BK604" s="79">
        <v>10</v>
      </c>
      <c r="BM604" s="79" t="s">
        <v>464</v>
      </c>
      <c r="BN604" s="79" t="s">
        <v>464</v>
      </c>
      <c r="BO604" s="79">
        <v>0</v>
      </c>
      <c r="BP604" s="81">
        <v>84</v>
      </c>
      <c r="BQ604" s="79">
        <v>3.3300000000000003E-2</v>
      </c>
      <c r="BR604" s="79">
        <v>10</v>
      </c>
      <c r="BS604" s="79" t="s">
        <v>464</v>
      </c>
      <c r="BT604" s="79" t="s">
        <v>464</v>
      </c>
      <c r="BU604" s="79" t="s">
        <v>1271</v>
      </c>
      <c r="BV604" s="79">
        <v>500</v>
      </c>
      <c r="BX604" s="79" t="s">
        <v>1287</v>
      </c>
      <c r="BZ604" s="81">
        <v>6976</v>
      </c>
      <c r="CA604">
        <f t="shared" si="149"/>
        <v>8.8502309655888158</v>
      </c>
    </row>
    <row r="605" spans="1:80" x14ac:dyDescent="0.3">
      <c r="A605" s="2" t="s">
        <v>63</v>
      </c>
      <c r="B605" s="13"/>
      <c r="C605" s="13"/>
      <c r="D605" s="2"/>
      <c r="E605" s="2" t="s">
        <v>265</v>
      </c>
      <c r="F605" s="32" t="s">
        <v>527</v>
      </c>
      <c r="G605" s="1" t="s">
        <v>609</v>
      </c>
      <c r="I605" s="2"/>
      <c r="J605" s="25">
        <v>4</v>
      </c>
      <c r="K605">
        <v>4</v>
      </c>
      <c r="L605">
        <v>0</v>
      </c>
      <c r="M605" s="2"/>
      <c r="N605" s="2"/>
      <c r="O605" s="2"/>
      <c r="P605" s="2"/>
      <c r="Q605" s="2"/>
      <c r="R605" s="25">
        <v>7.8084429999999996</v>
      </c>
      <c r="S605" s="25">
        <v>7.8548809999999998</v>
      </c>
      <c r="T605" s="25">
        <v>15.19056011</v>
      </c>
      <c r="U605">
        <v>3.8801999999999999</v>
      </c>
      <c r="V605">
        <v>29.507999999999999</v>
      </c>
      <c r="W605">
        <v>7.7140000000000004</v>
      </c>
      <c r="X605">
        <v>0</v>
      </c>
      <c r="AA605" s="2"/>
      <c r="AB605">
        <v>20</v>
      </c>
      <c r="AC605" s="55">
        <f t="shared" ref="AC605:AC606" si="162">M605*N605*O605</f>
        <v>0</v>
      </c>
      <c r="AD605" s="57">
        <v>924.74694800021894</v>
      </c>
      <c r="AE605" s="55">
        <v>883.22940750240002</v>
      </c>
      <c r="AF605" s="55">
        <v>0</v>
      </c>
      <c r="AG605" s="52"/>
      <c r="AH605" s="51">
        <v>8.6510153045653584E-2</v>
      </c>
      <c r="AI605" s="52">
        <v>9.0576694254581439E-2</v>
      </c>
      <c r="AJ605" s="52"/>
      <c r="AK605" s="28">
        <v>1.75</v>
      </c>
      <c r="AL605" s="28">
        <v>2.5</v>
      </c>
      <c r="AM605" s="28">
        <v>0.75</v>
      </c>
      <c r="AN605" s="28">
        <v>0</v>
      </c>
      <c r="AO605" s="28">
        <v>0.35</v>
      </c>
      <c r="AP605" s="28">
        <v>0.5</v>
      </c>
      <c r="AQ605" s="28">
        <v>0.15</v>
      </c>
      <c r="AR605" s="28">
        <v>0</v>
      </c>
      <c r="AS605" s="25">
        <v>0.82</v>
      </c>
      <c r="AT605" s="25">
        <v>3.44</v>
      </c>
      <c r="AU605" s="25">
        <v>2.62</v>
      </c>
      <c r="AV605" s="25">
        <v>2.6262500000000002</v>
      </c>
      <c r="AW605">
        <v>2.6262500000000002</v>
      </c>
      <c r="AX605">
        <v>5.96680968125</v>
      </c>
      <c r="AY605" s="75">
        <v>0.50555206026575039</v>
      </c>
      <c r="AZ605" s="75">
        <v>0</v>
      </c>
      <c r="BA605" s="75"/>
      <c r="BC605">
        <v>4.3255076522826792E-2</v>
      </c>
      <c r="BD605">
        <v>4.5288347127290719E-2</v>
      </c>
      <c r="BF605">
        <v>8.8543423650117511E-2</v>
      </c>
      <c r="BG605">
        <v>4.4271711825058763E-2</v>
      </c>
      <c r="BH605">
        <v>0.2527760301328752</v>
      </c>
      <c r="BI605" s="79" t="s">
        <v>1435</v>
      </c>
      <c r="BJ605" s="79">
        <v>1473</v>
      </c>
      <c r="BK605" s="79">
        <v>10</v>
      </c>
      <c r="BM605" s="79" t="s">
        <v>1268</v>
      </c>
      <c r="BN605" s="79" t="s">
        <v>890</v>
      </c>
      <c r="BO605" s="79">
        <v>1</v>
      </c>
      <c r="BP605" s="81">
        <v>84</v>
      </c>
      <c r="BQ605" s="79">
        <v>3.3300000000000003E-2</v>
      </c>
      <c r="BR605" s="79">
        <v>10</v>
      </c>
      <c r="BS605" s="79" t="s">
        <v>464</v>
      </c>
      <c r="BT605" s="79" t="s">
        <v>464</v>
      </c>
      <c r="BU605" s="79" t="s">
        <v>1271</v>
      </c>
      <c r="BV605" s="79">
        <v>500</v>
      </c>
      <c r="BX605" s="79" t="s">
        <v>1287</v>
      </c>
      <c r="BZ605" s="81">
        <v>4984</v>
      </c>
      <c r="CA605">
        <f t="shared" si="149"/>
        <v>8.5139880604672893</v>
      </c>
    </row>
    <row r="606" spans="1:80" x14ac:dyDescent="0.3">
      <c r="A606" s="2" t="s">
        <v>63</v>
      </c>
      <c r="B606" s="13"/>
      <c r="C606" s="13"/>
      <c r="D606" s="2"/>
      <c r="E606" s="2" t="s">
        <v>265</v>
      </c>
      <c r="F606" s="32" t="s">
        <v>527</v>
      </c>
      <c r="G606" s="1" t="s">
        <v>609</v>
      </c>
      <c r="I606" s="2"/>
      <c r="J606" s="25">
        <v>4</v>
      </c>
      <c r="K606">
        <v>4</v>
      </c>
      <c r="L606">
        <v>0</v>
      </c>
      <c r="M606" s="2"/>
      <c r="N606" s="2"/>
      <c r="O606" s="2"/>
      <c r="P606" s="2"/>
      <c r="Q606" s="2"/>
      <c r="R606" s="25">
        <v>7.8084429999999996</v>
      </c>
      <c r="S606" s="25">
        <v>7.8548809999999998</v>
      </c>
      <c r="T606" s="25">
        <v>15.19056011</v>
      </c>
      <c r="U606">
        <v>3.8801999999999999</v>
      </c>
      <c r="V606">
        <v>29.507999999999999</v>
      </c>
      <c r="W606">
        <v>7.7140000000000004</v>
      </c>
      <c r="X606">
        <v>0</v>
      </c>
      <c r="AA606" s="2"/>
      <c r="AB606">
        <v>20</v>
      </c>
      <c r="AC606" s="55">
        <f t="shared" si="162"/>
        <v>0</v>
      </c>
      <c r="AD606" s="57">
        <v>924.74694800021894</v>
      </c>
      <c r="AE606" s="55">
        <v>883.22940750240002</v>
      </c>
      <c r="AF606" s="55">
        <v>0</v>
      </c>
      <c r="AG606" s="52"/>
      <c r="AH606" s="51">
        <v>8.6510153045653584E-2</v>
      </c>
      <c r="AI606" s="52">
        <v>9.0576694254581439E-2</v>
      </c>
      <c r="AJ606" s="52"/>
      <c r="AK606" s="28">
        <v>1.75</v>
      </c>
      <c r="AL606" s="28">
        <v>2.5</v>
      </c>
      <c r="AM606" s="28">
        <v>0.75</v>
      </c>
      <c r="AN606" s="28">
        <v>0</v>
      </c>
      <c r="AO606" s="28">
        <v>0.35</v>
      </c>
      <c r="AP606" s="28">
        <v>0.5</v>
      </c>
      <c r="AQ606" s="28">
        <v>0.15</v>
      </c>
      <c r="AR606" s="28">
        <v>0</v>
      </c>
      <c r="AS606" s="25">
        <v>0.82</v>
      </c>
      <c r="AT606" s="25">
        <v>3.44</v>
      </c>
      <c r="AU606" s="25">
        <v>2.62</v>
      </c>
      <c r="AV606" s="25">
        <v>2.6262500000000002</v>
      </c>
      <c r="AW606">
        <v>2.6262500000000002</v>
      </c>
      <c r="AX606">
        <v>5.96680968125</v>
      </c>
      <c r="AY606" s="75">
        <v>0.50555206026575039</v>
      </c>
      <c r="AZ606" s="75">
        <v>0</v>
      </c>
      <c r="BA606" s="75"/>
      <c r="BC606">
        <v>4.3255076522826792E-2</v>
      </c>
      <c r="BD606">
        <v>4.5288347127290719E-2</v>
      </c>
      <c r="BF606">
        <v>8.8543423650117511E-2</v>
      </c>
      <c r="BG606">
        <v>4.4271711825058763E-2</v>
      </c>
      <c r="BH606">
        <v>0.2527760301328752</v>
      </c>
      <c r="BI606" s="79" t="s">
        <v>1435</v>
      </c>
      <c r="BJ606" s="79">
        <v>1473</v>
      </c>
      <c r="BK606" s="79">
        <v>10</v>
      </c>
      <c r="BM606" s="79" t="s">
        <v>464</v>
      </c>
      <c r="BN606" s="79" t="s">
        <v>464</v>
      </c>
      <c r="BO606" s="79">
        <v>0</v>
      </c>
      <c r="BP606" s="81">
        <v>84</v>
      </c>
      <c r="BQ606" s="79">
        <v>3.3300000000000003E-2</v>
      </c>
      <c r="BR606" s="79">
        <v>10</v>
      </c>
      <c r="BS606" s="79" t="s">
        <v>464</v>
      </c>
      <c r="BT606" s="79" t="s">
        <v>464</v>
      </c>
      <c r="BU606" s="79" t="s">
        <v>1271</v>
      </c>
      <c r="BV606" s="79">
        <v>500</v>
      </c>
      <c r="BX606" s="79" t="s">
        <v>1287</v>
      </c>
      <c r="BZ606" s="81">
        <v>400</v>
      </c>
      <c r="CA606">
        <f t="shared" si="149"/>
        <v>5.9914645471079817</v>
      </c>
      <c r="CB606" s="2"/>
    </row>
    <row r="607" spans="1:80" x14ac:dyDescent="0.3">
      <c r="A607" s="2" t="s">
        <v>1438</v>
      </c>
      <c r="B607" s="13"/>
      <c r="C607" s="13"/>
      <c r="D607" s="2"/>
      <c r="E607" s="2" t="s">
        <v>265</v>
      </c>
      <c r="F607" s="32" t="s">
        <v>527</v>
      </c>
      <c r="G607" s="1" t="s">
        <v>609</v>
      </c>
      <c r="I607" s="2"/>
      <c r="J607" s="25">
        <v>4</v>
      </c>
      <c r="K607">
        <v>4</v>
      </c>
      <c r="L607">
        <v>0</v>
      </c>
      <c r="M607" s="2"/>
      <c r="N607" s="2"/>
      <c r="O607" s="2"/>
      <c r="P607" s="2"/>
      <c r="Q607" s="2"/>
      <c r="R607" s="25">
        <v>7.8084429999999996</v>
      </c>
      <c r="S607" s="25">
        <v>7.8548809999999998</v>
      </c>
      <c r="T607" s="25">
        <v>15.19056011</v>
      </c>
      <c r="U607">
        <v>3.8801999999999999</v>
      </c>
      <c r="V607">
        <v>29.507999999999999</v>
      </c>
      <c r="W607">
        <v>7.7140000000000004</v>
      </c>
      <c r="X607">
        <v>0</v>
      </c>
      <c r="AA607" s="2"/>
      <c r="AB607">
        <v>20</v>
      </c>
      <c r="AC607" s="55">
        <f t="shared" ref="AC607:AC608" si="163">M607*N607*O607</f>
        <v>0</v>
      </c>
      <c r="AD607" s="57">
        <v>924.74694800021894</v>
      </c>
      <c r="AE607" s="55">
        <v>883.22940750240002</v>
      </c>
      <c r="AF607" s="55">
        <v>0</v>
      </c>
      <c r="AG607" s="52"/>
      <c r="AH607" s="51">
        <v>8.6510153045653584E-2</v>
      </c>
      <c r="AI607" s="52">
        <v>9.0576694254581439E-2</v>
      </c>
      <c r="AJ607" s="52"/>
      <c r="AK607" s="28">
        <v>1.75</v>
      </c>
      <c r="AL607" s="28">
        <v>2.5</v>
      </c>
      <c r="AM607" s="28">
        <v>0.75</v>
      </c>
      <c r="AN607" s="28">
        <v>0</v>
      </c>
      <c r="AO607" s="28">
        <v>0.35</v>
      </c>
      <c r="AP607" s="28">
        <v>0.5</v>
      </c>
      <c r="AQ607" s="28">
        <v>0.15</v>
      </c>
      <c r="AR607" s="28">
        <v>0</v>
      </c>
      <c r="AS607" s="25">
        <v>0.82</v>
      </c>
      <c r="AT607" s="25">
        <v>3.44</v>
      </c>
      <c r="AU607" s="25">
        <v>2.62</v>
      </c>
      <c r="AV607" s="25">
        <v>2.6262500000000002</v>
      </c>
      <c r="AW607">
        <v>2.6262500000000002</v>
      </c>
      <c r="AX607">
        <v>5.96680968125</v>
      </c>
      <c r="AY607" s="75">
        <v>0.50555206026575039</v>
      </c>
      <c r="AZ607" s="75">
        <v>0</v>
      </c>
      <c r="BA607" s="75"/>
      <c r="BC607">
        <v>4.3255076522826792E-2</v>
      </c>
      <c r="BD607">
        <v>4.5288347127290719E-2</v>
      </c>
      <c r="BF607">
        <v>8.8543423650117511E-2</v>
      </c>
      <c r="BG607">
        <v>4.4271711825058763E-2</v>
      </c>
      <c r="BH607">
        <v>0.2527760301328752</v>
      </c>
      <c r="BI607" s="79" t="s">
        <v>1435</v>
      </c>
      <c r="BJ607" s="79">
        <v>1473</v>
      </c>
      <c r="BK607" s="79">
        <v>10</v>
      </c>
      <c r="BM607" s="79" t="s">
        <v>464</v>
      </c>
      <c r="BN607" s="79" t="s">
        <v>464</v>
      </c>
      <c r="BO607" s="79">
        <v>0</v>
      </c>
      <c r="BP607" s="81">
        <v>84</v>
      </c>
      <c r="BQ607" s="79">
        <v>3.3300000000000003E-2</v>
      </c>
      <c r="BR607" s="79">
        <v>10</v>
      </c>
      <c r="BS607" s="79" t="s">
        <v>464</v>
      </c>
      <c r="BT607" s="79" t="s">
        <v>464</v>
      </c>
      <c r="BU607" s="79" t="s">
        <v>1271</v>
      </c>
      <c r="BV607" s="79">
        <v>500</v>
      </c>
      <c r="BX607" s="79" t="s">
        <v>1287</v>
      </c>
      <c r="BZ607" s="81">
        <v>3800</v>
      </c>
      <c r="CA607">
        <f t="shared" si="149"/>
        <v>8.2427563457144775</v>
      </c>
      <c r="CB607" s="2"/>
    </row>
    <row r="608" spans="1:80" x14ac:dyDescent="0.3">
      <c r="A608" s="2" t="s">
        <v>1439</v>
      </c>
      <c r="B608" s="13"/>
      <c r="C608" s="13"/>
      <c r="D608" s="2"/>
      <c r="E608" s="2" t="s">
        <v>265</v>
      </c>
      <c r="F608" s="32" t="s">
        <v>527</v>
      </c>
      <c r="G608" s="1" t="s">
        <v>609</v>
      </c>
      <c r="I608" s="2"/>
      <c r="J608" s="25">
        <v>4</v>
      </c>
      <c r="K608">
        <v>4</v>
      </c>
      <c r="L608">
        <v>0</v>
      </c>
      <c r="M608" s="2"/>
      <c r="N608" s="2"/>
      <c r="O608" s="2"/>
      <c r="P608" s="2"/>
      <c r="Q608" s="2"/>
      <c r="R608" s="25">
        <v>7.8084429999999996</v>
      </c>
      <c r="S608" s="25">
        <v>7.8548809999999998</v>
      </c>
      <c r="T608" s="25">
        <v>15.19056011</v>
      </c>
      <c r="U608">
        <v>3.8801999999999999</v>
      </c>
      <c r="V608">
        <v>29.507999999999999</v>
      </c>
      <c r="W608">
        <v>7.7140000000000004</v>
      </c>
      <c r="X608">
        <v>0</v>
      </c>
      <c r="AA608" s="2"/>
      <c r="AB608">
        <v>20</v>
      </c>
      <c r="AC608" s="55">
        <f t="shared" si="163"/>
        <v>0</v>
      </c>
      <c r="AD608" s="57">
        <v>924.74694800021894</v>
      </c>
      <c r="AE608" s="55">
        <v>883.22940750240002</v>
      </c>
      <c r="AF608" s="55">
        <v>0</v>
      </c>
      <c r="AG608" s="52"/>
      <c r="AH608" s="51">
        <v>8.6510153045653584E-2</v>
      </c>
      <c r="AI608" s="52">
        <v>9.0576694254581439E-2</v>
      </c>
      <c r="AJ608" s="52"/>
      <c r="AK608" s="28">
        <v>1.75</v>
      </c>
      <c r="AL608" s="28">
        <v>2.5</v>
      </c>
      <c r="AM608" s="28">
        <v>0.75</v>
      </c>
      <c r="AN608" s="28">
        <v>0</v>
      </c>
      <c r="AO608" s="28">
        <v>0.35</v>
      </c>
      <c r="AP608" s="28">
        <v>0.5</v>
      </c>
      <c r="AQ608" s="28">
        <v>0.15</v>
      </c>
      <c r="AR608" s="28">
        <v>0</v>
      </c>
      <c r="AS608" s="25">
        <v>0.82</v>
      </c>
      <c r="AT608" s="25">
        <v>3.44</v>
      </c>
      <c r="AU608" s="25">
        <v>2.62</v>
      </c>
      <c r="AV608" s="25">
        <v>2.6262500000000002</v>
      </c>
      <c r="AW608">
        <v>2.6262500000000002</v>
      </c>
      <c r="AX608">
        <v>5.96680968125</v>
      </c>
      <c r="AY608" s="75">
        <v>0.50555206026575039</v>
      </c>
      <c r="AZ608" s="75">
        <v>0</v>
      </c>
      <c r="BA608" s="75"/>
      <c r="BC608">
        <v>4.3255076522826792E-2</v>
      </c>
      <c r="BD608">
        <v>4.5288347127290719E-2</v>
      </c>
      <c r="BF608">
        <v>8.8543423650117511E-2</v>
      </c>
      <c r="BG608">
        <v>4.4271711825058763E-2</v>
      </c>
      <c r="BH608">
        <v>0.2527760301328752</v>
      </c>
      <c r="BI608" s="79" t="s">
        <v>1435</v>
      </c>
      <c r="BJ608" s="79">
        <v>1473</v>
      </c>
      <c r="BK608" s="79">
        <v>10</v>
      </c>
      <c r="BM608" s="79" t="s">
        <v>464</v>
      </c>
      <c r="BN608" s="79" t="s">
        <v>464</v>
      </c>
      <c r="BO608" s="79">
        <v>0</v>
      </c>
      <c r="BP608" s="81">
        <v>84</v>
      </c>
      <c r="BQ608" s="79">
        <v>3.3300000000000003E-2</v>
      </c>
      <c r="BR608" s="79">
        <v>10</v>
      </c>
      <c r="BS608" s="79" t="s">
        <v>464</v>
      </c>
      <c r="BT608" s="79" t="s">
        <v>464</v>
      </c>
      <c r="BU608" s="79" t="s">
        <v>1271</v>
      </c>
      <c r="BV608" s="79">
        <v>500</v>
      </c>
      <c r="BX608" s="79" t="s">
        <v>1287</v>
      </c>
      <c r="BZ608" s="81">
        <v>7400</v>
      </c>
      <c r="CA608">
        <f t="shared" si="149"/>
        <v>8.9092352791922611</v>
      </c>
      <c r="CB608" s="2"/>
    </row>
    <row r="609" spans="1:80" x14ac:dyDescent="0.3">
      <c r="A609" s="2" t="s">
        <v>1440</v>
      </c>
      <c r="B609" s="13"/>
      <c r="C609" s="13"/>
      <c r="D609" s="2"/>
      <c r="E609" s="2" t="s">
        <v>265</v>
      </c>
      <c r="F609" s="32" t="s">
        <v>527</v>
      </c>
      <c r="G609" s="1" t="s">
        <v>609</v>
      </c>
      <c r="I609" s="2"/>
      <c r="J609" s="25">
        <v>4</v>
      </c>
      <c r="K609">
        <v>4</v>
      </c>
      <c r="L609">
        <v>0</v>
      </c>
      <c r="M609" s="2"/>
      <c r="N609" s="2"/>
      <c r="O609" s="2"/>
      <c r="P609" s="2"/>
      <c r="Q609" s="2"/>
      <c r="R609" s="25">
        <v>7.8084429999999996</v>
      </c>
      <c r="S609" s="25">
        <v>7.8548809999999998</v>
      </c>
      <c r="T609" s="25">
        <v>15.19056011</v>
      </c>
      <c r="U609">
        <v>3.8801999999999999</v>
      </c>
      <c r="V609">
        <v>29.507999999999999</v>
      </c>
      <c r="W609">
        <v>7.7140000000000004</v>
      </c>
      <c r="X609">
        <v>0</v>
      </c>
      <c r="AA609" s="2"/>
      <c r="AB609">
        <v>20</v>
      </c>
      <c r="AC609" s="55">
        <f t="shared" ref="AC609" si="164">M609*N609*O609</f>
        <v>0</v>
      </c>
      <c r="AD609" s="57">
        <v>924.74694800021894</v>
      </c>
      <c r="AE609" s="55">
        <v>883.22940750240002</v>
      </c>
      <c r="AF609" s="55">
        <v>0</v>
      </c>
      <c r="AG609" s="52"/>
      <c r="AH609" s="51">
        <v>8.6510153045653584E-2</v>
      </c>
      <c r="AI609" s="52">
        <v>9.0576694254581439E-2</v>
      </c>
      <c r="AJ609" s="52"/>
      <c r="AK609" s="28">
        <v>1.75</v>
      </c>
      <c r="AL609" s="28">
        <v>2.5</v>
      </c>
      <c r="AM609" s="28">
        <v>0.75</v>
      </c>
      <c r="AN609" s="28">
        <v>0</v>
      </c>
      <c r="AO609" s="28">
        <v>0.35</v>
      </c>
      <c r="AP609" s="28">
        <v>0.5</v>
      </c>
      <c r="AQ609" s="28">
        <v>0.15</v>
      </c>
      <c r="AR609" s="28">
        <v>0</v>
      </c>
      <c r="AS609" s="25">
        <v>0.82</v>
      </c>
      <c r="AT609" s="25">
        <v>3.44</v>
      </c>
      <c r="AU609" s="25">
        <v>2.62</v>
      </c>
      <c r="AV609" s="25">
        <v>2.6262500000000002</v>
      </c>
      <c r="AW609">
        <v>2.6262500000000002</v>
      </c>
      <c r="AX609">
        <v>5.96680968125</v>
      </c>
      <c r="AY609" s="75">
        <v>0.50555206026575039</v>
      </c>
      <c r="AZ609" s="75">
        <v>0</v>
      </c>
      <c r="BA609" s="75"/>
      <c r="BC609">
        <v>4.3255076522826792E-2</v>
      </c>
      <c r="BD609">
        <v>4.5288347127290719E-2</v>
      </c>
      <c r="BF609">
        <v>8.8543423650117511E-2</v>
      </c>
      <c r="BG609">
        <v>4.4271711825058763E-2</v>
      </c>
      <c r="BH609">
        <v>0.2527760301328752</v>
      </c>
      <c r="BI609" s="79" t="s">
        <v>1435</v>
      </c>
      <c r="BJ609" s="79">
        <v>1473</v>
      </c>
      <c r="BK609" s="79">
        <v>10</v>
      </c>
      <c r="BM609" s="79" t="s">
        <v>464</v>
      </c>
      <c r="BN609" s="79" t="s">
        <v>464</v>
      </c>
      <c r="BO609" s="79">
        <v>0</v>
      </c>
      <c r="BP609" s="81">
        <v>84</v>
      </c>
      <c r="BQ609" s="79">
        <v>3.3300000000000003E-2</v>
      </c>
      <c r="BR609" s="79">
        <v>10</v>
      </c>
      <c r="BS609" s="79" t="s">
        <v>464</v>
      </c>
      <c r="BT609" s="79" t="s">
        <v>464</v>
      </c>
      <c r="BU609" s="79" t="s">
        <v>1271</v>
      </c>
      <c r="BV609" s="79">
        <v>500</v>
      </c>
      <c r="BX609" s="79" t="s">
        <v>1287</v>
      </c>
      <c r="BZ609" s="81">
        <v>3000</v>
      </c>
      <c r="CA609">
        <f t="shared" si="149"/>
        <v>8.0063675676502459</v>
      </c>
      <c r="CB609" s="2"/>
    </row>
    <row r="610" spans="1:80" x14ac:dyDescent="0.3">
      <c r="A610" s="2" t="s">
        <v>1441</v>
      </c>
      <c r="B610" s="13"/>
      <c r="C610" s="13"/>
      <c r="D610" s="2"/>
      <c r="E610" s="2" t="s">
        <v>265</v>
      </c>
      <c r="F610" s="32" t="s">
        <v>527</v>
      </c>
      <c r="G610" s="1" t="s">
        <v>609</v>
      </c>
      <c r="I610" s="2"/>
      <c r="J610" s="25">
        <v>4</v>
      </c>
      <c r="K610">
        <v>4</v>
      </c>
      <c r="L610">
        <v>0</v>
      </c>
      <c r="M610" s="2"/>
      <c r="N610" s="2"/>
      <c r="O610" s="2"/>
      <c r="P610" s="2"/>
      <c r="Q610" s="2"/>
      <c r="R610" s="25">
        <v>7.8084429999999996</v>
      </c>
      <c r="S610" s="25">
        <v>7.8548809999999998</v>
      </c>
      <c r="T610" s="25">
        <v>15.19056011</v>
      </c>
      <c r="U610">
        <v>3.8801999999999999</v>
      </c>
      <c r="V610">
        <v>29.507999999999999</v>
      </c>
      <c r="W610">
        <v>7.7140000000000004</v>
      </c>
      <c r="X610">
        <v>0</v>
      </c>
      <c r="AA610" s="2"/>
      <c r="AB610">
        <v>20</v>
      </c>
      <c r="AC610" s="55">
        <f t="shared" ref="AC610" si="165">M610*N610*O610</f>
        <v>0</v>
      </c>
      <c r="AD610" s="57">
        <v>924.74694800021894</v>
      </c>
      <c r="AE610" s="55">
        <v>883.22940750240002</v>
      </c>
      <c r="AF610" s="55">
        <v>0</v>
      </c>
      <c r="AG610" s="52"/>
      <c r="AH610" s="51">
        <v>8.6510153045653584E-2</v>
      </c>
      <c r="AI610" s="52">
        <v>9.0576694254581439E-2</v>
      </c>
      <c r="AJ610" s="52"/>
      <c r="AK610" s="28">
        <v>1.75</v>
      </c>
      <c r="AL610" s="28">
        <v>2.5</v>
      </c>
      <c r="AM610" s="28">
        <v>0.75</v>
      </c>
      <c r="AN610" s="28">
        <v>0</v>
      </c>
      <c r="AO610" s="28">
        <v>0.35</v>
      </c>
      <c r="AP610" s="28">
        <v>0.5</v>
      </c>
      <c r="AQ610" s="28">
        <v>0.15</v>
      </c>
      <c r="AR610" s="28">
        <v>0</v>
      </c>
      <c r="AS610" s="25">
        <v>0.82</v>
      </c>
      <c r="AT610" s="25">
        <v>3.44</v>
      </c>
      <c r="AU610" s="25">
        <v>2.62</v>
      </c>
      <c r="AV610" s="25">
        <v>2.6262500000000002</v>
      </c>
      <c r="AW610">
        <v>2.6262500000000002</v>
      </c>
      <c r="AX610">
        <v>5.96680968125</v>
      </c>
      <c r="AY610" s="75">
        <v>0.50555206026575039</v>
      </c>
      <c r="AZ610" s="75">
        <v>0</v>
      </c>
      <c r="BA610" s="75"/>
      <c r="BC610">
        <v>4.3255076522826792E-2</v>
      </c>
      <c r="BD610">
        <v>4.5288347127290719E-2</v>
      </c>
      <c r="BF610">
        <v>8.8543423650117511E-2</v>
      </c>
      <c r="BG610">
        <v>4.4271711825058763E-2</v>
      </c>
      <c r="BH610">
        <v>0.2527760301328752</v>
      </c>
      <c r="BI610" s="79" t="s">
        <v>1435</v>
      </c>
      <c r="BJ610" s="79">
        <v>1473</v>
      </c>
      <c r="BK610" s="79">
        <v>10</v>
      </c>
      <c r="BM610" s="79" t="s">
        <v>464</v>
      </c>
      <c r="BN610" s="79" t="s">
        <v>464</v>
      </c>
      <c r="BO610" s="79">
        <v>0</v>
      </c>
      <c r="BP610" s="81">
        <v>84</v>
      </c>
      <c r="BQ610" s="79">
        <v>3.3300000000000003E-2</v>
      </c>
      <c r="BR610" s="79">
        <v>10</v>
      </c>
      <c r="BS610" s="79" t="s">
        <v>464</v>
      </c>
      <c r="BT610" s="79" t="s">
        <v>464</v>
      </c>
      <c r="BU610" s="79" t="s">
        <v>1271</v>
      </c>
      <c r="BV610" s="79">
        <v>500</v>
      </c>
      <c r="BX610" s="79" t="s">
        <v>1287</v>
      </c>
      <c r="BZ610" s="81">
        <v>1000</v>
      </c>
      <c r="CA610">
        <f t="shared" si="149"/>
        <v>6.9077552789821368</v>
      </c>
      <c r="CB610" s="2"/>
    </row>
    <row r="611" spans="1:80" x14ac:dyDescent="0.3">
      <c r="A611" s="2" t="s">
        <v>63</v>
      </c>
      <c r="B611" s="13"/>
      <c r="C611" s="13"/>
      <c r="D611" s="2"/>
      <c r="E611" s="2" t="s">
        <v>265</v>
      </c>
      <c r="F611" s="32" t="s">
        <v>527</v>
      </c>
      <c r="G611" s="1" t="s">
        <v>609</v>
      </c>
      <c r="I611" s="2"/>
      <c r="J611" s="25">
        <v>4</v>
      </c>
      <c r="K611">
        <v>4</v>
      </c>
      <c r="L611">
        <v>0</v>
      </c>
      <c r="M611" s="2"/>
      <c r="N611" s="2"/>
      <c r="O611" s="2"/>
      <c r="P611" s="2"/>
      <c r="Q611" s="2"/>
      <c r="R611" s="25">
        <v>7.8084429999999996</v>
      </c>
      <c r="S611" s="25">
        <v>7.8548809999999998</v>
      </c>
      <c r="T611" s="25">
        <v>15.19056011</v>
      </c>
      <c r="U611">
        <v>3.8801999999999999</v>
      </c>
      <c r="V611">
        <v>29.507999999999999</v>
      </c>
      <c r="W611">
        <v>7.7140000000000004</v>
      </c>
      <c r="X611">
        <v>0</v>
      </c>
      <c r="AA611" s="2"/>
      <c r="AB611">
        <v>20</v>
      </c>
      <c r="AC611" s="55">
        <f t="shared" ref="AC611:AC612" si="166">M611*N611*O611</f>
        <v>0</v>
      </c>
      <c r="AD611" s="57">
        <v>924.74694800021894</v>
      </c>
      <c r="AE611" s="55">
        <v>883.22940750240002</v>
      </c>
      <c r="AF611" s="55">
        <v>0</v>
      </c>
      <c r="AG611" s="52"/>
      <c r="AH611" s="51">
        <v>8.6510153045653584E-2</v>
      </c>
      <c r="AI611" s="52">
        <v>9.0576694254581439E-2</v>
      </c>
      <c r="AJ611" s="52"/>
      <c r="AK611" s="28">
        <v>1.75</v>
      </c>
      <c r="AL611" s="28">
        <v>2.5</v>
      </c>
      <c r="AM611" s="28">
        <v>0.75</v>
      </c>
      <c r="AN611" s="28">
        <v>0</v>
      </c>
      <c r="AO611" s="28">
        <v>0.35</v>
      </c>
      <c r="AP611" s="28">
        <v>0.5</v>
      </c>
      <c r="AQ611" s="28">
        <v>0.15</v>
      </c>
      <c r="AR611" s="28">
        <v>0</v>
      </c>
      <c r="AS611" s="25">
        <v>0.82</v>
      </c>
      <c r="AT611" s="25">
        <v>3.44</v>
      </c>
      <c r="AU611" s="25">
        <v>2.62</v>
      </c>
      <c r="AV611" s="25">
        <v>2.6262500000000002</v>
      </c>
      <c r="AW611">
        <v>2.6262500000000002</v>
      </c>
      <c r="AX611">
        <v>5.96680968125</v>
      </c>
      <c r="AY611" s="75">
        <v>0.50555206026575039</v>
      </c>
      <c r="AZ611" s="75">
        <v>0</v>
      </c>
      <c r="BA611" s="75"/>
      <c r="BC611">
        <v>4.3255076522826792E-2</v>
      </c>
      <c r="BD611">
        <v>4.5288347127290719E-2</v>
      </c>
      <c r="BF611">
        <v>8.8543423650117511E-2</v>
      </c>
      <c r="BG611">
        <v>4.4271711825058763E-2</v>
      </c>
      <c r="BH611">
        <v>0.2527760301328752</v>
      </c>
      <c r="BI611" s="79" t="s">
        <v>1435</v>
      </c>
      <c r="BJ611" s="79">
        <v>1473</v>
      </c>
      <c r="BK611" s="79">
        <v>10</v>
      </c>
      <c r="BM611" s="79" t="s">
        <v>464</v>
      </c>
      <c r="BN611" s="79" t="s">
        <v>464</v>
      </c>
      <c r="BO611" s="79">
        <v>0</v>
      </c>
      <c r="BQ611" s="79">
        <v>3.3300000000000003E-2</v>
      </c>
      <c r="BR611" s="79">
        <v>10</v>
      </c>
      <c r="BS611" s="79" t="s">
        <v>464</v>
      </c>
      <c r="BT611" s="79" t="s">
        <v>464</v>
      </c>
      <c r="BU611" s="79" t="s">
        <v>1271</v>
      </c>
      <c r="BV611" s="79">
        <v>500</v>
      </c>
      <c r="BX611" s="79" t="s">
        <v>1287</v>
      </c>
      <c r="BZ611" s="81">
        <f>1.6*20</f>
        <v>32</v>
      </c>
      <c r="CA611">
        <f t="shared" si="149"/>
        <v>3.4657359027997265</v>
      </c>
      <c r="CB611" s="2"/>
    </row>
    <row r="612" spans="1:80" x14ac:dyDescent="0.3">
      <c r="A612" s="2" t="s">
        <v>266</v>
      </c>
      <c r="B612" s="13" t="s">
        <v>819</v>
      </c>
      <c r="C612" s="13"/>
      <c r="D612" s="2">
        <v>2.8</v>
      </c>
      <c r="E612" s="2" t="s">
        <v>267</v>
      </c>
      <c r="F612" s="32" t="s">
        <v>596</v>
      </c>
      <c r="G612" s="1" t="s">
        <v>669</v>
      </c>
      <c r="I612" s="2">
        <v>1</v>
      </c>
      <c r="J612" s="25">
        <v>0</v>
      </c>
      <c r="K612">
        <v>0</v>
      </c>
      <c r="L612">
        <v>0</v>
      </c>
      <c r="M612" s="2">
        <v>3.97</v>
      </c>
      <c r="N612" s="2">
        <v>3.97</v>
      </c>
      <c r="O612" s="2">
        <v>15.56</v>
      </c>
      <c r="P612" s="2" t="s">
        <v>519</v>
      </c>
      <c r="Q612" s="2"/>
      <c r="R612" s="25">
        <v>0</v>
      </c>
      <c r="S612" s="25"/>
      <c r="T612" s="25"/>
      <c r="U612">
        <v>0</v>
      </c>
      <c r="X612">
        <v>0</v>
      </c>
      <c r="AA612" s="2"/>
      <c r="AB612">
        <v>20</v>
      </c>
      <c r="AC612" s="55">
        <f t="shared" si="166"/>
        <v>245.23960400000001</v>
      </c>
      <c r="AD612" s="57">
        <v>0</v>
      </c>
      <c r="AE612" s="55">
        <v>0</v>
      </c>
      <c r="AF612" s="55">
        <v>0</v>
      </c>
      <c r="AG612" s="52">
        <f t="shared" ref="AG612" si="167">I612*AB612/AC612</f>
        <v>8.1552896325831611E-2</v>
      </c>
      <c r="AH612" s="51"/>
      <c r="AI612" s="52"/>
      <c r="AJ612" s="52"/>
      <c r="AK612" s="28">
        <v>1.75</v>
      </c>
      <c r="AL612" s="28">
        <v>2.5</v>
      </c>
      <c r="AM612" s="28">
        <v>0.75</v>
      </c>
      <c r="AN612" s="28">
        <v>0</v>
      </c>
      <c r="AO612" s="28">
        <v>0.35</v>
      </c>
      <c r="AP612" s="28">
        <v>0.5</v>
      </c>
      <c r="AQ612" s="28">
        <v>0.15</v>
      </c>
      <c r="AR612" s="28">
        <v>0</v>
      </c>
      <c r="AS612" s="25">
        <v>0.89</v>
      </c>
      <c r="AT612" s="25">
        <v>3.44</v>
      </c>
      <c r="AU612" s="25">
        <v>2.5499999999999998</v>
      </c>
      <c r="AV612" s="25">
        <v>2.69875</v>
      </c>
      <c r="AW612">
        <v>2.69875</v>
      </c>
      <c r="AX612">
        <v>6.2151871187406877</v>
      </c>
      <c r="AY612" s="75"/>
      <c r="AZ612" s="75"/>
      <c r="BA612" s="75"/>
      <c r="BB612">
        <v>4.0776448162915813E-2</v>
      </c>
      <c r="BF612">
        <v>8.1552896325831611E-2</v>
      </c>
      <c r="BG612">
        <v>4.0776448162915813E-2</v>
      </c>
      <c r="BH612">
        <v>0</v>
      </c>
      <c r="BI612" s="79" t="s">
        <v>1264</v>
      </c>
      <c r="BM612" s="79" t="s">
        <v>464</v>
      </c>
      <c r="BN612" s="79" t="s">
        <v>464</v>
      </c>
      <c r="BO612" s="79">
        <v>0</v>
      </c>
      <c r="BQ612" s="79">
        <v>0.5</v>
      </c>
      <c r="BR612" s="79">
        <v>1</v>
      </c>
      <c r="BS612" s="79" t="s">
        <v>464</v>
      </c>
      <c r="BT612" s="79" t="s">
        <v>464</v>
      </c>
      <c r="BU612" s="79" t="s">
        <v>1266</v>
      </c>
      <c r="BV612" s="79">
        <v>125</v>
      </c>
      <c r="BW612" s="79">
        <v>220</v>
      </c>
      <c r="BX612" s="79" t="s">
        <v>1287</v>
      </c>
      <c r="BZ612" s="81">
        <v>40</v>
      </c>
      <c r="CA612">
        <f t="shared" si="149"/>
        <v>3.6888794541139363</v>
      </c>
    </row>
    <row r="613" spans="1:80" x14ac:dyDescent="0.3">
      <c r="A613" s="2" t="s">
        <v>266</v>
      </c>
      <c r="B613" s="13" t="s">
        <v>819</v>
      </c>
      <c r="C613" s="13"/>
      <c r="D613" s="2">
        <v>2.8</v>
      </c>
      <c r="E613" s="2" t="s">
        <v>267</v>
      </c>
      <c r="F613" s="32" t="s">
        <v>596</v>
      </c>
      <c r="G613" s="1" t="s">
        <v>669</v>
      </c>
      <c r="I613" s="2">
        <v>1</v>
      </c>
      <c r="J613" s="25">
        <v>0</v>
      </c>
      <c r="K613">
        <v>0</v>
      </c>
      <c r="L613">
        <v>0</v>
      </c>
      <c r="M613" s="2">
        <v>3.97</v>
      </c>
      <c r="N613" s="2">
        <v>3.97</v>
      </c>
      <c r="O613" s="2">
        <v>15.56</v>
      </c>
      <c r="P613" s="2" t="s">
        <v>519</v>
      </c>
      <c r="Q613" s="2"/>
      <c r="R613" s="25">
        <v>0</v>
      </c>
      <c r="S613" s="25"/>
      <c r="T613" s="25"/>
      <c r="U613">
        <v>0</v>
      </c>
      <c r="X613">
        <v>0</v>
      </c>
      <c r="AA613" s="2"/>
      <c r="AB613">
        <v>20</v>
      </c>
      <c r="AC613" s="55">
        <f t="shared" ref="AC613:AC614" si="168">M613*N613*O613</f>
        <v>245.23960400000001</v>
      </c>
      <c r="AD613" s="57">
        <v>0</v>
      </c>
      <c r="AE613" s="55">
        <v>0</v>
      </c>
      <c r="AF613" s="55">
        <v>0</v>
      </c>
      <c r="AG613" s="52">
        <f t="shared" ref="AG613:AG614" si="169">I613*AB613/AC613</f>
        <v>8.1552896325831611E-2</v>
      </c>
      <c r="AH613" s="51"/>
      <c r="AI613" s="52"/>
      <c r="AJ613" s="52"/>
      <c r="AK613" s="28">
        <v>1.75</v>
      </c>
      <c r="AL613" s="28">
        <v>2.5</v>
      </c>
      <c r="AM613" s="28">
        <v>0.75</v>
      </c>
      <c r="AN613" s="28">
        <v>0</v>
      </c>
      <c r="AO613" s="28">
        <v>0.35</v>
      </c>
      <c r="AP613" s="28">
        <v>0.5</v>
      </c>
      <c r="AQ613" s="28">
        <v>0.15</v>
      </c>
      <c r="AR613" s="28">
        <v>0</v>
      </c>
      <c r="AS613" s="25">
        <v>0.89</v>
      </c>
      <c r="AT613" s="25">
        <v>3.44</v>
      </c>
      <c r="AU613" s="25">
        <v>2.5499999999999998</v>
      </c>
      <c r="AV613" s="25">
        <v>2.69875</v>
      </c>
      <c r="AW613">
        <v>2.69875</v>
      </c>
      <c r="AX613">
        <v>6.2151871187406877</v>
      </c>
      <c r="AY613" s="75"/>
      <c r="AZ613" s="75"/>
      <c r="BA613" s="75"/>
      <c r="BB613">
        <v>4.0776448162915813E-2</v>
      </c>
      <c r="BF613">
        <v>8.1552896325831611E-2</v>
      </c>
      <c r="BG613">
        <v>4.0776448162915813E-2</v>
      </c>
      <c r="BH613">
        <v>0</v>
      </c>
      <c r="BI613" s="79" t="s">
        <v>1264</v>
      </c>
      <c r="BM613" s="79" t="s">
        <v>1268</v>
      </c>
      <c r="BN613" s="79" t="s">
        <v>863</v>
      </c>
      <c r="BO613" s="79">
        <v>1</v>
      </c>
      <c r="BQ613" s="79">
        <v>0.5</v>
      </c>
      <c r="BR613" s="79">
        <v>1</v>
      </c>
      <c r="BS613" s="79" t="s">
        <v>464</v>
      </c>
      <c r="BT613" s="79" t="s">
        <v>464</v>
      </c>
      <c r="BU613" s="79" t="s">
        <v>1266</v>
      </c>
      <c r="BV613" s="79">
        <v>125</v>
      </c>
      <c r="BW613" s="79">
        <v>220</v>
      </c>
      <c r="BX613" s="79" t="s">
        <v>1287</v>
      </c>
      <c r="BZ613" s="81">
        <v>270</v>
      </c>
      <c r="CA613">
        <f t="shared" si="149"/>
        <v>5.598421958998375</v>
      </c>
    </row>
    <row r="614" spans="1:80" x14ac:dyDescent="0.3">
      <c r="A614" s="2" t="s">
        <v>266</v>
      </c>
      <c r="B614" s="13" t="s">
        <v>819</v>
      </c>
      <c r="C614" s="13"/>
      <c r="D614" s="2">
        <v>2.8</v>
      </c>
      <c r="E614" s="2" t="s">
        <v>267</v>
      </c>
      <c r="F614" s="32" t="s">
        <v>596</v>
      </c>
      <c r="G614" s="1" t="s">
        <v>669</v>
      </c>
      <c r="I614" s="2">
        <v>1</v>
      </c>
      <c r="J614" s="25">
        <v>0</v>
      </c>
      <c r="K614">
        <v>0</v>
      </c>
      <c r="L614">
        <v>0</v>
      </c>
      <c r="M614" s="2">
        <v>3.97</v>
      </c>
      <c r="N614" s="2">
        <v>3.97</v>
      </c>
      <c r="O614" s="2">
        <v>15.56</v>
      </c>
      <c r="P614" s="2" t="s">
        <v>519</v>
      </c>
      <c r="Q614" s="2"/>
      <c r="R614" s="25">
        <v>0</v>
      </c>
      <c r="S614" s="25"/>
      <c r="T614" s="25"/>
      <c r="U614">
        <v>0</v>
      </c>
      <c r="X614">
        <v>0</v>
      </c>
      <c r="AA614" s="2"/>
      <c r="AB614">
        <v>20</v>
      </c>
      <c r="AC614" s="55">
        <f t="shared" si="168"/>
        <v>245.23960400000001</v>
      </c>
      <c r="AD614" s="57">
        <v>0</v>
      </c>
      <c r="AE614" s="55">
        <v>0</v>
      </c>
      <c r="AF614" s="55">
        <v>0</v>
      </c>
      <c r="AG614" s="52">
        <f t="shared" si="169"/>
        <v>8.1552896325831611E-2</v>
      </c>
      <c r="AH614" s="51"/>
      <c r="AI614" s="52"/>
      <c r="AJ614" s="52"/>
      <c r="AK614" s="28">
        <v>1.75</v>
      </c>
      <c r="AL614" s="28">
        <v>2.5</v>
      </c>
      <c r="AM614" s="28">
        <v>0.75</v>
      </c>
      <c r="AN614" s="28">
        <v>0</v>
      </c>
      <c r="AO614" s="28">
        <v>0.35</v>
      </c>
      <c r="AP614" s="28">
        <v>0.5</v>
      </c>
      <c r="AQ614" s="28">
        <v>0.15</v>
      </c>
      <c r="AR614" s="28">
        <v>0</v>
      </c>
      <c r="AS614" s="25">
        <v>0.89</v>
      </c>
      <c r="AT614" s="25">
        <v>3.44</v>
      </c>
      <c r="AU614" s="25">
        <v>2.5499999999999998</v>
      </c>
      <c r="AV614" s="25">
        <v>2.69875</v>
      </c>
      <c r="AW614">
        <v>2.69875</v>
      </c>
      <c r="AX614">
        <v>6.2151871187406877</v>
      </c>
      <c r="AY614" s="75"/>
      <c r="AZ614" s="75"/>
      <c r="BA614" s="75"/>
      <c r="BB614">
        <v>4.0776448162915813E-2</v>
      </c>
      <c r="BF614">
        <v>8.1552896325831611E-2</v>
      </c>
      <c r="BG614">
        <v>4.0776448162915813E-2</v>
      </c>
      <c r="BH614">
        <v>0</v>
      </c>
      <c r="BI614" s="79" t="s">
        <v>1264</v>
      </c>
      <c r="BM614" s="79" t="s">
        <v>464</v>
      </c>
      <c r="BN614" s="79" t="s">
        <v>464</v>
      </c>
      <c r="BO614" s="79">
        <v>0</v>
      </c>
      <c r="BQ614" s="79">
        <v>0.5</v>
      </c>
      <c r="BR614" s="79">
        <v>1</v>
      </c>
      <c r="BS614" s="79" t="s">
        <v>464</v>
      </c>
      <c r="BT614" s="79" t="s">
        <v>464</v>
      </c>
      <c r="BU614" s="79" t="s">
        <v>1442</v>
      </c>
      <c r="BV614" s="79">
        <v>100</v>
      </c>
      <c r="BW614" s="79">
        <v>425</v>
      </c>
      <c r="BX614" s="79" t="s">
        <v>1287</v>
      </c>
      <c r="BZ614" s="81">
        <v>0.4</v>
      </c>
      <c r="CA614">
        <f t="shared" si="149"/>
        <v>-0.916290731874155</v>
      </c>
    </row>
    <row r="615" spans="1:80" x14ac:dyDescent="0.3">
      <c r="A615" s="2" t="s">
        <v>266</v>
      </c>
      <c r="B615" s="13" t="s">
        <v>819</v>
      </c>
      <c r="C615" s="13"/>
      <c r="D615" s="2">
        <v>2.8</v>
      </c>
      <c r="E615" s="2" t="s">
        <v>267</v>
      </c>
      <c r="F615" s="32" t="s">
        <v>596</v>
      </c>
      <c r="G615" s="1" t="s">
        <v>669</v>
      </c>
      <c r="I615" s="2">
        <v>1</v>
      </c>
      <c r="J615" s="25">
        <v>0</v>
      </c>
      <c r="K615">
        <v>0</v>
      </c>
      <c r="L615">
        <v>0</v>
      </c>
      <c r="M615" s="2">
        <v>3.97</v>
      </c>
      <c r="N615" s="2">
        <v>3.97</v>
      </c>
      <c r="O615" s="2">
        <v>15.56</v>
      </c>
      <c r="P615" s="2" t="s">
        <v>519</v>
      </c>
      <c r="Q615" s="2"/>
      <c r="R615" s="25">
        <v>0</v>
      </c>
      <c r="S615" s="25"/>
      <c r="T615" s="25"/>
      <c r="U615">
        <v>0</v>
      </c>
      <c r="X615">
        <v>0</v>
      </c>
      <c r="AA615" s="2"/>
      <c r="AB615">
        <v>20</v>
      </c>
      <c r="AC615" s="55">
        <f t="shared" ref="AC615" si="170">M615*N615*O615</f>
        <v>245.23960400000001</v>
      </c>
      <c r="AD615" s="57">
        <v>0</v>
      </c>
      <c r="AE615" s="55">
        <v>0</v>
      </c>
      <c r="AF615" s="55">
        <v>0</v>
      </c>
      <c r="AG615" s="52">
        <f t="shared" ref="AG615" si="171">I615*AB615/AC615</f>
        <v>8.1552896325831611E-2</v>
      </c>
      <c r="AH615" s="51"/>
      <c r="AI615" s="52"/>
      <c r="AJ615" s="52"/>
      <c r="AK615" s="28">
        <v>1.75</v>
      </c>
      <c r="AL615" s="28">
        <v>2.5</v>
      </c>
      <c r="AM615" s="28">
        <v>0.75</v>
      </c>
      <c r="AN615" s="28">
        <v>0</v>
      </c>
      <c r="AO615" s="28">
        <v>0.35</v>
      </c>
      <c r="AP615" s="28">
        <v>0.5</v>
      </c>
      <c r="AQ615" s="28">
        <v>0.15</v>
      </c>
      <c r="AR615" s="28">
        <v>0</v>
      </c>
      <c r="AS615" s="25">
        <v>0.89</v>
      </c>
      <c r="AT615" s="25">
        <v>3.44</v>
      </c>
      <c r="AU615" s="25">
        <v>2.5499999999999998</v>
      </c>
      <c r="AV615" s="25">
        <v>2.69875</v>
      </c>
      <c r="AW615">
        <v>2.69875</v>
      </c>
      <c r="AX615">
        <v>6.2151871187406877</v>
      </c>
      <c r="AY615" s="75"/>
      <c r="AZ615" s="75"/>
      <c r="BA615" s="75"/>
      <c r="BB615">
        <v>4.0776448162915813E-2</v>
      </c>
      <c r="BF615">
        <v>8.1552896325831611E-2</v>
      </c>
      <c r="BG615">
        <v>4.0776448162915813E-2</v>
      </c>
      <c r="BH615">
        <v>0</v>
      </c>
      <c r="BI615" s="79" t="s">
        <v>1264</v>
      </c>
      <c r="BM615" s="79" t="s">
        <v>1268</v>
      </c>
      <c r="BN615" s="79" t="s">
        <v>863</v>
      </c>
      <c r="BO615" s="79">
        <v>1</v>
      </c>
      <c r="BQ615" s="79">
        <v>0.5</v>
      </c>
      <c r="BR615" s="79">
        <v>1</v>
      </c>
      <c r="BS615" s="79" t="s">
        <v>464</v>
      </c>
      <c r="BT615" s="79" t="s">
        <v>464</v>
      </c>
      <c r="BU615" s="79" t="s">
        <v>1442</v>
      </c>
      <c r="BV615" s="79">
        <v>100</v>
      </c>
      <c r="BW615" s="79">
        <v>425</v>
      </c>
      <c r="BX615" s="79" t="s">
        <v>1287</v>
      </c>
      <c r="BZ615" s="81">
        <v>0.8</v>
      </c>
      <c r="CA615">
        <f t="shared" si="149"/>
        <v>-0.22314355131420971</v>
      </c>
    </row>
    <row r="616" spans="1:80" x14ac:dyDescent="0.3">
      <c r="A616" s="2" t="s">
        <v>268</v>
      </c>
      <c r="B616" s="13" t="s">
        <v>820</v>
      </c>
      <c r="C616" s="13"/>
      <c r="D616" s="2">
        <v>3.29</v>
      </c>
      <c r="E616" s="2" t="s">
        <v>269</v>
      </c>
      <c r="F616" s="9">
        <v>-1</v>
      </c>
      <c r="G616">
        <v>-1</v>
      </c>
      <c r="I616" s="2">
        <v>1</v>
      </c>
      <c r="J616" s="25">
        <v>0</v>
      </c>
      <c r="K616">
        <v>0</v>
      </c>
      <c r="L616">
        <v>0</v>
      </c>
      <c r="M616" s="2">
        <v>3.89</v>
      </c>
      <c r="N616" s="2">
        <v>3.89</v>
      </c>
      <c r="O616" s="2">
        <v>16.43</v>
      </c>
      <c r="P616" s="2" t="s">
        <v>519</v>
      </c>
      <c r="Q616" s="2"/>
      <c r="R616" s="25">
        <v>0</v>
      </c>
      <c r="S616" s="25"/>
      <c r="T616" s="25"/>
      <c r="U616">
        <v>0</v>
      </c>
      <c r="X616">
        <v>0</v>
      </c>
      <c r="AA616" s="2"/>
      <c r="AB616">
        <v>38</v>
      </c>
      <c r="AC616" s="55">
        <f t="shared" si="141"/>
        <v>248.62040300000001</v>
      </c>
      <c r="AD616" s="57">
        <v>0</v>
      </c>
      <c r="AE616" s="55">
        <v>0</v>
      </c>
      <c r="AF616" s="55">
        <v>0</v>
      </c>
      <c r="AG616" s="52">
        <f t="shared" ref="AG616:AG628" si="172">I616*AB616/AC616</f>
        <v>0.15284344945736411</v>
      </c>
      <c r="AH616" s="51"/>
      <c r="AI616" s="52"/>
      <c r="AJ616" s="52"/>
      <c r="AK616" s="28">
        <v>1.84</v>
      </c>
      <c r="AL616" s="28">
        <v>3.04</v>
      </c>
      <c r="AM616" s="28">
        <v>0.48</v>
      </c>
      <c r="AN616" s="28">
        <v>0</v>
      </c>
      <c r="AO616" s="28">
        <v>0.34328358208955218</v>
      </c>
      <c r="AP616" s="28">
        <v>0.56716417910447758</v>
      </c>
      <c r="AQ616" s="28">
        <v>8.9552238805970144E-2</v>
      </c>
      <c r="AR616" s="28">
        <v>0</v>
      </c>
      <c r="AS616" s="25">
        <v>0.95</v>
      </c>
      <c r="AT616" s="25">
        <v>3.44</v>
      </c>
      <c r="AU616" s="25">
        <v>2.4900000000000002</v>
      </c>
      <c r="AV616" s="25">
        <v>2.9704000000000002</v>
      </c>
      <c r="AW616">
        <v>2.9704000000000002</v>
      </c>
      <c r="AX616">
        <v>6.7075943239940399</v>
      </c>
      <c r="AY616" s="75"/>
      <c r="AZ616" s="75"/>
      <c r="BA616" s="75"/>
      <c r="BB616">
        <v>7.6421724728682056E-2</v>
      </c>
      <c r="BF616">
        <v>0.15284344945736411</v>
      </c>
      <c r="BG616">
        <v>7.6421724728682056E-2</v>
      </c>
      <c r="BH616">
        <v>0</v>
      </c>
      <c r="BI616" s="79" t="s">
        <v>1264</v>
      </c>
      <c r="BJ616" s="79">
        <v>1573</v>
      </c>
      <c r="BK616" s="79">
        <v>10</v>
      </c>
      <c r="BS616" s="79" t="s">
        <v>464</v>
      </c>
      <c r="BT616" s="79" t="s">
        <v>464</v>
      </c>
      <c r="CA616" t="e">
        <f t="shared" si="149"/>
        <v>#NUM!</v>
      </c>
      <c r="CB616" s="2"/>
    </row>
    <row r="617" spans="1:80" x14ac:dyDescent="0.3">
      <c r="A617" s="2" t="s">
        <v>270</v>
      </c>
      <c r="B617" s="18" t="s">
        <v>977</v>
      </c>
      <c r="C617" s="13"/>
      <c r="D617" s="2">
        <v>3.29</v>
      </c>
      <c r="E617" s="2" t="s">
        <v>269</v>
      </c>
      <c r="F617" s="9">
        <v>-1</v>
      </c>
      <c r="G617">
        <v>-1</v>
      </c>
      <c r="I617" s="2">
        <v>1</v>
      </c>
      <c r="J617" s="25">
        <v>0</v>
      </c>
      <c r="K617">
        <v>0</v>
      </c>
      <c r="L617">
        <v>0</v>
      </c>
      <c r="M617" s="2">
        <v>3.9</v>
      </c>
      <c r="N617" s="2">
        <v>3.9</v>
      </c>
      <c r="O617" s="2">
        <v>16.54</v>
      </c>
      <c r="P617" s="2" t="s">
        <v>519</v>
      </c>
      <c r="Q617" s="2"/>
      <c r="R617" s="25">
        <v>0</v>
      </c>
      <c r="S617" s="25"/>
      <c r="T617" s="25"/>
      <c r="U617">
        <v>0</v>
      </c>
      <c r="X617">
        <v>0</v>
      </c>
      <c r="AA617" s="2"/>
      <c r="AB617">
        <v>38</v>
      </c>
      <c r="AC617" s="55">
        <f t="shared" si="141"/>
        <v>251.57339999999996</v>
      </c>
      <c r="AD617" s="57">
        <v>0</v>
      </c>
      <c r="AE617" s="55">
        <v>0</v>
      </c>
      <c r="AF617" s="55">
        <v>0</v>
      </c>
      <c r="AG617" s="52">
        <f t="shared" si="172"/>
        <v>0.15104935577449766</v>
      </c>
      <c r="AH617" s="51"/>
      <c r="AI617" s="52"/>
      <c r="AJ617" s="52"/>
      <c r="AK617" s="28">
        <v>1.71875</v>
      </c>
      <c r="AL617" s="28">
        <v>2.53125</v>
      </c>
      <c r="AM617" s="28">
        <v>0.375</v>
      </c>
      <c r="AN617" s="28">
        <v>0</v>
      </c>
      <c r="AO617" s="28">
        <v>0.3716216216216216</v>
      </c>
      <c r="AP617" s="28">
        <v>0.54729729729729726</v>
      </c>
      <c r="AQ617" s="28">
        <v>8.1081081081081086E-2</v>
      </c>
      <c r="AR617" s="28">
        <v>0</v>
      </c>
      <c r="AS617" s="25">
        <v>0.95</v>
      </c>
      <c r="AT617" s="25">
        <v>3.44</v>
      </c>
      <c r="AU617" s="25">
        <v>2.4900000000000002</v>
      </c>
      <c r="AV617" s="25">
        <v>2.8390624999999998</v>
      </c>
      <c r="AW617">
        <v>2.8390624999999998</v>
      </c>
      <c r="AX617">
        <v>6.7833032939095634</v>
      </c>
      <c r="AY617" s="75"/>
      <c r="AZ617" s="75"/>
      <c r="BA617" s="75"/>
      <c r="BB617">
        <v>7.5524677887248828E-2</v>
      </c>
      <c r="BF617">
        <v>0.15104935577449771</v>
      </c>
      <c r="BG617">
        <v>7.5524677887248828E-2</v>
      </c>
      <c r="BH617">
        <v>0</v>
      </c>
      <c r="BI617" s="79" t="s">
        <v>1264</v>
      </c>
      <c r="BJ617" s="79">
        <v>1573</v>
      </c>
      <c r="BK617" s="79">
        <v>10</v>
      </c>
      <c r="BS617" s="79" t="s">
        <v>464</v>
      </c>
      <c r="BT617" s="79" t="s">
        <v>464</v>
      </c>
      <c r="CA617" t="e">
        <f t="shared" si="149"/>
        <v>#NUM!</v>
      </c>
      <c r="CB617" s="2"/>
    </row>
    <row r="618" spans="1:80" x14ac:dyDescent="0.3">
      <c r="A618" s="2" t="s">
        <v>271</v>
      </c>
      <c r="B618" s="18" t="s">
        <v>978</v>
      </c>
      <c r="C618" s="13"/>
      <c r="D618" s="2">
        <v>3.3</v>
      </c>
      <c r="E618" s="2" t="s">
        <v>269</v>
      </c>
      <c r="F618" s="9">
        <v>-1</v>
      </c>
      <c r="G618">
        <v>-1</v>
      </c>
      <c r="I618" s="2">
        <v>1</v>
      </c>
      <c r="J618" s="25">
        <v>0</v>
      </c>
      <c r="K618">
        <v>0</v>
      </c>
      <c r="L618">
        <v>0</v>
      </c>
      <c r="M618" s="2">
        <v>3.9</v>
      </c>
      <c r="N618" s="2">
        <v>3.9</v>
      </c>
      <c r="O618" s="2">
        <v>20.78</v>
      </c>
      <c r="P618" s="2" t="s">
        <v>519</v>
      </c>
      <c r="Q618" s="2"/>
      <c r="R618" s="25">
        <v>0</v>
      </c>
      <c r="S618" s="25"/>
      <c r="T618" s="25"/>
      <c r="U618">
        <v>0</v>
      </c>
      <c r="X618">
        <v>0</v>
      </c>
      <c r="AA618" s="2"/>
      <c r="AB618">
        <v>38</v>
      </c>
      <c r="AC618" s="55">
        <f t="shared" si="141"/>
        <v>316.06380000000001</v>
      </c>
      <c r="AD618" s="57">
        <v>0</v>
      </c>
      <c r="AE618" s="55">
        <v>0</v>
      </c>
      <c r="AF618" s="55">
        <v>0</v>
      </c>
      <c r="AG618" s="52">
        <f t="shared" si="172"/>
        <v>0.12022889049615931</v>
      </c>
      <c r="AH618" s="51"/>
      <c r="AI618" s="52"/>
      <c r="AJ618" s="52"/>
      <c r="AK618" s="28">
        <v>1.6857142857142859</v>
      </c>
      <c r="AL618" s="28">
        <v>2.371428571428571</v>
      </c>
      <c r="AM618" s="28">
        <v>0.34285714285714292</v>
      </c>
      <c r="AN618" s="28">
        <v>0</v>
      </c>
      <c r="AO618" s="28">
        <v>0.38311688311688308</v>
      </c>
      <c r="AP618" s="28">
        <v>0.53896103896103897</v>
      </c>
      <c r="AQ618" s="28">
        <v>7.792207792207792E-2</v>
      </c>
      <c r="AR618" s="28">
        <v>0</v>
      </c>
      <c r="AS618" s="25">
        <v>0.95</v>
      </c>
      <c r="AT618" s="25">
        <v>3.44</v>
      </c>
      <c r="AU618" s="25">
        <v>2.4900000000000002</v>
      </c>
      <c r="AV618" s="25">
        <v>2.794285714285714</v>
      </c>
      <c r="AW618">
        <v>2.794285714285714</v>
      </c>
      <c r="AX618">
        <v>6.7908553945945132</v>
      </c>
      <c r="AY618" s="75"/>
      <c r="AZ618" s="75"/>
      <c r="BA618" s="75"/>
      <c r="BB618">
        <v>6.0114445248079663E-2</v>
      </c>
      <c r="BF618">
        <v>0.1202288904961593</v>
      </c>
      <c r="BG618">
        <v>6.0114445248079663E-2</v>
      </c>
      <c r="BH618">
        <v>0</v>
      </c>
      <c r="BI618" s="79" t="s">
        <v>1264</v>
      </c>
      <c r="BJ618" s="79">
        <v>1573</v>
      </c>
      <c r="BK618" s="79">
        <v>10</v>
      </c>
      <c r="BS618" s="79" t="s">
        <v>464</v>
      </c>
      <c r="BT618" s="79" t="s">
        <v>464</v>
      </c>
      <c r="CA618" t="e">
        <f t="shared" si="149"/>
        <v>#NUM!</v>
      </c>
      <c r="CB618" s="2"/>
    </row>
    <row r="619" spans="1:80" x14ac:dyDescent="0.3">
      <c r="A619" s="2" t="s">
        <v>272</v>
      </c>
      <c r="B619" s="18" t="s">
        <v>983</v>
      </c>
      <c r="C619" s="13"/>
      <c r="D619" s="2">
        <v>3.31</v>
      </c>
      <c r="E619" s="2" t="s">
        <v>269</v>
      </c>
      <c r="F619" s="9">
        <v>-1</v>
      </c>
      <c r="G619">
        <v>-1</v>
      </c>
      <c r="I619" s="2">
        <v>1</v>
      </c>
      <c r="J619" s="25">
        <v>0</v>
      </c>
      <c r="K619">
        <v>0</v>
      </c>
      <c r="L619">
        <v>0</v>
      </c>
      <c r="M619" s="2">
        <v>3.89</v>
      </c>
      <c r="N619" s="2">
        <v>3.89</v>
      </c>
      <c r="O619" s="2">
        <v>22.41</v>
      </c>
      <c r="P619" s="2" t="s">
        <v>519</v>
      </c>
      <c r="Q619" s="2"/>
      <c r="R619" s="25">
        <v>0</v>
      </c>
      <c r="S619" s="25"/>
      <c r="T619" s="25"/>
      <c r="U619">
        <v>0</v>
      </c>
      <c r="X619">
        <v>0</v>
      </c>
      <c r="AA619" s="2"/>
      <c r="AB619">
        <v>38</v>
      </c>
      <c r="AC619" s="55">
        <f t="shared" si="141"/>
        <v>339.11036100000001</v>
      </c>
      <c r="AD619" s="57">
        <v>0</v>
      </c>
      <c r="AE619" s="55">
        <v>0</v>
      </c>
      <c r="AF619" s="55">
        <v>0</v>
      </c>
      <c r="AG619" s="52">
        <f t="shared" si="172"/>
        <v>0.11205791497476539</v>
      </c>
      <c r="AH619" s="51"/>
      <c r="AI619" s="52"/>
      <c r="AJ619" s="52"/>
      <c r="AK619" s="28">
        <v>1.6578947368421051</v>
      </c>
      <c r="AL619" s="28">
        <v>2.236842105263158</v>
      </c>
      <c r="AM619" s="28">
        <v>0.31578947368421051</v>
      </c>
      <c r="AN619" s="28">
        <v>0</v>
      </c>
      <c r="AO619" s="28">
        <v>0.39374999999999999</v>
      </c>
      <c r="AP619" s="28">
        <v>0.53125</v>
      </c>
      <c r="AQ619" s="28">
        <v>7.4999999999999997E-2</v>
      </c>
      <c r="AR619" s="28">
        <v>0</v>
      </c>
      <c r="AS619" s="25">
        <v>0.95</v>
      </c>
      <c r="AT619" s="25">
        <v>3.44</v>
      </c>
      <c r="AU619" s="25">
        <v>2.4900000000000002</v>
      </c>
      <c r="AV619" s="25">
        <v>2.7565789473684208</v>
      </c>
      <c r="AW619">
        <v>2.7565789473684208</v>
      </c>
      <c r="AX619">
        <v>6.7972150583292086</v>
      </c>
      <c r="AY619" s="75"/>
      <c r="AZ619" s="75"/>
      <c r="BA619" s="75"/>
      <c r="BB619">
        <v>5.6028957487382687E-2</v>
      </c>
      <c r="BF619">
        <v>0.1120579149747654</v>
      </c>
      <c r="BG619">
        <v>5.6028957487382687E-2</v>
      </c>
      <c r="BH619">
        <v>0</v>
      </c>
      <c r="BI619" s="79" t="s">
        <v>1264</v>
      </c>
      <c r="BJ619" s="79">
        <v>1573</v>
      </c>
      <c r="BK619" s="79">
        <v>10</v>
      </c>
      <c r="BS619" s="79" t="s">
        <v>464</v>
      </c>
      <c r="BT619" s="79" t="s">
        <v>464</v>
      </c>
      <c r="CA619" t="e">
        <f t="shared" si="149"/>
        <v>#NUM!</v>
      </c>
      <c r="CB619" s="2"/>
    </row>
    <row r="620" spans="1:80" x14ac:dyDescent="0.3">
      <c r="A620" s="2" t="s">
        <v>273</v>
      </c>
      <c r="B620" s="18" t="s">
        <v>982</v>
      </c>
      <c r="C620" s="13"/>
      <c r="D620" s="2">
        <v>3.32</v>
      </c>
      <c r="E620" s="2" t="s">
        <v>269</v>
      </c>
      <c r="F620" s="9">
        <v>-1</v>
      </c>
      <c r="G620">
        <v>-1</v>
      </c>
      <c r="I620" s="2">
        <v>1</v>
      </c>
      <c r="J620" s="25">
        <v>0</v>
      </c>
      <c r="K620">
        <v>0</v>
      </c>
      <c r="L620">
        <v>0</v>
      </c>
      <c r="M620" s="2">
        <v>3.9</v>
      </c>
      <c r="N620" s="2">
        <v>3.9</v>
      </c>
      <c r="O620" s="2">
        <v>25.55</v>
      </c>
      <c r="P620" s="2" t="s">
        <v>519</v>
      </c>
      <c r="Q620" s="2"/>
      <c r="R620" s="25">
        <v>0</v>
      </c>
      <c r="S620" s="25"/>
      <c r="T620" s="25"/>
      <c r="U620">
        <v>0</v>
      </c>
      <c r="X620">
        <v>0</v>
      </c>
      <c r="AA620" s="2"/>
      <c r="AB620">
        <v>38</v>
      </c>
      <c r="AC620" s="55">
        <f t="shared" si="141"/>
        <v>388.6155</v>
      </c>
      <c r="AD620" s="57">
        <v>0</v>
      </c>
      <c r="AE620" s="55">
        <v>0</v>
      </c>
      <c r="AF620" s="55">
        <v>0</v>
      </c>
      <c r="AG620" s="52">
        <f t="shared" si="172"/>
        <v>9.7783027182394941E-2</v>
      </c>
      <c r="AH620" s="51"/>
      <c r="AI620" s="52"/>
      <c r="AJ620" s="52"/>
      <c r="AK620" s="28">
        <v>1.634146341463415</v>
      </c>
      <c r="AL620" s="28">
        <v>2.1219512195121948</v>
      </c>
      <c r="AM620" s="28">
        <v>0.29268292682926828</v>
      </c>
      <c r="AN620" s="28">
        <v>0</v>
      </c>
      <c r="AO620" s="28">
        <v>0.40361445783132532</v>
      </c>
      <c r="AP620" s="28">
        <v>0.52409638554216864</v>
      </c>
      <c r="AQ620" s="28">
        <v>7.2289156626506021E-2</v>
      </c>
      <c r="AR620" s="28">
        <v>0</v>
      </c>
      <c r="AS620" s="25">
        <v>0.95</v>
      </c>
      <c r="AT620" s="25">
        <v>3.44</v>
      </c>
      <c r="AU620" s="25">
        <v>2.4900000000000002</v>
      </c>
      <c r="AV620" s="25">
        <v>2.7243902439024388</v>
      </c>
      <c r="AW620">
        <v>2.7243902439024388</v>
      </c>
      <c r="AX620">
        <v>6.8026440395661458</v>
      </c>
      <c r="AY620" s="75"/>
      <c r="AZ620" s="75"/>
      <c r="BA620" s="75"/>
      <c r="BB620">
        <v>4.889151359119747E-2</v>
      </c>
      <c r="BF620">
        <v>9.7783027182394941E-2</v>
      </c>
      <c r="BG620">
        <v>4.889151359119747E-2</v>
      </c>
      <c r="BH620">
        <v>0</v>
      </c>
      <c r="BI620" s="79" t="s">
        <v>1264</v>
      </c>
      <c r="BJ620" s="79">
        <v>1573</v>
      </c>
      <c r="BK620" s="79">
        <v>10</v>
      </c>
      <c r="BS620" s="79" t="s">
        <v>464</v>
      </c>
      <c r="BT620" s="79" t="s">
        <v>464</v>
      </c>
      <c r="CA620" t="e">
        <f t="shared" si="149"/>
        <v>#NUM!</v>
      </c>
      <c r="CB620" s="2"/>
    </row>
    <row r="621" spans="1:80" x14ac:dyDescent="0.3">
      <c r="A621" s="2" t="s">
        <v>274</v>
      </c>
      <c r="B621" s="18" t="s">
        <v>981</v>
      </c>
      <c r="C621" s="13"/>
      <c r="D621" s="2">
        <v>3.32</v>
      </c>
      <c r="E621" s="2" t="s">
        <v>269</v>
      </c>
      <c r="F621" s="9">
        <v>-1</v>
      </c>
      <c r="G621">
        <v>-1</v>
      </c>
      <c r="I621" s="2">
        <v>1</v>
      </c>
      <c r="J621" s="25">
        <v>0</v>
      </c>
      <c r="K621">
        <v>0</v>
      </c>
      <c r="L621">
        <v>0</v>
      </c>
      <c r="M621" s="2">
        <v>3.93</v>
      </c>
      <c r="N621" s="2">
        <v>3.93</v>
      </c>
      <c r="O621" s="2">
        <v>29.52</v>
      </c>
      <c r="P621" s="2" t="s">
        <v>519</v>
      </c>
      <c r="Q621" s="2"/>
      <c r="R621" s="25">
        <v>0</v>
      </c>
      <c r="S621" s="25"/>
      <c r="T621" s="25"/>
      <c r="U621">
        <v>0</v>
      </c>
      <c r="X621">
        <v>0</v>
      </c>
      <c r="AA621" s="2"/>
      <c r="AB621">
        <v>38</v>
      </c>
      <c r="AC621" s="55">
        <f t="shared" si="141"/>
        <v>455.933448</v>
      </c>
      <c r="AD621" s="57">
        <v>0</v>
      </c>
      <c r="AE621" s="55">
        <v>0</v>
      </c>
      <c r="AF621" s="55">
        <v>0</v>
      </c>
      <c r="AG621" s="52">
        <f t="shared" si="172"/>
        <v>8.3345497389347059E-2</v>
      </c>
      <c r="AH621" s="51"/>
      <c r="AI621" s="52"/>
      <c r="AJ621" s="52"/>
      <c r="AK621" s="28">
        <v>1.595744680851064</v>
      </c>
      <c r="AL621" s="28">
        <v>1.936170212765957</v>
      </c>
      <c r="AM621" s="28">
        <v>0.25531914893617019</v>
      </c>
      <c r="AN621" s="28">
        <v>0</v>
      </c>
      <c r="AO621" s="28">
        <v>0.42134831460674149</v>
      </c>
      <c r="AP621" s="28">
        <v>0.5112359550561798</v>
      </c>
      <c r="AQ621" s="28">
        <v>6.741573033707865E-2</v>
      </c>
      <c r="AR621" s="28">
        <v>0</v>
      </c>
      <c r="AS621" s="25">
        <v>0.95</v>
      </c>
      <c r="AT621" s="25">
        <v>3.44</v>
      </c>
      <c r="AU621" s="25">
        <v>2.4900000000000002</v>
      </c>
      <c r="AV621" s="25">
        <v>2.6723404255319152</v>
      </c>
      <c r="AW621">
        <v>2.6723404255319152</v>
      </c>
      <c r="AX621">
        <v>6.8114228177365099</v>
      </c>
      <c r="AY621" s="75"/>
      <c r="AZ621" s="75"/>
      <c r="BA621" s="75"/>
      <c r="BB621">
        <v>4.167274869467353E-2</v>
      </c>
      <c r="BF621">
        <v>8.3345497389347059E-2</v>
      </c>
      <c r="BG621">
        <v>4.167274869467353E-2</v>
      </c>
      <c r="BH621">
        <v>0</v>
      </c>
      <c r="BI621" s="79" t="s">
        <v>1264</v>
      </c>
      <c r="BJ621" s="79">
        <v>1573</v>
      </c>
      <c r="BK621" s="79">
        <v>10</v>
      </c>
      <c r="BS621" s="79" t="s">
        <v>464</v>
      </c>
      <c r="BT621" s="79" t="s">
        <v>464</v>
      </c>
      <c r="CA621" t="e">
        <f t="shared" si="149"/>
        <v>#NUM!</v>
      </c>
      <c r="CB621" s="2"/>
    </row>
    <row r="622" spans="1:80" x14ac:dyDescent="0.3">
      <c r="A622" s="2" t="s">
        <v>275</v>
      </c>
      <c r="B622" s="18" t="s">
        <v>980</v>
      </c>
      <c r="C622" s="13"/>
      <c r="D622" s="2">
        <v>3.32</v>
      </c>
      <c r="E622" s="2" t="s">
        <v>269</v>
      </c>
      <c r="F622" s="9">
        <v>-1</v>
      </c>
      <c r="G622">
        <v>-1</v>
      </c>
      <c r="I622" s="2">
        <v>1</v>
      </c>
      <c r="J622" s="25">
        <v>0</v>
      </c>
      <c r="K622">
        <v>0</v>
      </c>
      <c r="L622">
        <v>0</v>
      </c>
      <c r="M622" s="2">
        <v>3.9</v>
      </c>
      <c r="N622" s="2">
        <v>3.9</v>
      </c>
      <c r="O622" s="2">
        <v>33.729999999999997</v>
      </c>
      <c r="P622" s="2" t="s">
        <v>519</v>
      </c>
      <c r="Q622" s="2"/>
      <c r="R622" s="25">
        <v>0</v>
      </c>
      <c r="S622" s="25"/>
      <c r="T622" s="25"/>
      <c r="U622">
        <v>0</v>
      </c>
      <c r="X622">
        <v>0</v>
      </c>
      <c r="AA622" s="2"/>
      <c r="AB622">
        <v>38</v>
      </c>
      <c r="AC622" s="55">
        <f t="shared" si="141"/>
        <v>513.03329999999994</v>
      </c>
      <c r="AD622" s="57">
        <v>0</v>
      </c>
      <c r="AE622" s="55">
        <v>0</v>
      </c>
      <c r="AF622" s="55">
        <v>0</v>
      </c>
      <c r="AG622" s="52">
        <f t="shared" si="172"/>
        <v>7.4069266069083636E-2</v>
      </c>
      <c r="AH622" s="51"/>
      <c r="AI622" s="52"/>
      <c r="AJ622" s="52"/>
      <c r="AK622" s="28">
        <v>1.5660377358490569</v>
      </c>
      <c r="AL622" s="28">
        <v>1.7924528301886791</v>
      </c>
      <c r="AM622" s="28">
        <v>0.22641509433962259</v>
      </c>
      <c r="AN622" s="28">
        <v>0</v>
      </c>
      <c r="AO622" s="28">
        <v>0.43684210526315792</v>
      </c>
      <c r="AP622" s="28">
        <v>0.5</v>
      </c>
      <c r="AQ622" s="28">
        <v>6.3157894736842107E-2</v>
      </c>
      <c r="AR622" s="28">
        <v>0</v>
      </c>
      <c r="AS622" s="25">
        <v>0.95</v>
      </c>
      <c r="AT622" s="25">
        <v>3.44</v>
      </c>
      <c r="AU622" s="25">
        <v>2.4900000000000002</v>
      </c>
      <c r="AV622" s="25">
        <v>2.6320754716981138</v>
      </c>
      <c r="AW622">
        <v>2.632075471698113</v>
      </c>
      <c r="AX622">
        <v>6.8182139480192454</v>
      </c>
      <c r="AY622" s="75"/>
      <c r="AZ622" s="75"/>
      <c r="BA622" s="75"/>
      <c r="BB622">
        <v>3.7034633034541818E-2</v>
      </c>
      <c r="BF622">
        <v>7.4069266069083636E-2</v>
      </c>
      <c r="BG622">
        <v>3.7034633034541818E-2</v>
      </c>
      <c r="BH622">
        <v>0</v>
      </c>
      <c r="BI622" s="79" t="s">
        <v>1264</v>
      </c>
      <c r="BJ622" s="79">
        <v>1573</v>
      </c>
      <c r="BK622" s="79">
        <v>10</v>
      </c>
      <c r="BS622" s="79" t="s">
        <v>464</v>
      </c>
      <c r="BT622" s="79" t="s">
        <v>464</v>
      </c>
      <c r="CA622" t="e">
        <f t="shared" si="149"/>
        <v>#NUM!</v>
      </c>
      <c r="CB622" s="2"/>
    </row>
    <row r="623" spans="1:80" x14ac:dyDescent="0.3">
      <c r="A623" s="2" t="s">
        <v>276</v>
      </c>
      <c r="B623" s="18" t="s">
        <v>979</v>
      </c>
      <c r="C623" s="13"/>
      <c r="D623" s="2">
        <v>3.22</v>
      </c>
      <c r="E623" s="2" t="s">
        <v>269</v>
      </c>
      <c r="F623" s="9">
        <v>-1</v>
      </c>
      <c r="G623">
        <v>-1</v>
      </c>
      <c r="I623" s="2">
        <v>2</v>
      </c>
      <c r="J623" s="25">
        <v>0</v>
      </c>
      <c r="K623">
        <v>0</v>
      </c>
      <c r="L623">
        <v>0</v>
      </c>
      <c r="M623" s="2">
        <v>3.9</v>
      </c>
      <c r="N623" s="2">
        <v>3.9</v>
      </c>
      <c r="O623" s="2">
        <v>31.44</v>
      </c>
      <c r="P623" s="2" t="s">
        <v>519</v>
      </c>
      <c r="Q623" s="2"/>
      <c r="R623" s="25">
        <v>0</v>
      </c>
      <c r="S623" s="25"/>
      <c r="T623" s="25"/>
      <c r="U623">
        <v>0</v>
      </c>
      <c r="X623">
        <v>0</v>
      </c>
      <c r="AA623" s="2"/>
      <c r="AB623">
        <v>40</v>
      </c>
      <c r="AC623" s="55">
        <f t="shared" si="141"/>
        <v>478.20240000000001</v>
      </c>
      <c r="AD623" s="57">
        <v>0</v>
      </c>
      <c r="AE623" s="55">
        <v>0</v>
      </c>
      <c r="AF623" s="55">
        <v>0</v>
      </c>
      <c r="AG623" s="52">
        <f t="shared" si="172"/>
        <v>0.16729317962435988</v>
      </c>
      <c r="AH623" s="51"/>
      <c r="AI623" s="52"/>
      <c r="AJ623" s="52"/>
      <c r="AK623" s="28">
        <v>1.75</v>
      </c>
      <c r="AL623" s="28">
        <v>2.65625</v>
      </c>
      <c r="AM623" s="28">
        <v>0.375</v>
      </c>
      <c r="AN623" s="28">
        <v>0</v>
      </c>
      <c r="AO623" s="28">
        <v>0.36601307189542481</v>
      </c>
      <c r="AP623" s="28">
        <v>0.55555555555555558</v>
      </c>
      <c r="AQ623" s="28">
        <v>7.8431372549019607E-2</v>
      </c>
      <c r="AR623" s="28">
        <v>0</v>
      </c>
      <c r="AS623" s="25">
        <v>0.95</v>
      </c>
      <c r="AT623" s="25">
        <v>3.44</v>
      </c>
      <c r="AU623" s="25">
        <v>2.4900000000000002</v>
      </c>
      <c r="AV623" s="25">
        <v>2.8778125000000001</v>
      </c>
      <c r="AW623">
        <v>2.8778125000000001</v>
      </c>
      <c r="AX623">
        <v>6.7946490392267176</v>
      </c>
      <c r="AY623" s="75"/>
      <c r="AZ623" s="75"/>
      <c r="BA623" s="75"/>
      <c r="BB623">
        <v>8.3646589812179942E-2</v>
      </c>
      <c r="BF623">
        <v>0.16729317962435991</v>
      </c>
      <c r="BG623">
        <v>8.3646589812179942E-2</v>
      </c>
      <c r="BH623">
        <v>0</v>
      </c>
      <c r="BI623" s="79" t="s">
        <v>1264</v>
      </c>
      <c r="BJ623" s="79">
        <v>1573</v>
      </c>
      <c r="BK623" s="79">
        <v>10</v>
      </c>
      <c r="BS623" s="79" t="s">
        <v>464</v>
      </c>
      <c r="BT623" s="79" t="s">
        <v>464</v>
      </c>
      <c r="CA623" t="e">
        <f t="shared" si="149"/>
        <v>#NUM!</v>
      </c>
      <c r="CB623" s="2"/>
    </row>
    <row r="624" spans="1:80" x14ac:dyDescent="0.3">
      <c r="A624" s="2" t="s">
        <v>277</v>
      </c>
      <c r="B624" s="18" t="s">
        <v>976</v>
      </c>
      <c r="C624" s="13"/>
      <c r="D624" s="2">
        <v>3.25</v>
      </c>
      <c r="E624" s="2" t="s">
        <v>269</v>
      </c>
      <c r="F624" s="9">
        <v>-1</v>
      </c>
      <c r="G624">
        <v>-1</v>
      </c>
      <c r="I624" s="2">
        <v>1</v>
      </c>
      <c r="J624" s="25">
        <v>0</v>
      </c>
      <c r="K624">
        <v>0</v>
      </c>
      <c r="L624">
        <v>0</v>
      </c>
      <c r="M624" s="2">
        <v>3.91</v>
      </c>
      <c r="N624" s="2">
        <v>3.91</v>
      </c>
      <c r="O624" s="2">
        <v>18.2</v>
      </c>
      <c r="P624" s="2" t="s">
        <v>519</v>
      </c>
      <c r="Q624" s="2"/>
      <c r="R624" s="25">
        <v>0</v>
      </c>
      <c r="S624" s="25"/>
      <c r="T624" s="25"/>
      <c r="U624">
        <v>0</v>
      </c>
      <c r="X624">
        <v>0</v>
      </c>
      <c r="AA624" s="2"/>
      <c r="AB624">
        <v>40</v>
      </c>
      <c r="AC624" s="55">
        <f t="shared" si="141"/>
        <v>278.24342000000001</v>
      </c>
      <c r="AD624" s="57">
        <v>0</v>
      </c>
      <c r="AE624" s="55">
        <v>0</v>
      </c>
      <c r="AF624" s="55">
        <v>0</v>
      </c>
      <c r="AG624" s="52">
        <f t="shared" si="172"/>
        <v>0.14375901503798363</v>
      </c>
      <c r="AH624" s="51"/>
      <c r="AI624" s="52"/>
      <c r="AJ624" s="52"/>
      <c r="AK624" s="28">
        <v>1.714285714285714</v>
      </c>
      <c r="AL624" s="28">
        <v>2.4857142857142862</v>
      </c>
      <c r="AM624" s="28">
        <v>0.34285714285714292</v>
      </c>
      <c r="AN624" s="28">
        <v>0</v>
      </c>
      <c r="AO624" s="28">
        <v>0.37735849056603771</v>
      </c>
      <c r="AP624" s="28">
        <v>0.54716981132075471</v>
      </c>
      <c r="AQ624" s="28">
        <v>7.5471698113207544E-2</v>
      </c>
      <c r="AR624" s="28">
        <v>0</v>
      </c>
      <c r="AS624" s="25">
        <v>0.95</v>
      </c>
      <c r="AT624" s="25">
        <v>3.44</v>
      </c>
      <c r="AU624" s="25">
        <v>2.4900000000000002</v>
      </c>
      <c r="AV624" s="25">
        <v>2.8297142857142861</v>
      </c>
      <c r="AW624">
        <v>2.8297142857142861</v>
      </c>
      <c r="AX624">
        <v>6.8012286474559138</v>
      </c>
      <c r="AY624" s="75"/>
      <c r="AZ624" s="75"/>
      <c r="BA624" s="75"/>
      <c r="BB624">
        <v>7.1879507518991817E-2</v>
      </c>
      <c r="BF624">
        <v>0.14375901503798361</v>
      </c>
      <c r="BG624">
        <v>7.1879507518991817E-2</v>
      </c>
      <c r="BH624">
        <v>0</v>
      </c>
      <c r="BI624" s="79" t="s">
        <v>1264</v>
      </c>
      <c r="BJ624" s="79">
        <v>1573</v>
      </c>
      <c r="BK624" s="79">
        <v>10</v>
      </c>
      <c r="BS624" s="79" t="s">
        <v>464</v>
      </c>
      <c r="BT624" s="79" t="s">
        <v>464</v>
      </c>
      <c r="CA624" t="e">
        <f t="shared" si="149"/>
        <v>#NUM!</v>
      </c>
      <c r="CB624" s="2"/>
    </row>
    <row r="625" spans="1:80" x14ac:dyDescent="0.3">
      <c r="A625" s="2" t="s">
        <v>278</v>
      </c>
      <c r="B625" s="18" t="s">
        <v>984</v>
      </c>
      <c r="C625" s="13"/>
      <c r="D625" s="2">
        <v>3.27</v>
      </c>
      <c r="E625" s="2" t="s">
        <v>269</v>
      </c>
      <c r="F625" s="9">
        <v>-1</v>
      </c>
      <c r="G625">
        <v>-1</v>
      </c>
      <c r="I625" s="2">
        <v>1</v>
      </c>
      <c r="J625" s="25">
        <v>0</v>
      </c>
      <c r="K625">
        <v>0</v>
      </c>
      <c r="L625">
        <v>0</v>
      </c>
      <c r="M625" s="2">
        <v>3.9</v>
      </c>
      <c r="N625" s="2">
        <v>3.9</v>
      </c>
      <c r="O625" s="2">
        <v>20.25</v>
      </c>
      <c r="P625" s="2" t="s">
        <v>519</v>
      </c>
      <c r="Q625" s="2"/>
      <c r="R625" s="25">
        <v>0</v>
      </c>
      <c r="S625" s="25"/>
      <c r="T625" s="25"/>
      <c r="U625">
        <v>0</v>
      </c>
      <c r="X625">
        <v>0</v>
      </c>
      <c r="AA625" s="2"/>
      <c r="AB625">
        <v>40</v>
      </c>
      <c r="AC625" s="55">
        <f t="shared" si="141"/>
        <v>308.0025</v>
      </c>
      <c r="AD625" s="57">
        <v>0</v>
      </c>
      <c r="AE625" s="55">
        <v>0</v>
      </c>
      <c r="AF625" s="55">
        <v>0</v>
      </c>
      <c r="AG625" s="52">
        <f t="shared" si="172"/>
        <v>0.12986907573802162</v>
      </c>
      <c r="AH625" s="51"/>
      <c r="AI625" s="52"/>
      <c r="AJ625" s="52"/>
      <c r="AK625" s="28">
        <v>1.6842105263157889</v>
      </c>
      <c r="AL625" s="28">
        <v>2.3421052631578951</v>
      </c>
      <c r="AM625" s="28">
        <v>0.31578947368421051</v>
      </c>
      <c r="AN625" s="28">
        <v>0</v>
      </c>
      <c r="AO625" s="28">
        <v>0.38787878787878788</v>
      </c>
      <c r="AP625" s="28">
        <v>0.53939393939393943</v>
      </c>
      <c r="AQ625" s="28">
        <v>7.2727272727272724E-2</v>
      </c>
      <c r="AR625" s="28">
        <v>0</v>
      </c>
      <c r="AS625" s="25">
        <v>0.95</v>
      </c>
      <c r="AT625" s="25">
        <v>3.44</v>
      </c>
      <c r="AU625" s="25">
        <v>2.4900000000000002</v>
      </c>
      <c r="AV625" s="25">
        <v>2.7892105263157898</v>
      </c>
      <c r="AW625">
        <v>2.7892105263157889</v>
      </c>
      <c r="AX625">
        <v>6.8067693701752354</v>
      </c>
      <c r="AY625" s="75"/>
      <c r="AZ625" s="75"/>
      <c r="BA625" s="75"/>
      <c r="BB625">
        <v>6.4934537869010808E-2</v>
      </c>
      <c r="BF625">
        <v>0.12986907573802159</v>
      </c>
      <c r="BG625">
        <v>6.4934537869010808E-2</v>
      </c>
      <c r="BH625">
        <v>0</v>
      </c>
      <c r="BI625" s="79" t="s">
        <v>1264</v>
      </c>
      <c r="BJ625" s="79">
        <v>1573</v>
      </c>
      <c r="BK625" s="79">
        <v>10</v>
      </c>
      <c r="BS625" s="79" t="s">
        <v>464</v>
      </c>
      <c r="BT625" s="79" t="s">
        <v>464</v>
      </c>
      <c r="CA625" t="e">
        <f t="shared" si="149"/>
        <v>#NUM!</v>
      </c>
      <c r="CB625" s="2"/>
    </row>
    <row r="626" spans="1:80" x14ac:dyDescent="0.3">
      <c r="A626" s="2" t="s">
        <v>279</v>
      </c>
      <c r="B626" s="18" t="s">
        <v>985</v>
      </c>
      <c r="C626" s="13"/>
      <c r="D626" s="2">
        <v>3.3</v>
      </c>
      <c r="E626" s="2" t="s">
        <v>269</v>
      </c>
      <c r="F626" s="9">
        <v>-1</v>
      </c>
      <c r="G626">
        <v>-1</v>
      </c>
      <c r="I626" s="2">
        <v>1</v>
      </c>
      <c r="J626" s="25">
        <v>0</v>
      </c>
      <c r="K626">
        <v>0</v>
      </c>
      <c r="L626">
        <v>0</v>
      </c>
      <c r="M626" s="2">
        <v>3.9</v>
      </c>
      <c r="N626" s="2">
        <v>3.9</v>
      </c>
      <c r="O626" s="2">
        <v>22.01</v>
      </c>
      <c r="P626" s="2" t="s">
        <v>519</v>
      </c>
      <c r="Q626" s="2"/>
      <c r="R626" s="25">
        <v>0</v>
      </c>
      <c r="S626" s="25"/>
      <c r="T626" s="25"/>
      <c r="U626">
        <v>0</v>
      </c>
      <c r="X626">
        <v>0</v>
      </c>
      <c r="AA626" s="2"/>
      <c r="AB626">
        <v>40</v>
      </c>
      <c r="AC626" s="55">
        <f t="shared" si="141"/>
        <v>334.77210000000002</v>
      </c>
      <c r="AD626" s="57">
        <v>0</v>
      </c>
      <c r="AE626" s="55">
        <v>0</v>
      </c>
      <c r="AF626" s="55">
        <v>0</v>
      </c>
      <c r="AG626" s="52">
        <f t="shared" si="172"/>
        <v>0.11948427004520387</v>
      </c>
      <c r="AH626" s="51"/>
      <c r="AI626" s="52"/>
      <c r="AJ626" s="52"/>
      <c r="AK626" s="28">
        <v>1.658536585365854</v>
      </c>
      <c r="AL626" s="28">
        <v>2.219512195121951</v>
      </c>
      <c r="AM626" s="28">
        <v>0.29268292682926828</v>
      </c>
      <c r="AN626" s="28">
        <v>0</v>
      </c>
      <c r="AO626" s="28">
        <v>0.39766081871345033</v>
      </c>
      <c r="AP626" s="28">
        <v>0.53216374269005851</v>
      </c>
      <c r="AQ626" s="28">
        <v>7.0175438596491224E-2</v>
      </c>
      <c r="AR626" s="28">
        <v>0</v>
      </c>
      <c r="AS626" s="25">
        <v>0.95</v>
      </c>
      <c r="AT626" s="25">
        <v>3.44</v>
      </c>
      <c r="AU626" s="25">
        <v>2.4900000000000002</v>
      </c>
      <c r="AV626" s="25">
        <v>2.7546341463414641</v>
      </c>
      <c r="AW626">
        <v>2.7546341463414632</v>
      </c>
      <c r="AX626">
        <v>6.8114992554234393</v>
      </c>
      <c r="AY626" s="75"/>
      <c r="AZ626" s="75"/>
      <c r="BA626" s="75"/>
      <c r="BB626">
        <v>5.9742135022601943E-2</v>
      </c>
      <c r="BF626">
        <v>0.1194842700452039</v>
      </c>
      <c r="BG626">
        <v>5.9742135022601943E-2</v>
      </c>
      <c r="BH626">
        <v>0</v>
      </c>
      <c r="BI626" s="79" t="s">
        <v>1264</v>
      </c>
      <c r="BJ626" s="79">
        <v>1573</v>
      </c>
      <c r="BK626" s="79">
        <v>10</v>
      </c>
      <c r="BS626" s="79" t="s">
        <v>464</v>
      </c>
      <c r="BT626" s="79" t="s">
        <v>464</v>
      </c>
      <c r="CA626" t="e">
        <f t="shared" si="149"/>
        <v>#NUM!</v>
      </c>
      <c r="CB626" s="2"/>
    </row>
    <row r="627" spans="1:80" x14ac:dyDescent="0.3">
      <c r="A627" s="2" t="s">
        <v>280</v>
      </c>
      <c r="B627" s="18" t="s">
        <v>986</v>
      </c>
      <c r="C627" s="13"/>
      <c r="D627" s="2">
        <v>3.3</v>
      </c>
      <c r="E627" s="2" t="s">
        <v>269</v>
      </c>
      <c r="F627" s="9">
        <v>-1</v>
      </c>
      <c r="G627">
        <v>-1</v>
      </c>
      <c r="I627" s="2">
        <v>1</v>
      </c>
      <c r="J627" s="25">
        <v>0</v>
      </c>
      <c r="K627">
        <v>0</v>
      </c>
      <c r="L627">
        <v>0</v>
      </c>
      <c r="M627" s="2">
        <v>3.9</v>
      </c>
      <c r="N627" s="2">
        <v>3.9</v>
      </c>
      <c r="O627" s="2">
        <v>25.65</v>
      </c>
      <c r="P627" s="2" t="s">
        <v>519</v>
      </c>
      <c r="Q627" s="2"/>
      <c r="R627" s="25">
        <v>0</v>
      </c>
      <c r="S627" s="25"/>
      <c r="T627" s="25"/>
      <c r="U627">
        <v>0</v>
      </c>
      <c r="X627">
        <v>0</v>
      </c>
      <c r="AA627" s="2"/>
      <c r="AB627">
        <v>40</v>
      </c>
      <c r="AC627" s="55">
        <f t="shared" si="141"/>
        <v>390.13649999999996</v>
      </c>
      <c r="AD627" s="57">
        <v>0</v>
      </c>
      <c r="AE627" s="55">
        <v>0</v>
      </c>
      <c r="AF627" s="55">
        <v>0</v>
      </c>
      <c r="AG627" s="52">
        <f t="shared" si="172"/>
        <v>0.1025282176879118</v>
      </c>
      <c r="AH627" s="51"/>
      <c r="AI627" s="52"/>
      <c r="AJ627" s="52"/>
      <c r="AK627" s="28">
        <v>1.617021276595745</v>
      </c>
      <c r="AL627" s="28">
        <v>2.021276595744681</v>
      </c>
      <c r="AM627" s="28">
        <v>0.25531914893617019</v>
      </c>
      <c r="AN627" s="28">
        <v>0</v>
      </c>
      <c r="AO627" s="28">
        <v>0.41530054644808739</v>
      </c>
      <c r="AP627" s="28">
        <v>0.51912568306010931</v>
      </c>
      <c r="AQ627" s="28">
        <v>6.5573770491803268E-2</v>
      </c>
      <c r="AR627" s="28">
        <v>0</v>
      </c>
      <c r="AS627" s="25">
        <v>0.95</v>
      </c>
      <c r="AT627" s="25">
        <v>3.44</v>
      </c>
      <c r="AU627" s="25">
        <v>2.4900000000000002</v>
      </c>
      <c r="AV627" s="25">
        <v>2.6987234042553192</v>
      </c>
      <c r="AW627">
        <v>2.6987234042553192</v>
      </c>
      <c r="AX627">
        <v>6.8191475805056392</v>
      </c>
      <c r="AY627" s="75"/>
      <c r="AZ627" s="75"/>
      <c r="BA627" s="75"/>
      <c r="BB627">
        <v>5.1264108843955901E-2</v>
      </c>
      <c r="BF627">
        <v>0.1025282176879118</v>
      </c>
      <c r="BG627">
        <v>5.1264108843955901E-2</v>
      </c>
      <c r="BH627">
        <v>0</v>
      </c>
      <c r="BI627" s="79" t="s">
        <v>1264</v>
      </c>
      <c r="BJ627" s="79">
        <v>1573</v>
      </c>
      <c r="BK627" s="79">
        <v>10</v>
      </c>
      <c r="BS627" s="79" t="s">
        <v>464</v>
      </c>
      <c r="BT627" s="79" t="s">
        <v>464</v>
      </c>
      <c r="CA627" t="e">
        <f t="shared" si="149"/>
        <v>#NUM!</v>
      </c>
      <c r="CB627" s="2"/>
    </row>
    <row r="628" spans="1:80" x14ac:dyDescent="0.3">
      <c r="A628" s="2" t="s">
        <v>281</v>
      </c>
      <c r="B628" s="18" t="s">
        <v>987</v>
      </c>
      <c r="C628" s="13"/>
      <c r="D628" s="2">
        <v>3.34</v>
      </c>
      <c r="E628" s="2" t="s">
        <v>269</v>
      </c>
      <c r="F628" s="9">
        <v>-1</v>
      </c>
      <c r="G628">
        <v>-1</v>
      </c>
      <c r="I628" s="2">
        <v>1</v>
      </c>
      <c r="J628" s="25">
        <v>0</v>
      </c>
      <c r="K628">
        <v>0</v>
      </c>
      <c r="L628">
        <v>0</v>
      </c>
      <c r="M628" s="2">
        <v>3.89</v>
      </c>
      <c r="N628" s="2">
        <v>3.89</v>
      </c>
      <c r="O628" s="2">
        <v>33.799999999999997</v>
      </c>
      <c r="P628" s="2" t="s">
        <v>519</v>
      </c>
      <c r="Q628" s="2"/>
      <c r="R628" s="25">
        <v>0</v>
      </c>
      <c r="S628" s="25"/>
      <c r="T628" s="25"/>
      <c r="U628">
        <v>0</v>
      </c>
      <c r="X628">
        <v>0</v>
      </c>
      <c r="AA628" s="2"/>
      <c r="AB628">
        <v>40</v>
      </c>
      <c r="AC628" s="55">
        <f t="shared" si="141"/>
        <v>511.46498000000003</v>
      </c>
      <c r="AD628" s="57">
        <v>0</v>
      </c>
      <c r="AE628" s="55">
        <v>0</v>
      </c>
      <c r="AF628" s="55">
        <v>0</v>
      </c>
      <c r="AG628" s="52">
        <f t="shared" si="172"/>
        <v>7.8206722970554116E-2</v>
      </c>
      <c r="AH628" s="51"/>
      <c r="AI628" s="52"/>
      <c r="AJ628" s="52"/>
      <c r="AK628" s="28">
        <v>1.584905660377359</v>
      </c>
      <c r="AL628" s="28">
        <v>1.867924528301887</v>
      </c>
      <c r="AM628" s="28">
        <v>0.22641509433962259</v>
      </c>
      <c r="AN628" s="28">
        <v>0</v>
      </c>
      <c r="AO628" s="28">
        <v>0.43076923076923079</v>
      </c>
      <c r="AP628" s="28">
        <v>0.50769230769230778</v>
      </c>
      <c r="AQ628" s="28">
        <v>6.1538461538461542E-2</v>
      </c>
      <c r="AR628" s="28">
        <v>0</v>
      </c>
      <c r="AS628" s="25">
        <v>0.95</v>
      </c>
      <c r="AT628" s="25">
        <v>3.44</v>
      </c>
      <c r="AU628" s="25">
        <v>2.4900000000000002</v>
      </c>
      <c r="AV628" s="25">
        <v>2.655471698113208</v>
      </c>
      <c r="AW628">
        <v>2.655471698113208</v>
      </c>
      <c r="AX628">
        <v>6.8250642093428109</v>
      </c>
      <c r="AY628" s="75"/>
      <c r="AZ628" s="75"/>
      <c r="BA628" s="75"/>
      <c r="BB628">
        <v>3.9103361485277058E-2</v>
      </c>
      <c r="BF628">
        <v>7.8206722970554116E-2</v>
      </c>
      <c r="BG628">
        <v>3.9103361485277058E-2</v>
      </c>
      <c r="BH628">
        <v>0</v>
      </c>
      <c r="BI628" s="79" t="s">
        <v>1264</v>
      </c>
      <c r="BJ628" s="79">
        <v>1573</v>
      </c>
      <c r="BK628" s="79">
        <v>10</v>
      </c>
      <c r="BS628" s="79" t="s">
        <v>464</v>
      </c>
      <c r="BT628" s="79" t="s">
        <v>464</v>
      </c>
      <c r="CA628" t="e">
        <f t="shared" si="149"/>
        <v>#NUM!</v>
      </c>
      <c r="CB628" s="2"/>
    </row>
    <row r="629" spans="1:80" x14ac:dyDescent="0.3">
      <c r="A629" s="2" t="s">
        <v>282</v>
      </c>
      <c r="B629" s="18"/>
      <c r="C629" s="13"/>
      <c r="D629" s="2">
        <v>3.5</v>
      </c>
      <c r="E629" s="2" t="s">
        <v>283</v>
      </c>
      <c r="F629" s="93" t="s">
        <v>597</v>
      </c>
      <c r="G629">
        <v>-1</v>
      </c>
      <c r="I629" s="2"/>
      <c r="J629" s="25">
        <v>1</v>
      </c>
      <c r="K629">
        <v>0</v>
      </c>
      <c r="L629">
        <v>0</v>
      </c>
      <c r="M629" s="2"/>
      <c r="N629" s="2"/>
      <c r="O629" s="2"/>
      <c r="P629" s="2"/>
      <c r="Q629" s="2"/>
      <c r="R629" s="25">
        <v>13.656835900000001</v>
      </c>
      <c r="S629" s="25">
        <v>13.656835900000001</v>
      </c>
      <c r="T629" s="25">
        <v>13.656835900000001</v>
      </c>
      <c r="U629">
        <v>0</v>
      </c>
      <c r="X629">
        <v>0</v>
      </c>
      <c r="AA629" s="2"/>
      <c r="AB629">
        <v>20</v>
      </c>
      <c r="AC629" s="55">
        <f t="shared" si="141"/>
        <v>0</v>
      </c>
      <c r="AD629" s="57">
        <v>201.0880346354428</v>
      </c>
      <c r="AE629" s="55">
        <v>0</v>
      </c>
      <c r="AF629" s="55">
        <v>0</v>
      </c>
      <c r="AG629" s="52"/>
      <c r="AH629" s="51">
        <v>9.9458926217357829E-2</v>
      </c>
      <c r="AI629" s="52"/>
      <c r="AJ629" s="52"/>
      <c r="AK629" s="28">
        <v>1.882352941176471</v>
      </c>
      <c r="AL629" s="28">
        <v>2.3529411764705879</v>
      </c>
      <c r="AM629" s="28">
        <v>0.47058823529411759</v>
      </c>
      <c r="AN629" s="28">
        <v>0</v>
      </c>
      <c r="AO629" s="28">
        <v>0.4</v>
      </c>
      <c r="AP629" s="28">
        <v>0.5</v>
      </c>
      <c r="AQ629" s="28">
        <v>9.9999999999999992E-2</v>
      </c>
      <c r="AR629" s="28">
        <v>0</v>
      </c>
      <c r="AS629" s="25">
        <v>0.98</v>
      </c>
      <c r="AT629" s="25">
        <v>3.44</v>
      </c>
      <c r="AU629" s="25">
        <v>2.46</v>
      </c>
      <c r="AV629" s="25">
        <v>2.54</v>
      </c>
      <c r="AW629">
        <v>2.54</v>
      </c>
      <c r="AX629">
        <v>5.758559377411764</v>
      </c>
      <c r="AY629" s="75">
        <v>0.53996993008785332</v>
      </c>
      <c r="AZ629" s="75"/>
      <c r="BA629" s="75"/>
      <c r="BC629">
        <v>4.9729463108678908E-2</v>
      </c>
      <c r="BF629">
        <v>9.9458926217357829E-2</v>
      </c>
      <c r="BG629">
        <v>4.9729463108678908E-2</v>
      </c>
      <c r="BH629">
        <v>0.53996993008785332</v>
      </c>
      <c r="BI629" s="79" t="s">
        <v>1264</v>
      </c>
      <c r="BJ629" s="79">
        <f>1173</f>
        <v>1173</v>
      </c>
      <c r="BK629" s="79">
        <v>6</v>
      </c>
      <c r="BM629" s="79" t="s">
        <v>464</v>
      </c>
      <c r="BN629" s="79" t="s">
        <v>464</v>
      </c>
      <c r="BO629" s="79">
        <v>0</v>
      </c>
      <c r="BQ629" s="79">
        <v>1</v>
      </c>
      <c r="BR629" s="79">
        <v>1</v>
      </c>
      <c r="BS629" s="79" t="s">
        <v>464</v>
      </c>
      <c r="BT629" s="79" t="s">
        <v>464</v>
      </c>
      <c r="BU629" s="79" t="s">
        <v>1266</v>
      </c>
      <c r="BV629" s="79">
        <v>125</v>
      </c>
      <c r="BW629" s="79">
        <v>220</v>
      </c>
      <c r="BX629" s="79" t="s">
        <v>1287</v>
      </c>
      <c r="BY629" s="79">
        <f t="shared" ref="BY629:BY634" si="173">273+15</f>
        <v>288</v>
      </c>
      <c r="BZ629" s="81">
        <v>20</v>
      </c>
      <c r="CA629">
        <f t="shared" si="149"/>
        <v>2.9957322735539909</v>
      </c>
      <c r="CB629" s="2"/>
    </row>
    <row r="630" spans="1:80" x14ac:dyDescent="0.3">
      <c r="A630" s="2" t="s">
        <v>284</v>
      </c>
      <c r="B630" s="13"/>
      <c r="C630" s="13"/>
      <c r="D630" s="2">
        <v>3.3</v>
      </c>
      <c r="E630" s="2" t="s">
        <v>283</v>
      </c>
      <c r="F630" s="9" t="s">
        <v>598</v>
      </c>
      <c r="G630" t="s">
        <v>670</v>
      </c>
      <c r="I630" s="2"/>
      <c r="J630" s="25">
        <v>1</v>
      </c>
      <c r="K630">
        <v>2</v>
      </c>
      <c r="L630">
        <v>0</v>
      </c>
      <c r="M630" s="2"/>
      <c r="N630" s="2"/>
      <c r="O630" s="2"/>
      <c r="P630" s="2"/>
      <c r="Q630" s="2"/>
      <c r="R630" s="25">
        <v>14.696413339999999</v>
      </c>
      <c r="S630" s="25">
        <v>14.696413339999999</v>
      </c>
      <c r="T630" s="25">
        <v>14.696413339999999</v>
      </c>
      <c r="U630">
        <v>3.83528</v>
      </c>
      <c r="V630">
        <v>3.83528</v>
      </c>
      <c r="W630">
        <v>28.573699999999999</v>
      </c>
      <c r="X630">
        <v>0</v>
      </c>
      <c r="AA630" s="2"/>
      <c r="AB630">
        <v>20</v>
      </c>
      <c r="AC630" s="55">
        <f t="shared" si="141"/>
        <v>0</v>
      </c>
      <c r="AD630" s="57">
        <v>216.40687730768099</v>
      </c>
      <c r="AE630" s="55">
        <v>420.30120210079798</v>
      </c>
      <c r="AF630" s="55">
        <v>0</v>
      </c>
      <c r="AG630" s="52"/>
      <c r="AH630" s="51">
        <v>9.2418504665009241E-2</v>
      </c>
      <c r="AI630" s="52">
        <v>9.516984438794697E-2</v>
      </c>
      <c r="AJ630" s="52"/>
      <c r="AK630" s="28">
        <v>1.882352941176471</v>
      </c>
      <c r="AL630" s="28">
        <v>2.3529411764705879</v>
      </c>
      <c r="AM630" s="28">
        <v>0.47058823529411759</v>
      </c>
      <c r="AN630" s="28">
        <v>0</v>
      </c>
      <c r="AO630" s="28">
        <v>0.4</v>
      </c>
      <c r="AP630" s="28">
        <v>0.5</v>
      </c>
      <c r="AQ630" s="28">
        <v>9.9999999999999992E-2</v>
      </c>
      <c r="AR630" s="28">
        <v>0</v>
      </c>
      <c r="AS630" s="25">
        <v>0.93</v>
      </c>
      <c r="AT630" s="25">
        <v>3.44</v>
      </c>
      <c r="AU630" s="25">
        <v>2.5099999999999998</v>
      </c>
      <c r="AV630" s="25">
        <v>2.534117647058824</v>
      </c>
      <c r="AW630">
        <v>2.534117647058824</v>
      </c>
      <c r="AX630">
        <v>5.7395734358823516</v>
      </c>
      <c r="AY630" s="75">
        <v>0.5339514578906801</v>
      </c>
      <c r="AZ630" s="75">
        <v>0.54984742874132453</v>
      </c>
      <c r="BA630" s="75"/>
      <c r="BC630">
        <v>4.6209252332504627E-2</v>
      </c>
      <c r="BD630">
        <v>4.7584922193973492E-2</v>
      </c>
      <c r="BF630">
        <v>9.3794174526478105E-2</v>
      </c>
      <c r="BG630">
        <v>4.689708726323906E-2</v>
      </c>
      <c r="BH630">
        <v>0.54189944331600226</v>
      </c>
      <c r="BI630" s="79" t="s">
        <v>1264</v>
      </c>
      <c r="BJ630" s="79">
        <f>1173</f>
        <v>1173</v>
      </c>
      <c r="BK630" s="79">
        <v>6</v>
      </c>
      <c r="BM630" s="79" t="s">
        <v>464</v>
      </c>
      <c r="BN630" s="79" t="s">
        <v>464</v>
      </c>
      <c r="BO630" s="79">
        <v>0</v>
      </c>
      <c r="BQ630" s="79">
        <v>1</v>
      </c>
      <c r="BR630" s="79">
        <v>1</v>
      </c>
      <c r="BS630" s="79" t="s">
        <v>464</v>
      </c>
      <c r="BT630" s="79" t="s">
        <v>464</v>
      </c>
      <c r="BU630" s="79" t="s">
        <v>1266</v>
      </c>
      <c r="BV630" s="79">
        <v>125</v>
      </c>
      <c r="BW630" s="79">
        <v>220</v>
      </c>
      <c r="BX630" s="79" t="s">
        <v>1287</v>
      </c>
      <c r="BY630" s="79">
        <f t="shared" si="173"/>
        <v>288</v>
      </c>
      <c r="BZ630" s="81">
        <v>100</v>
      </c>
      <c r="CA630">
        <f t="shared" si="149"/>
        <v>4.6051701859880918</v>
      </c>
      <c r="CB630" s="2"/>
    </row>
    <row r="631" spans="1:80" x14ac:dyDescent="0.3">
      <c r="A631" s="2" t="s">
        <v>44</v>
      </c>
      <c r="B631" s="13"/>
      <c r="C631" s="13"/>
      <c r="D631" s="2">
        <v>3.2</v>
      </c>
      <c r="E631" s="2" t="s">
        <v>283</v>
      </c>
      <c r="F631" s="9" t="s">
        <v>549</v>
      </c>
      <c r="G631">
        <v>-1</v>
      </c>
      <c r="I631" s="2"/>
      <c r="J631" s="25">
        <v>1</v>
      </c>
      <c r="K631">
        <v>0</v>
      </c>
      <c r="L631">
        <v>0</v>
      </c>
      <c r="M631" s="2"/>
      <c r="N631" s="2"/>
      <c r="O631" s="2"/>
      <c r="P631" s="2"/>
      <c r="Q631" s="2"/>
      <c r="R631" s="25">
        <v>15.28115725</v>
      </c>
      <c r="S631" s="25">
        <v>15.28115725</v>
      </c>
      <c r="T631" s="25">
        <v>15.28115725</v>
      </c>
      <c r="U631">
        <v>0</v>
      </c>
      <c r="X631">
        <v>0</v>
      </c>
      <c r="AA631" s="2"/>
      <c r="AB631">
        <v>20</v>
      </c>
      <c r="AC631" s="55">
        <f t="shared" si="141"/>
        <v>0</v>
      </c>
      <c r="AD631" s="57">
        <v>229.90248606119221</v>
      </c>
      <c r="AE631" s="55">
        <v>0</v>
      </c>
      <c r="AF631" s="55">
        <v>0</v>
      </c>
      <c r="AG631" s="52"/>
      <c r="AH631" s="51">
        <v>8.6993404650164072E-2</v>
      </c>
      <c r="AI631" s="52"/>
      <c r="AJ631" s="52"/>
      <c r="AK631" s="28">
        <v>1.882352941176471</v>
      </c>
      <c r="AL631" s="28">
        <v>2.3529411764705879</v>
      </c>
      <c r="AM631" s="28">
        <v>0.47058823529411759</v>
      </c>
      <c r="AN631" s="28">
        <v>0</v>
      </c>
      <c r="AO631" s="28">
        <v>0.4</v>
      </c>
      <c r="AP631" s="28">
        <v>0.5</v>
      </c>
      <c r="AQ631" s="28">
        <v>9.9999999999999992E-2</v>
      </c>
      <c r="AR631" s="28">
        <v>0</v>
      </c>
      <c r="AS631" s="25">
        <v>0.82</v>
      </c>
      <c r="AT631" s="25">
        <v>3.44</v>
      </c>
      <c r="AU631" s="25">
        <v>2.62</v>
      </c>
      <c r="AV631" s="25">
        <v>2.5211764705882351</v>
      </c>
      <c r="AW631">
        <v>2.521176470588236</v>
      </c>
      <c r="AX631">
        <v>5.6898745917647062</v>
      </c>
      <c r="AY631" s="75">
        <v>0.57369840599679445</v>
      </c>
      <c r="AZ631" s="75"/>
      <c r="BA631" s="75"/>
      <c r="BC631">
        <v>4.3496702325082043E-2</v>
      </c>
      <c r="BF631">
        <v>8.6993404650164072E-2</v>
      </c>
      <c r="BG631">
        <v>4.3496702325082043E-2</v>
      </c>
      <c r="BH631">
        <v>0.57369840599679445</v>
      </c>
      <c r="BI631" s="79" t="s">
        <v>1264</v>
      </c>
      <c r="BJ631" s="79">
        <f>1173</f>
        <v>1173</v>
      </c>
      <c r="BK631" s="79">
        <v>6</v>
      </c>
      <c r="BM631" s="79" t="s">
        <v>464</v>
      </c>
      <c r="BN631" s="79" t="s">
        <v>464</v>
      </c>
      <c r="BO631" s="79">
        <v>0</v>
      </c>
      <c r="BQ631" s="79">
        <v>1</v>
      </c>
      <c r="BR631" s="79">
        <v>1</v>
      </c>
      <c r="BS631" s="79" t="s">
        <v>464</v>
      </c>
      <c r="BT631" s="79" t="s">
        <v>464</v>
      </c>
      <c r="BU631" s="79" t="s">
        <v>1266</v>
      </c>
      <c r="BV631" s="79">
        <v>125</v>
      </c>
      <c r="BW631" s="79">
        <v>220</v>
      </c>
      <c r="BX631" s="79" t="s">
        <v>1287</v>
      </c>
      <c r="BY631" s="79">
        <f t="shared" si="173"/>
        <v>288</v>
      </c>
      <c r="BZ631" s="81">
        <v>3500</v>
      </c>
      <c r="CA631">
        <f t="shared" si="149"/>
        <v>8.1605182474775049</v>
      </c>
      <c r="CB631" s="2"/>
    </row>
    <row r="632" spans="1:80" x14ac:dyDescent="0.3">
      <c r="A632" s="5" t="s">
        <v>285</v>
      </c>
      <c r="B632" s="13"/>
      <c r="C632" s="13"/>
      <c r="D632" s="5">
        <v>3.6</v>
      </c>
      <c r="E632" s="5" t="s">
        <v>283</v>
      </c>
      <c r="F632" s="40">
        <v>-2</v>
      </c>
      <c r="G632" s="5">
        <v>-1</v>
      </c>
      <c r="H632" s="5"/>
      <c r="I632" s="5"/>
      <c r="J632" s="41">
        <v>0</v>
      </c>
      <c r="K632">
        <v>0</v>
      </c>
      <c r="L632">
        <v>0</v>
      </c>
      <c r="M632" s="5">
        <v>-1</v>
      </c>
      <c r="N632" s="5"/>
      <c r="O632" s="5"/>
      <c r="P632" s="5"/>
      <c r="Q632" s="5"/>
      <c r="R632" s="41">
        <v>0</v>
      </c>
      <c r="S632" s="41"/>
      <c r="T632" s="41"/>
      <c r="U632">
        <v>0</v>
      </c>
      <c r="X632">
        <v>0</v>
      </c>
      <c r="AA632" s="5"/>
      <c r="AB632" s="5">
        <v>20</v>
      </c>
      <c r="AC632" s="55">
        <f t="shared" si="141"/>
        <v>0</v>
      </c>
      <c r="AD632" s="57">
        <v>0</v>
      </c>
      <c r="AE632" s="55">
        <v>0</v>
      </c>
      <c r="AF632" s="55">
        <v>0</v>
      </c>
      <c r="AG632" s="52"/>
      <c r="AH632" s="51"/>
      <c r="AI632" s="52"/>
      <c r="AJ632" s="52"/>
      <c r="AK632" s="5">
        <v>1.882352941176471</v>
      </c>
      <c r="AL632" s="5">
        <v>2.3529411764705879</v>
      </c>
      <c r="AM632" s="5">
        <v>0.35294117647058831</v>
      </c>
      <c r="AN632" s="5">
        <v>0.47058823529411759</v>
      </c>
      <c r="AO632" s="5">
        <v>0.37209302325581389</v>
      </c>
      <c r="AP632" s="5">
        <v>0.46511627906976749</v>
      </c>
      <c r="AQ632" s="5">
        <v>6.9767441860465129E-2</v>
      </c>
      <c r="AR632" s="5">
        <v>9.3023255813953487E-2</v>
      </c>
      <c r="AS632" s="41">
        <v>0.98</v>
      </c>
      <c r="AT632" s="41">
        <v>3.44</v>
      </c>
      <c r="AU632" s="41">
        <v>2.46</v>
      </c>
      <c r="AV632" s="41">
        <v>2.5447058823529409</v>
      </c>
      <c r="AW632" s="5">
        <v>2.5447058823529409</v>
      </c>
      <c r="AX632" s="5">
        <v>5.7284445009411762</v>
      </c>
      <c r="AY632" s="75"/>
      <c r="AZ632" s="75"/>
      <c r="BA632" s="75"/>
      <c r="BF632">
        <v>0</v>
      </c>
      <c r="BG632">
        <v>0</v>
      </c>
      <c r="BH632">
        <v>0</v>
      </c>
      <c r="BI632" s="79" t="s">
        <v>1264</v>
      </c>
      <c r="BJ632" s="79">
        <f>1173</f>
        <v>1173</v>
      </c>
      <c r="BK632" s="79">
        <v>6</v>
      </c>
      <c r="BM632" s="79" t="s">
        <v>464</v>
      </c>
      <c r="BN632" s="79" t="s">
        <v>464</v>
      </c>
      <c r="BO632" s="79">
        <v>0</v>
      </c>
      <c r="BQ632" s="79">
        <v>1</v>
      </c>
      <c r="BR632" s="79">
        <v>1</v>
      </c>
      <c r="BS632" s="79" t="s">
        <v>464</v>
      </c>
      <c r="BT632" s="79" t="s">
        <v>464</v>
      </c>
      <c r="BU632" s="79" t="s">
        <v>1266</v>
      </c>
      <c r="BV632" s="79">
        <v>125</v>
      </c>
      <c r="BW632" s="79">
        <v>220</v>
      </c>
      <c r="BX632" s="79" t="s">
        <v>1287</v>
      </c>
      <c r="BY632" s="79">
        <f t="shared" si="173"/>
        <v>288</v>
      </c>
      <c r="BZ632" s="81">
        <v>20</v>
      </c>
      <c r="CA632">
        <f t="shared" si="149"/>
        <v>2.9957322735539909</v>
      </c>
      <c r="CB632" s="2"/>
    </row>
    <row r="633" spans="1:80" x14ac:dyDescent="0.3">
      <c r="A633" s="2" t="s">
        <v>286</v>
      </c>
      <c r="B633" s="39"/>
      <c r="C633" s="39"/>
      <c r="D633" s="2">
        <v>3.4</v>
      </c>
      <c r="E633" s="2" t="s">
        <v>283</v>
      </c>
      <c r="F633" s="9" t="s">
        <v>599</v>
      </c>
      <c r="G633">
        <v>-1</v>
      </c>
      <c r="I633" s="2"/>
      <c r="J633" s="25">
        <v>1</v>
      </c>
      <c r="K633">
        <v>0</v>
      </c>
      <c r="L633">
        <v>0</v>
      </c>
      <c r="M633" s="2"/>
      <c r="N633" s="2"/>
      <c r="O633" s="2"/>
      <c r="P633" s="2"/>
      <c r="Q633" s="2"/>
      <c r="R633" s="25">
        <v>14.64115209</v>
      </c>
      <c r="S633" s="25">
        <v>14.64115209</v>
      </c>
      <c r="T633" s="25">
        <v>14.64115209</v>
      </c>
      <c r="U633">
        <v>0</v>
      </c>
      <c r="X633">
        <v>0</v>
      </c>
      <c r="AA633" s="2"/>
      <c r="AB633">
        <v>20</v>
      </c>
      <c r="AC633" s="55">
        <f t="shared" si="141"/>
        <v>0</v>
      </c>
      <c r="AD633" s="57">
        <v>213.3423200442661</v>
      </c>
      <c r="AE633" s="55">
        <v>0</v>
      </c>
      <c r="AF633" s="55">
        <v>0</v>
      </c>
      <c r="AG633" s="52"/>
      <c r="AH633" s="51">
        <v>9.374605092815258E-2</v>
      </c>
      <c r="AI633" s="52"/>
      <c r="AJ633" s="52"/>
      <c r="AK633" s="28">
        <v>1.882352941176471</v>
      </c>
      <c r="AL633" s="28">
        <v>2.3529411764705879</v>
      </c>
      <c r="AM633" s="28">
        <v>0.35294117647058831</v>
      </c>
      <c r="AN633" s="28">
        <v>0.47058823529411759</v>
      </c>
      <c r="AO633" s="28">
        <v>0.37209302325581389</v>
      </c>
      <c r="AP633" s="28">
        <v>0.46511627906976749</v>
      </c>
      <c r="AQ633" s="28">
        <v>6.9767441860465129E-2</v>
      </c>
      <c r="AR633" s="28">
        <v>9.3023255813953487E-2</v>
      </c>
      <c r="AS633" s="25">
        <v>0.93</v>
      </c>
      <c r="AT633" s="25">
        <v>3.44</v>
      </c>
      <c r="AU633" s="25">
        <v>2.5099999999999998</v>
      </c>
      <c r="AV633" s="25">
        <v>2.538823529411764</v>
      </c>
      <c r="AW633">
        <v>2.5388235294117649</v>
      </c>
      <c r="AX633">
        <v>5.7094585594117646</v>
      </c>
      <c r="AY633" s="75">
        <v>0.53401936473899148</v>
      </c>
      <c r="AZ633" s="75"/>
      <c r="BA633" s="75"/>
      <c r="BC633">
        <v>4.6873025464076297E-2</v>
      </c>
      <c r="BF633">
        <v>9.374605092815258E-2</v>
      </c>
      <c r="BG633">
        <v>4.6873025464076297E-2</v>
      </c>
      <c r="BH633">
        <v>0.53401936473899148</v>
      </c>
      <c r="BI633" s="79" t="s">
        <v>1264</v>
      </c>
      <c r="BJ633" s="79">
        <f>1173</f>
        <v>1173</v>
      </c>
      <c r="BK633" s="79">
        <v>6</v>
      </c>
      <c r="BM633" s="79" t="s">
        <v>464</v>
      </c>
      <c r="BN633" s="79" t="s">
        <v>464</v>
      </c>
      <c r="BO633" s="79">
        <v>0</v>
      </c>
      <c r="BQ633" s="79">
        <v>1</v>
      </c>
      <c r="BR633" s="79">
        <v>1</v>
      </c>
      <c r="BS633" s="79" t="s">
        <v>464</v>
      </c>
      <c r="BT633" s="79" t="s">
        <v>464</v>
      </c>
      <c r="BU633" s="79" t="s">
        <v>1266</v>
      </c>
      <c r="BV633" s="79">
        <v>125</v>
      </c>
      <c r="BW633" s="79">
        <v>220</v>
      </c>
      <c r="BX633" s="79" t="s">
        <v>1287</v>
      </c>
      <c r="BY633" s="79">
        <f t="shared" si="173"/>
        <v>288</v>
      </c>
      <c r="BZ633" s="81">
        <v>180</v>
      </c>
      <c r="CA633">
        <f t="shared" si="149"/>
        <v>5.1929568508902104</v>
      </c>
      <c r="CB633" s="2"/>
    </row>
    <row r="634" spans="1:80" x14ac:dyDescent="0.3">
      <c r="A634" s="2" t="s">
        <v>287</v>
      </c>
      <c r="B634" s="13"/>
      <c r="C634" s="13"/>
      <c r="D634" s="2">
        <v>3.3</v>
      </c>
      <c r="E634" s="2" t="s">
        <v>283</v>
      </c>
      <c r="F634" s="93" t="s">
        <v>600</v>
      </c>
      <c r="G634" t="s">
        <v>671</v>
      </c>
      <c r="I634" s="2"/>
      <c r="J634" s="25">
        <v>1</v>
      </c>
      <c r="K634">
        <v>2</v>
      </c>
      <c r="L634">
        <v>0</v>
      </c>
      <c r="M634" s="2"/>
      <c r="N634" s="2"/>
      <c r="O634" s="2"/>
      <c r="P634" s="2"/>
      <c r="Q634" s="2"/>
      <c r="R634" s="25">
        <v>15.19820412</v>
      </c>
      <c r="S634" s="25">
        <v>15.194836840000001</v>
      </c>
      <c r="T634" s="25">
        <v>3.9043439100000001</v>
      </c>
      <c r="U634">
        <v>3.8588</v>
      </c>
      <c r="V634">
        <v>3.8588</v>
      </c>
      <c r="W634">
        <v>29.656099999999999</v>
      </c>
      <c r="X634">
        <v>0</v>
      </c>
      <c r="AA634" s="2"/>
      <c r="AB634">
        <v>20</v>
      </c>
      <c r="AC634" s="55">
        <f t="shared" si="141"/>
        <v>0</v>
      </c>
      <c r="AD634" s="57">
        <v>227.79419475650769</v>
      </c>
      <c r="AE634" s="55">
        <v>441.58933615438389</v>
      </c>
      <c r="AF634" s="55">
        <v>0</v>
      </c>
      <c r="AG634" s="52"/>
      <c r="AH634" s="51">
        <v>8.7798550008608742E-2</v>
      </c>
      <c r="AI634" s="52">
        <v>9.0581897534807332E-2</v>
      </c>
      <c r="AJ634" s="52"/>
      <c r="AK634" s="28">
        <v>1.882352941176471</v>
      </c>
      <c r="AL634" s="28">
        <v>2.3529411764705879</v>
      </c>
      <c r="AM634" s="28">
        <v>0.35294117647058831</v>
      </c>
      <c r="AN634" s="28">
        <v>0.47058823529411759</v>
      </c>
      <c r="AO634" s="28">
        <v>0.37209302325581389</v>
      </c>
      <c r="AP634" s="28">
        <v>0.46511627906976749</v>
      </c>
      <c r="AQ634" s="28">
        <v>6.9767441860465129E-2</v>
      </c>
      <c r="AR634" s="28">
        <v>9.3023255813953487E-2</v>
      </c>
      <c r="AS634" s="25">
        <v>0.82</v>
      </c>
      <c r="AT634" s="25">
        <v>3.44</v>
      </c>
      <c r="AU634" s="25">
        <v>2.62</v>
      </c>
      <c r="AV634" s="25">
        <v>2.525882352941176</v>
      </c>
      <c r="AW634">
        <v>2.525882352941176</v>
      </c>
      <c r="AX634">
        <v>5.6597597152941184</v>
      </c>
      <c r="AY634" s="75">
        <v>0.57188837719605823</v>
      </c>
      <c r="AZ634" s="75">
        <v>0</v>
      </c>
      <c r="BA634" s="75"/>
      <c r="BC634">
        <v>4.3899275004304371E-2</v>
      </c>
      <c r="BD634">
        <v>4.5290948767403673E-2</v>
      </c>
      <c r="BF634">
        <v>8.9190223771708044E-2</v>
      </c>
      <c r="BG634">
        <v>4.4595111885854022E-2</v>
      </c>
      <c r="BH634">
        <v>0.28594418859802911</v>
      </c>
      <c r="BI634" s="79" t="s">
        <v>1264</v>
      </c>
      <c r="BJ634" s="79">
        <f>1173</f>
        <v>1173</v>
      </c>
      <c r="BK634" s="79">
        <v>6</v>
      </c>
      <c r="BM634" s="79" t="s">
        <v>464</v>
      </c>
      <c r="BN634" s="79" t="s">
        <v>464</v>
      </c>
      <c r="BO634" s="79">
        <v>0</v>
      </c>
      <c r="BQ634" s="79">
        <v>1</v>
      </c>
      <c r="BR634" s="79">
        <v>1</v>
      </c>
      <c r="BS634" s="79" t="s">
        <v>464</v>
      </c>
      <c r="BT634" s="79" t="s">
        <v>464</v>
      </c>
      <c r="BU634" s="79" t="s">
        <v>1266</v>
      </c>
      <c r="BV634" s="79">
        <v>125</v>
      </c>
      <c r="BW634" s="79">
        <v>220</v>
      </c>
      <c r="BX634" s="79" t="s">
        <v>1287</v>
      </c>
      <c r="BY634" s="79">
        <f t="shared" si="173"/>
        <v>288</v>
      </c>
      <c r="BZ634" s="81">
        <v>2260</v>
      </c>
      <c r="CA634">
        <f t="shared" si="149"/>
        <v>7.7231200922663312</v>
      </c>
      <c r="CB634" s="2"/>
    </row>
    <row r="635" spans="1:80" x14ac:dyDescent="0.3">
      <c r="A635" s="2" t="s">
        <v>4</v>
      </c>
      <c r="B635" s="13"/>
      <c r="C635" s="13"/>
      <c r="D635" s="2">
        <v>3.26</v>
      </c>
      <c r="E635" s="2" t="s">
        <v>290</v>
      </c>
      <c r="F635" s="9" t="s">
        <v>527</v>
      </c>
      <c r="G635" t="s">
        <v>609</v>
      </c>
      <c r="I635" s="2"/>
      <c r="J635" s="25">
        <v>4</v>
      </c>
      <c r="K635">
        <v>4</v>
      </c>
      <c r="L635">
        <v>0</v>
      </c>
      <c r="M635" s="2"/>
      <c r="N635" s="2"/>
      <c r="O635" s="2"/>
      <c r="P635" s="2"/>
      <c r="Q635" s="2"/>
      <c r="R635" s="25">
        <v>7.8084429999999996</v>
      </c>
      <c r="S635" s="25">
        <v>7.8548809999999998</v>
      </c>
      <c r="T635" s="25">
        <v>15.19056011</v>
      </c>
      <c r="U635">
        <v>3.8801999999999999</v>
      </c>
      <c r="V635">
        <v>29.507999999999999</v>
      </c>
      <c r="W635">
        <v>7.7140000000000004</v>
      </c>
      <c r="X635">
        <v>0</v>
      </c>
      <c r="AA635" s="2"/>
      <c r="AB635">
        <v>20</v>
      </c>
      <c r="AC635" s="55">
        <f t="shared" si="141"/>
        <v>0</v>
      </c>
      <c r="AD635" s="57">
        <v>924.74694800021894</v>
      </c>
      <c r="AE635" s="55">
        <v>883.22940750240002</v>
      </c>
      <c r="AF635" s="55">
        <v>0</v>
      </c>
      <c r="AG635" s="52"/>
      <c r="AH635" s="51">
        <v>8.6510153045653584E-2</v>
      </c>
      <c r="AI635" s="52">
        <v>9.0576694254581439E-2</v>
      </c>
      <c r="AJ635" s="52"/>
      <c r="AK635" s="28">
        <v>1.75</v>
      </c>
      <c r="AL635" s="28">
        <v>2.5</v>
      </c>
      <c r="AM635" s="28">
        <v>0.75</v>
      </c>
      <c r="AN635" s="28">
        <v>0</v>
      </c>
      <c r="AO635" s="28">
        <v>0.35</v>
      </c>
      <c r="AP635" s="28">
        <v>0.5</v>
      </c>
      <c r="AQ635" s="28">
        <v>0.15</v>
      </c>
      <c r="AR635" s="28">
        <v>0</v>
      </c>
      <c r="AS635" s="25">
        <v>0.82</v>
      </c>
      <c r="AT635" s="25">
        <v>3.44</v>
      </c>
      <c r="AU635" s="25">
        <v>2.62</v>
      </c>
      <c r="AV635" s="25">
        <v>2.6262500000000002</v>
      </c>
      <c r="AW635">
        <v>2.6262500000000002</v>
      </c>
      <c r="AX635">
        <v>5.96680968125</v>
      </c>
      <c r="AY635" s="75">
        <v>0.50555206026575039</v>
      </c>
      <c r="AZ635" s="75">
        <v>0</v>
      </c>
      <c r="BA635" s="75"/>
      <c r="BC635">
        <v>4.3255076522826792E-2</v>
      </c>
      <c r="BD635">
        <v>4.5288347127290719E-2</v>
      </c>
      <c r="BF635">
        <v>8.8543423650117511E-2</v>
      </c>
      <c r="BG635">
        <v>4.4271711825058763E-2</v>
      </c>
      <c r="BH635">
        <v>0.2527760301328752</v>
      </c>
      <c r="BI635" s="79" t="s">
        <v>1264</v>
      </c>
      <c r="BJ635" s="79">
        <f>1473</f>
        <v>1473</v>
      </c>
      <c r="BK635" s="79">
        <v>12</v>
      </c>
      <c r="BM635" s="79" t="s">
        <v>464</v>
      </c>
      <c r="BN635" s="79" t="s">
        <v>464</v>
      </c>
      <c r="BO635" s="79">
        <v>0</v>
      </c>
      <c r="BQ635" s="79">
        <v>1</v>
      </c>
      <c r="BR635" s="79">
        <v>20</v>
      </c>
      <c r="BS635" s="79" t="s">
        <v>464</v>
      </c>
      <c r="BT635" s="79" t="s">
        <v>464</v>
      </c>
      <c r="BU635" s="79" t="s">
        <v>1271</v>
      </c>
      <c r="BV635" s="79">
        <v>300</v>
      </c>
      <c r="BW635" s="79">
        <v>420</v>
      </c>
      <c r="BX635" s="79" t="s">
        <v>1287</v>
      </c>
      <c r="BY635" s="79">
        <v>298</v>
      </c>
      <c r="BZ635" s="81">
        <f>11.4/0.1</f>
        <v>114</v>
      </c>
      <c r="CA635">
        <f t="shared" si="149"/>
        <v>4.7361984483944957</v>
      </c>
    </row>
    <row r="636" spans="1:80" x14ac:dyDescent="0.3">
      <c r="A636" s="2" t="s">
        <v>1443</v>
      </c>
      <c r="B636" s="13"/>
      <c r="C636" s="13"/>
      <c r="D636" s="1">
        <v>2.4700000000000002</v>
      </c>
      <c r="E636" s="1" t="s">
        <v>290</v>
      </c>
      <c r="F636" s="9" t="s">
        <v>527</v>
      </c>
      <c r="G636" t="s">
        <v>609</v>
      </c>
      <c r="I636" s="1"/>
      <c r="J636" s="25">
        <v>4</v>
      </c>
      <c r="K636">
        <v>4</v>
      </c>
      <c r="L636">
        <v>0</v>
      </c>
      <c r="M636" s="1"/>
      <c r="N636" s="1"/>
      <c r="O636" s="1"/>
      <c r="P636" s="1"/>
      <c r="Q636" s="1"/>
      <c r="R636" s="25">
        <v>7.8084429999999996</v>
      </c>
      <c r="S636" s="25">
        <v>7.8548809999999998</v>
      </c>
      <c r="T636" s="25">
        <v>15.19056011</v>
      </c>
      <c r="U636">
        <v>3.8801999999999999</v>
      </c>
      <c r="V636">
        <v>29.507999999999999</v>
      </c>
      <c r="W636">
        <v>7.7140000000000004</v>
      </c>
      <c r="X636">
        <v>0</v>
      </c>
      <c r="AA636" s="1"/>
      <c r="AB636">
        <v>20</v>
      </c>
      <c r="AC636" s="55">
        <f t="shared" si="141"/>
        <v>0</v>
      </c>
      <c r="AD636" s="57">
        <v>924.74694800021894</v>
      </c>
      <c r="AE636" s="55">
        <v>883.22940750240002</v>
      </c>
      <c r="AF636" s="55">
        <v>0</v>
      </c>
      <c r="AG636" s="52"/>
      <c r="AH636" s="51">
        <v>8.6510153045653584E-2</v>
      </c>
      <c r="AI636" s="52">
        <v>9.0576694254581439E-2</v>
      </c>
      <c r="AJ636" s="52"/>
      <c r="AK636" s="28">
        <v>1.75</v>
      </c>
      <c r="AL636" s="28">
        <v>2.5</v>
      </c>
      <c r="AM636" s="28">
        <v>0.75</v>
      </c>
      <c r="AN636" s="28">
        <v>0</v>
      </c>
      <c r="AO636" s="28">
        <v>0.35</v>
      </c>
      <c r="AP636" s="28">
        <v>0.5</v>
      </c>
      <c r="AQ636" s="28">
        <v>0.15</v>
      </c>
      <c r="AR636" s="28">
        <v>0</v>
      </c>
      <c r="AS636" s="25">
        <v>0.82</v>
      </c>
      <c r="AT636" s="25">
        <v>3.44</v>
      </c>
      <c r="AU636" s="25">
        <v>2.62</v>
      </c>
      <c r="AV636" s="25">
        <v>2.6262500000000002</v>
      </c>
      <c r="AW636">
        <v>2.6262500000000002</v>
      </c>
      <c r="AX636">
        <v>5.96680968125</v>
      </c>
      <c r="AY636" s="75">
        <v>0.50555206026575039</v>
      </c>
      <c r="AZ636" s="75">
        <v>0</v>
      </c>
      <c r="BA636" s="75"/>
      <c r="BC636">
        <v>4.3255076522826792E-2</v>
      </c>
      <c r="BD636">
        <v>4.5288347127290719E-2</v>
      </c>
      <c r="BF636">
        <v>8.8543423650117511E-2</v>
      </c>
      <c r="BG636">
        <v>4.4271711825058763E-2</v>
      </c>
      <c r="BH636">
        <v>0.2527760301328752</v>
      </c>
      <c r="BI636" s="79" t="s">
        <v>1264</v>
      </c>
      <c r="BJ636" s="79">
        <f>1473</f>
        <v>1473</v>
      </c>
      <c r="BK636" s="79">
        <v>12</v>
      </c>
      <c r="BL636" s="79" t="s">
        <v>1308</v>
      </c>
      <c r="BM636" s="79" t="s">
        <v>464</v>
      </c>
      <c r="BN636" s="79" t="s">
        <v>464</v>
      </c>
      <c r="BO636" s="79">
        <v>0</v>
      </c>
      <c r="BQ636" s="79">
        <v>1</v>
      </c>
      <c r="BR636" s="79">
        <v>20</v>
      </c>
      <c r="BS636" s="79" t="s">
        <v>464</v>
      </c>
      <c r="BT636" s="79" t="s">
        <v>464</v>
      </c>
      <c r="BU636" s="79" t="s">
        <v>1271</v>
      </c>
      <c r="BV636" s="79">
        <v>300</v>
      </c>
      <c r="BW636" s="79">
        <v>420</v>
      </c>
      <c r="BX636" s="79" t="s">
        <v>1287</v>
      </c>
      <c r="BY636" s="79">
        <v>298</v>
      </c>
      <c r="BZ636" s="81">
        <f>42.9/0.1</f>
        <v>428.99999999999994</v>
      </c>
      <c r="CA636">
        <f t="shared" si="149"/>
        <v>6.061456918928017</v>
      </c>
    </row>
    <row r="637" spans="1:80" x14ac:dyDescent="0.3">
      <c r="A637" s="2" t="s">
        <v>1444</v>
      </c>
      <c r="B637" s="13" t="s">
        <v>689</v>
      </c>
      <c r="C637" s="15"/>
      <c r="D637" s="1">
        <v>2.4700000000000002</v>
      </c>
      <c r="E637" s="1" t="s">
        <v>290</v>
      </c>
      <c r="F637" s="9" t="s">
        <v>527</v>
      </c>
      <c r="G637" t="s">
        <v>609</v>
      </c>
      <c r="I637" s="1"/>
      <c r="J637" s="25">
        <v>4</v>
      </c>
      <c r="K637">
        <v>4</v>
      </c>
      <c r="L637">
        <v>0</v>
      </c>
      <c r="M637" s="1"/>
      <c r="N637" s="1"/>
      <c r="O637" s="1"/>
      <c r="P637" s="1"/>
      <c r="Q637" s="1"/>
      <c r="R637" s="25">
        <v>7.8084429999999996</v>
      </c>
      <c r="S637" s="25">
        <v>7.8548809999999998</v>
      </c>
      <c r="T637" s="25">
        <v>15.19056011</v>
      </c>
      <c r="U637">
        <v>3.8801999999999999</v>
      </c>
      <c r="V637">
        <v>29.507999999999999</v>
      </c>
      <c r="W637">
        <v>7.7140000000000004</v>
      </c>
      <c r="X637">
        <v>0</v>
      </c>
      <c r="AA637" s="1"/>
      <c r="AB637">
        <v>20</v>
      </c>
      <c r="AC637" s="55">
        <f t="shared" si="141"/>
        <v>0</v>
      </c>
      <c r="AD637" s="57">
        <v>924.74694800021894</v>
      </c>
      <c r="AE637" s="55">
        <v>883.22940750240002</v>
      </c>
      <c r="AF637" s="55">
        <v>0</v>
      </c>
      <c r="AG637" s="52"/>
      <c r="AH637" s="51">
        <v>8.6510153045653584E-2</v>
      </c>
      <c r="AI637" s="52">
        <v>9.0576694254581439E-2</v>
      </c>
      <c r="AJ637" s="52"/>
      <c r="AK637" s="28">
        <v>1.75</v>
      </c>
      <c r="AL637" s="28">
        <v>2.5</v>
      </c>
      <c r="AM637" s="28">
        <v>0.75</v>
      </c>
      <c r="AN637" s="28">
        <v>0</v>
      </c>
      <c r="AO637" s="28">
        <v>0.35</v>
      </c>
      <c r="AP637" s="28">
        <v>0.5</v>
      </c>
      <c r="AQ637" s="28">
        <v>0.15</v>
      </c>
      <c r="AR637" s="28">
        <v>0</v>
      </c>
      <c r="AS637" s="25">
        <v>0.82</v>
      </c>
      <c r="AT637" s="25">
        <v>3.44</v>
      </c>
      <c r="AU637" s="25">
        <v>2.62</v>
      </c>
      <c r="AV637" s="25">
        <v>2.6262500000000002</v>
      </c>
      <c r="AW637">
        <v>2.6262500000000002</v>
      </c>
      <c r="AX637">
        <v>5.96680968125</v>
      </c>
      <c r="AY637" s="75">
        <v>0.50555206026575039</v>
      </c>
      <c r="AZ637" s="75">
        <v>0</v>
      </c>
      <c r="BA637" s="75"/>
      <c r="BC637">
        <v>4.3255076522826792E-2</v>
      </c>
      <c r="BD637">
        <v>4.5288347127290719E-2</v>
      </c>
      <c r="BF637">
        <v>8.8543423650117511E-2</v>
      </c>
      <c r="BG637">
        <v>4.4271711825058763E-2</v>
      </c>
      <c r="BH637">
        <v>0.2527760301328752</v>
      </c>
      <c r="BI637" s="79" t="s">
        <v>1264</v>
      </c>
      <c r="BJ637" s="79">
        <f>1473</f>
        <v>1473</v>
      </c>
      <c r="BK637" s="79">
        <v>12</v>
      </c>
      <c r="BL637" s="79" t="s">
        <v>1308</v>
      </c>
      <c r="BM637" s="79" t="s">
        <v>464</v>
      </c>
      <c r="BN637" s="79" t="s">
        <v>464</v>
      </c>
      <c r="BO637" s="79">
        <v>0</v>
      </c>
      <c r="BQ637" s="79">
        <v>1</v>
      </c>
      <c r="BR637" s="79">
        <v>20</v>
      </c>
      <c r="BS637" s="79" t="s">
        <v>464</v>
      </c>
      <c r="BT637" s="79" t="s">
        <v>464</v>
      </c>
      <c r="BU637" s="79" t="s">
        <v>1271</v>
      </c>
      <c r="BV637" s="79">
        <v>300</v>
      </c>
      <c r="BW637" s="79">
        <v>420</v>
      </c>
      <c r="BX637" s="79" t="s">
        <v>1287</v>
      </c>
      <c r="BY637" s="79">
        <v>298</v>
      </c>
      <c r="BZ637" s="81">
        <f>154.7/0.1</f>
        <v>1546.9999999999998</v>
      </c>
      <c r="CA637">
        <f t="shared" si="149"/>
        <v>7.3440728505730659</v>
      </c>
    </row>
    <row r="638" spans="1:80" x14ac:dyDescent="0.3">
      <c r="A638" s="2" t="s">
        <v>1443</v>
      </c>
      <c r="B638" s="13"/>
      <c r="C638" s="13"/>
      <c r="D638" s="1">
        <v>2.4700000000000002</v>
      </c>
      <c r="E638" s="1" t="s">
        <v>290</v>
      </c>
      <c r="F638" s="9" t="s">
        <v>527</v>
      </c>
      <c r="G638" t="s">
        <v>609</v>
      </c>
      <c r="I638" s="1"/>
      <c r="J638" s="25">
        <v>4</v>
      </c>
      <c r="K638">
        <v>4</v>
      </c>
      <c r="L638">
        <v>0</v>
      </c>
      <c r="M638" s="1"/>
      <c r="N638" s="1"/>
      <c r="O638" s="1"/>
      <c r="P638" s="1"/>
      <c r="Q638" s="1"/>
      <c r="R638" s="25">
        <v>7.8084429999999996</v>
      </c>
      <c r="S638" s="25">
        <v>7.8548809999999998</v>
      </c>
      <c r="T638" s="25">
        <v>15.19056011</v>
      </c>
      <c r="U638">
        <v>3.8801999999999999</v>
      </c>
      <c r="V638">
        <v>29.507999999999999</v>
      </c>
      <c r="W638">
        <v>7.7140000000000004</v>
      </c>
      <c r="X638">
        <v>0</v>
      </c>
      <c r="AA638" s="1"/>
      <c r="AB638">
        <v>20</v>
      </c>
      <c r="AC638" s="55">
        <f t="shared" ref="AC638:AC639" si="174">M638*N638*O638</f>
        <v>0</v>
      </c>
      <c r="AD638" s="57">
        <v>924.74694800021894</v>
      </c>
      <c r="AE638" s="55">
        <v>883.22940750240002</v>
      </c>
      <c r="AF638" s="55">
        <v>0</v>
      </c>
      <c r="AG638" s="52"/>
      <c r="AH638" s="51">
        <v>8.6510153045653584E-2</v>
      </c>
      <c r="AI638" s="52">
        <v>9.0576694254581439E-2</v>
      </c>
      <c r="AJ638" s="52"/>
      <c r="AK638" s="28">
        <v>1.75</v>
      </c>
      <c r="AL638" s="28">
        <v>2.5</v>
      </c>
      <c r="AM638" s="28">
        <v>0.75</v>
      </c>
      <c r="AN638" s="28">
        <v>0</v>
      </c>
      <c r="AO638" s="28">
        <v>0.35</v>
      </c>
      <c r="AP638" s="28">
        <v>0.5</v>
      </c>
      <c r="AQ638" s="28">
        <v>0.15</v>
      </c>
      <c r="AR638" s="28">
        <v>0</v>
      </c>
      <c r="AS638" s="25">
        <v>0.82</v>
      </c>
      <c r="AT638" s="25">
        <v>3.44</v>
      </c>
      <c r="AU638" s="25">
        <v>2.62</v>
      </c>
      <c r="AV638" s="25">
        <v>2.6262500000000002</v>
      </c>
      <c r="AW638">
        <v>2.6262500000000002</v>
      </c>
      <c r="AX638">
        <v>5.96680968125</v>
      </c>
      <c r="AY638" s="75">
        <v>0.50555206026575039</v>
      </c>
      <c r="AZ638" s="75">
        <v>0</v>
      </c>
      <c r="BA638" s="75"/>
      <c r="BC638">
        <v>4.3255076522826792E-2</v>
      </c>
      <c r="BD638">
        <v>4.5288347127290719E-2</v>
      </c>
      <c r="BF638">
        <v>8.8543423650117511E-2</v>
      </c>
      <c r="BG638">
        <v>4.4271711825058763E-2</v>
      </c>
      <c r="BH638">
        <v>0.2527760301328752</v>
      </c>
      <c r="BI638" s="79" t="s">
        <v>1264</v>
      </c>
      <c r="BJ638" s="79">
        <f>1473</f>
        <v>1473</v>
      </c>
      <c r="BK638" s="79">
        <v>12</v>
      </c>
      <c r="BL638" s="79" t="s">
        <v>1308</v>
      </c>
      <c r="BM638" s="79" t="s">
        <v>1268</v>
      </c>
      <c r="BN638" s="79" t="s">
        <v>863</v>
      </c>
      <c r="BO638" s="79">
        <v>0.5</v>
      </c>
      <c r="BQ638" s="79">
        <v>1</v>
      </c>
      <c r="BR638" s="79">
        <v>20</v>
      </c>
      <c r="BS638" s="79" t="s">
        <v>464</v>
      </c>
      <c r="BT638" s="79" t="s">
        <v>464</v>
      </c>
      <c r="BU638" s="79" t="s">
        <v>1271</v>
      </c>
      <c r="BV638" s="79">
        <v>300</v>
      </c>
      <c r="BW638" s="79">
        <v>420</v>
      </c>
      <c r="BX638" s="79" t="s">
        <v>1287</v>
      </c>
      <c r="BY638" s="79">
        <v>298</v>
      </c>
      <c r="BZ638" s="81">
        <f>190.1/0.1</f>
        <v>1900.9999999999998</v>
      </c>
      <c r="CA638">
        <f t="shared" si="149"/>
        <v>7.5501353424884288</v>
      </c>
    </row>
    <row r="639" spans="1:80" x14ac:dyDescent="0.3">
      <c r="A639" s="2" t="s">
        <v>1444</v>
      </c>
      <c r="B639" s="13" t="s">
        <v>689</v>
      </c>
      <c r="C639" s="15"/>
      <c r="D639" s="1">
        <v>2.4700000000000002</v>
      </c>
      <c r="E639" s="1" t="s">
        <v>290</v>
      </c>
      <c r="F639" s="9" t="s">
        <v>527</v>
      </c>
      <c r="G639" t="s">
        <v>609</v>
      </c>
      <c r="I639" s="1"/>
      <c r="J639" s="25">
        <v>4</v>
      </c>
      <c r="K639">
        <v>4</v>
      </c>
      <c r="L639">
        <v>0</v>
      </c>
      <c r="M639" s="1"/>
      <c r="N639" s="1"/>
      <c r="O639" s="1"/>
      <c r="P639" s="1"/>
      <c r="Q639" s="1"/>
      <c r="R639" s="25">
        <v>7.8084429999999996</v>
      </c>
      <c r="S639" s="25">
        <v>7.8548809999999998</v>
      </c>
      <c r="T639" s="25">
        <v>15.19056011</v>
      </c>
      <c r="U639">
        <v>3.8801999999999999</v>
      </c>
      <c r="V639">
        <v>29.507999999999999</v>
      </c>
      <c r="W639">
        <v>7.7140000000000004</v>
      </c>
      <c r="X639">
        <v>0</v>
      </c>
      <c r="AA639" s="1"/>
      <c r="AB639">
        <v>20</v>
      </c>
      <c r="AC639" s="55">
        <f t="shared" si="174"/>
        <v>0</v>
      </c>
      <c r="AD639" s="57">
        <v>924.74694800021894</v>
      </c>
      <c r="AE639" s="55">
        <v>883.22940750240002</v>
      </c>
      <c r="AF639" s="55">
        <v>0</v>
      </c>
      <c r="AG639" s="52"/>
      <c r="AH639" s="51">
        <v>8.6510153045653584E-2</v>
      </c>
      <c r="AI639" s="52">
        <v>9.0576694254581439E-2</v>
      </c>
      <c r="AJ639" s="52"/>
      <c r="AK639" s="28">
        <v>1.75</v>
      </c>
      <c r="AL639" s="28">
        <v>2.5</v>
      </c>
      <c r="AM639" s="28">
        <v>0.75</v>
      </c>
      <c r="AN639" s="28">
        <v>0</v>
      </c>
      <c r="AO639" s="28">
        <v>0.35</v>
      </c>
      <c r="AP639" s="28">
        <v>0.5</v>
      </c>
      <c r="AQ639" s="28">
        <v>0.15</v>
      </c>
      <c r="AR639" s="28">
        <v>0</v>
      </c>
      <c r="AS639" s="25">
        <v>0.82</v>
      </c>
      <c r="AT639" s="25">
        <v>3.44</v>
      </c>
      <c r="AU639" s="25">
        <v>2.62</v>
      </c>
      <c r="AV639" s="25">
        <v>2.6262500000000002</v>
      </c>
      <c r="AW639">
        <v>2.6262500000000002</v>
      </c>
      <c r="AX639">
        <v>5.96680968125</v>
      </c>
      <c r="AY639" s="75">
        <v>0.50555206026575039</v>
      </c>
      <c r="AZ639" s="75">
        <v>0</v>
      </c>
      <c r="BA639" s="75"/>
      <c r="BC639">
        <v>4.3255076522826792E-2</v>
      </c>
      <c r="BD639">
        <v>4.5288347127290719E-2</v>
      </c>
      <c r="BF639">
        <v>8.8543423650117511E-2</v>
      </c>
      <c r="BG639">
        <v>4.4271711825058763E-2</v>
      </c>
      <c r="BH639">
        <v>0.2527760301328752</v>
      </c>
      <c r="BI639" s="79" t="s">
        <v>1264</v>
      </c>
      <c r="BJ639" s="79">
        <f>1473</f>
        <v>1473</v>
      </c>
      <c r="BK639" s="79">
        <v>12</v>
      </c>
      <c r="BL639" s="79" t="s">
        <v>1308</v>
      </c>
      <c r="BM639" s="79" t="s">
        <v>1268</v>
      </c>
      <c r="BN639" s="79" t="s">
        <v>863</v>
      </c>
      <c r="BO639" s="79">
        <v>0.5</v>
      </c>
      <c r="BQ639" s="79">
        <v>1</v>
      </c>
      <c r="BR639" s="79">
        <v>20</v>
      </c>
      <c r="BS639" s="79" t="s">
        <v>464</v>
      </c>
      <c r="BT639" s="79" t="s">
        <v>464</v>
      </c>
      <c r="BU639" s="79" t="s">
        <v>1271</v>
      </c>
      <c r="BV639" s="79">
        <v>300</v>
      </c>
      <c r="BW639" s="79">
        <v>420</v>
      </c>
      <c r="BX639" s="79" t="s">
        <v>1287</v>
      </c>
      <c r="BY639" s="79">
        <v>298</v>
      </c>
      <c r="BZ639" s="81">
        <f>429.5/0.1</f>
        <v>4295</v>
      </c>
      <c r="CA639">
        <f t="shared" si="149"/>
        <v>8.3652068344183554</v>
      </c>
    </row>
    <row r="640" spans="1:80" x14ac:dyDescent="0.3">
      <c r="A640" s="2" t="s">
        <v>1445</v>
      </c>
      <c r="B640" s="13"/>
      <c r="C640" s="13"/>
      <c r="D640" s="2">
        <v>2.09</v>
      </c>
      <c r="E640" s="2" t="s">
        <v>291</v>
      </c>
      <c r="F640" s="9" t="s">
        <v>531</v>
      </c>
      <c r="G640">
        <v>-1</v>
      </c>
      <c r="I640" s="2"/>
      <c r="J640" s="25">
        <v>1</v>
      </c>
      <c r="K640">
        <v>0</v>
      </c>
      <c r="L640">
        <v>0</v>
      </c>
      <c r="M640" s="2"/>
      <c r="N640" s="2"/>
      <c r="O640" s="2"/>
      <c r="P640" s="2"/>
      <c r="Q640" s="2"/>
      <c r="R640" s="25">
        <v>3.9103940000000001</v>
      </c>
      <c r="S640" s="25">
        <v>3.9103940000000001</v>
      </c>
      <c r="T640" s="25">
        <v>11.314458</v>
      </c>
      <c r="U640">
        <v>0</v>
      </c>
      <c r="X640">
        <v>0</v>
      </c>
      <c r="AA640" s="2"/>
      <c r="AB640">
        <v>14</v>
      </c>
      <c r="AC640" s="55">
        <f t="shared" si="141"/>
        <v>0</v>
      </c>
      <c r="AD640" s="57">
        <v>173.0114278564659</v>
      </c>
      <c r="AE640" s="55">
        <v>0</v>
      </c>
      <c r="AF640" s="55">
        <v>0</v>
      </c>
      <c r="AG640" s="52"/>
      <c r="AH640" s="51">
        <v>8.0919510193365449E-2</v>
      </c>
      <c r="AI640" s="52"/>
      <c r="AJ640" s="52"/>
      <c r="AK640" s="28">
        <v>1.9090909090909089</v>
      </c>
      <c r="AL640" s="28">
        <v>2.545454545454545</v>
      </c>
      <c r="AM640" s="28">
        <v>0.63636363636363635</v>
      </c>
      <c r="AN640" s="28">
        <v>2.545454545454545</v>
      </c>
      <c r="AO640" s="28">
        <v>0.25</v>
      </c>
      <c r="AP640" s="28">
        <v>0.33333333333333331</v>
      </c>
      <c r="AQ640" s="28">
        <v>8.3333333333333329E-2</v>
      </c>
      <c r="AR640" s="28">
        <v>0.33333333333333331</v>
      </c>
      <c r="AS640" s="25">
        <v>0.82</v>
      </c>
      <c r="AT640" s="25">
        <v>3.44</v>
      </c>
      <c r="AU640" s="25">
        <v>2.62</v>
      </c>
      <c r="AV640" s="25">
        <v>2.6363636363636358</v>
      </c>
      <c r="AW640">
        <v>2.6363636363636371</v>
      </c>
      <c r="AX640">
        <v>6.0044088459090901</v>
      </c>
      <c r="AY640" s="75">
        <v>0.5117218936152963</v>
      </c>
      <c r="AZ640" s="75"/>
      <c r="BA640" s="75"/>
      <c r="BC640">
        <v>4.0459755096682717E-2</v>
      </c>
      <c r="BF640">
        <v>8.0919510193365449E-2</v>
      </c>
      <c r="BG640">
        <v>4.0459755096682717E-2</v>
      </c>
      <c r="BH640">
        <v>0.5117218936152963</v>
      </c>
      <c r="BI640" s="79" t="s">
        <v>1264</v>
      </c>
      <c r="BJ640" s="79">
        <v>773</v>
      </c>
      <c r="BK640" s="79">
        <v>5</v>
      </c>
      <c r="BL640" s="79" t="s">
        <v>1308</v>
      </c>
      <c r="BM640" s="79" t="s">
        <v>1268</v>
      </c>
      <c r="BN640" s="79" t="s">
        <v>863</v>
      </c>
      <c r="BO640" s="79">
        <v>1</v>
      </c>
      <c r="BP640" s="81">
        <v>84</v>
      </c>
      <c r="BQ640" s="79">
        <v>0.5</v>
      </c>
      <c r="BR640" s="79">
        <v>0</v>
      </c>
      <c r="BS640" s="79" t="s">
        <v>1446</v>
      </c>
      <c r="BT640" s="79" t="s">
        <v>464</v>
      </c>
      <c r="BU640" s="79" t="s">
        <v>1266</v>
      </c>
      <c r="BV640" s="79">
        <v>500</v>
      </c>
      <c r="BW640" s="79">
        <v>250</v>
      </c>
      <c r="BY640" s="79">
        <v>293</v>
      </c>
      <c r="BZ640" s="81">
        <v>1000</v>
      </c>
      <c r="CA640">
        <f t="shared" si="149"/>
        <v>6.9077552789821368</v>
      </c>
    </row>
    <row r="641" spans="1:79" x14ac:dyDescent="0.3">
      <c r="A641" s="2" t="s">
        <v>1445</v>
      </c>
      <c r="B641" s="13"/>
      <c r="C641" s="13"/>
      <c r="D641" s="2">
        <v>2.09</v>
      </c>
      <c r="E641" s="2" t="s">
        <v>291</v>
      </c>
      <c r="F641" s="9" t="s">
        <v>531</v>
      </c>
      <c r="G641">
        <v>-1</v>
      </c>
      <c r="I641" s="2"/>
      <c r="J641" s="25">
        <v>1</v>
      </c>
      <c r="K641">
        <v>0</v>
      </c>
      <c r="L641">
        <v>0</v>
      </c>
      <c r="M641" s="2"/>
      <c r="N641" s="2"/>
      <c r="O641" s="2"/>
      <c r="P641" s="2"/>
      <c r="Q641" s="2"/>
      <c r="R641" s="25">
        <v>3.9103940000000001</v>
      </c>
      <c r="S641" s="25">
        <v>3.9103940000000001</v>
      </c>
      <c r="T641" s="25">
        <v>11.314458</v>
      </c>
      <c r="U641">
        <v>0</v>
      </c>
      <c r="X641">
        <v>0</v>
      </c>
      <c r="AA641" s="2"/>
      <c r="AB641">
        <v>14</v>
      </c>
      <c r="AC641" s="55">
        <f t="shared" ref="AC641" si="175">M641*N641*O641</f>
        <v>0</v>
      </c>
      <c r="AD641" s="57">
        <v>173.0114278564659</v>
      </c>
      <c r="AE641" s="55">
        <v>0</v>
      </c>
      <c r="AF641" s="55">
        <v>0</v>
      </c>
      <c r="AG641" s="52"/>
      <c r="AH641" s="51">
        <v>8.0919510193365449E-2</v>
      </c>
      <c r="AI641" s="52"/>
      <c r="AJ641" s="52"/>
      <c r="AK641" s="28">
        <v>1.9090909090909089</v>
      </c>
      <c r="AL641" s="28">
        <v>2.545454545454545</v>
      </c>
      <c r="AM641" s="28">
        <v>0.63636363636363635</v>
      </c>
      <c r="AN641" s="28">
        <v>2.545454545454545</v>
      </c>
      <c r="AO641" s="28">
        <v>0.25</v>
      </c>
      <c r="AP641" s="28">
        <v>0.33333333333333331</v>
      </c>
      <c r="AQ641" s="28">
        <v>8.3333333333333329E-2</v>
      </c>
      <c r="AR641" s="28">
        <v>0.33333333333333331</v>
      </c>
      <c r="AS641" s="25">
        <v>0.82</v>
      </c>
      <c r="AT641" s="25">
        <v>3.44</v>
      </c>
      <c r="AU641" s="25">
        <v>2.62</v>
      </c>
      <c r="AV641" s="25">
        <v>2.6363636363636358</v>
      </c>
      <c r="AW641">
        <v>2.6363636363636371</v>
      </c>
      <c r="AX641">
        <v>6.0044088459090901</v>
      </c>
      <c r="AY641" s="75">
        <v>0.5117218936152963</v>
      </c>
      <c r="AZ641" s="75"/>
      <c r="BA641" s="75"/>
      <c r="BC641">
        <v>4.0459755096682717E-2</v>
      </c>
      <c r="BF641">
        <v>8.0919510193365449E-2</v>
      </c>
      <c r="BG641">
        <v>4.0459755096682717E-2</v>
      </c>
      <c r="BH641">
        <v>0.5117218936152963</v>
      </c>
      <c r="BI641" s="79" t="s">
        <v>1264</v>
      </c>
      <c r="BJ641" s="79">
        <v>773</v>
      </c>
      <c r="BK641" s="79">
        <v>5</v>
      </c>
      <c r="BL641" s="79" t="s">
        <v>1308</v>
      </c>
      <c r="BM641" s="79" t="s">
        <v>1268</v>
      </c>
      <c r="BN641" s="79" t="s">
        <v>863</v>
      </c>
      <c r="BO641" s="79">
        <v>1</v>
      </c>
      <c r="BP641" s="81">
        <v>84</v>
      </c>
      <c r="BQ641" s="79">
        <v>0.5</v>
      </c>
      <c r="BR641" s="79">
        <v>0</v>
      </c>
      <c r="BS641" s="79" t="s">
        <v>1446</v>
      </c>
      <c r="BT641" s="79" t="s">
        <v>464</v>
      </c>
      <c r="BU641" s="79" t="s">
        <v>1266</v>
      </c>
      <c r="BV641" s="79">
        <v>500</v>
      </c>
      <c r="BW641" s="79">
        <v>420</v>
      </c>
      <c r="BY641" s="79">
        <v>293</v>
      </c>
      <c r="BZ641" s="81">
        <v>100</v>
      </c>
      <c r="CA641">
        <f t="shared" si="149"/>
        <v>4.6051701859880918</v>
      </c>
    </row>
    <row r="642" spans="1:79" x14ac:dyDescent="0.3">
      <c r="A642" s="2" t="s">
        <v>1445</v>
      </c>
      <c r="B642" s="13"/>
      <c r="C642" s="13"/>
      <c r="D642" s="2">
        <v>2.09</v>
      </c>
      <c r="E642" s="2" t="s">
        <v>291</v>
      </c>
      <c r="F642" s="9" t="s">
        <v>531</v>
      </c>
      <c r="G642">
        <v>-1</v>
      </c>
      <c r="I642" s="2"/>
      <c r="J642" s="25">
        <v>1</v>
      </c>
      <c r="K642">
        <v>0</v>
      </c>
      <c r="L642">
        <v>0</v>
      </c>
      <c r="M642" s="2"/>
      <c r="N642" s="2"/>
      <c r="O642" s="2"/>
      <c r="P642" s="2"/>
      <c r="Q642" s="2"/>
      <c r="R642" s="25">
        <v>3.9103940000000001</v>
      </c>
      <c r="S642" s="25">
        <v>3.9103940000000001</v>
      </c>
      <c r="T642" s="25">
        <v>11.314458</v>
      </c>
      <c r="U642">
        <v>0</v>
      </c>
      <c r="X642">
        <v>0</v>
      </c>
      <c r="AA642" s="2"/>
      <c r="AB642">
        <v>14</v>
      </c>
      <c r="AC642" s="55">
        <f t="shared" ref="AC642" si="176">M642*N642*O642</f>
        <v>0</v>
      </c>
      <c r="AD642" s="57">
        <v>173.0114278564659</v>
      </c>
      <c r="AE642" s="55">
        <v>0</v>
      </c>
      <c r="AF642" s="55">
        <v>0</v>
      </c>
      <c r="AG642" s="52"/>
      <c r="AH642" s="51">
        <v>8.0919510193365449E-2</v>
      </c>
      <c r="AI642" s="52"/>
      <c r="AJ642" s="52"/>
      <c r="AK642" s="28">
        <v>1.9090909090909089</v>
      </c>
      <c r="AL642" s="28">
        <v>2.545454545454545</v>
      </c>
      <c r="AM642" s="28">
        <v>0.63636363636363635</v>
      </c>
      <c r="AN642" s="28">
        <v>2.545454545454545</v>
      </c>
      <c r="AO642" s="28">
        <v>0.25</v>
      </c>
      <c r="AP642" s="28">
        <v>0.33333333333333331</v>
      </c>
      <c r="AQ642" s="28">
        <v>8.3333333333333329E-2</v>
      </c>
      <c r="AR642" s="28">
        <v>0.33333333333333331</v>
      </c>
      <c r="AS642" s="25">
        <v>0.82</v>
      </c>
      <c r="AT642" s="25">
        <v>3.44</v>
      </c>
      <c r="AU642" s="25">
        <v>2.62</v>
      </c>
      <c r="AV642" s="25">
        <v>2.6363636363636358</v>
      </c>
      <c r="AW642">
        <v>2.6363636363636371</v>
      </c>
      <c r="AX642">
        <v>6.0044088459090901</v>
      </c>
      <c r="AY642" s="75">
        <v>0.5117218936152963</v>
      </c>
      <c r="AZ642" s="75"/>
      <c r="BA642" s="75"/>
      <c r="BC642">
        <v>4.0459755096682717E-2</v>
      </c>
      <c r="BF642">
        <v>8.0919510193365449E-2</v>
      </c>
      <c r="BG642">
        <v>4.0459755096682717E-2</v>
      </c>
      <c r="BH642">
        <v>0.5117218936152963</v>
      </c>
      <c r="BI642" s="79" t="s">
        <v>1264</v>
      </c>
      <c r="BJ642" s="79">
        <v>773</v>
      </c>
      <c r="BK642" s="79">
        <v>5</v>
      </c>
      <c r="BL642" s="79" t="s">
        <v>1308</v>
      </c>
      <c r="BM642" s="79" t="s">
        <v>1268</v>
      </c>
      <c r="BN642" s="79" t="s">
        <v>863</v>
      </c>
      <c r="BO642" s="79">
        <v>1</v>
      </c>
      <c r="BP642" s="81">
        <v>84</v>
      </c>
      <c r="BQ642" s="79">
        <v>0.5</v>
      </c>
      <c r="BR642" s="79">
        <v>0</v>
      </c>
      <c r="BS642" s="79" t="s">
        <v>1446</v>
      </c>
      <c r="BT642" s="79" t="s">
        <v>464</v>
      </c>
      <c r="BU642" s="79" t="s">
        <v>1266</v>
      </c>
      <c r="BV642" s="79">
        <v>500</v>
      </c>
      <c r="BW642" s="79">
        <v>500</v>
      </c>
      <c r="BY642" s="79">
        <v>293</v>
      </c>
      <c r="BZ642" s="81">
        <v>75</v>
      </c>
      <c r="CA642">
        <f t="shared" si="149"/>
        <v>4.3174881135363101</v>
      </c>
    </row>
    <row r="643" spans="1:79" x14ac:dyDescent="0.3">
      <c r="A643" s="2" t="s">
        <v>1445</v>
      </c>
      <c r="B643" s="13"/>
      <c r="C643" s="13"/>
      <c r="D643" s="2">
        <v>2.09</v>
      </c>
      <c r="E643" s="2" t="s">
        <v>291</v>
      </c>
      <c r="F643" s="9" t="s">
        <v>531</v>
      </c>
      <c r="G643">
        <v>-1</v>
      </c>
      <c r="I643" s="2"/>
      <c r="J643" s="25">
        <v>1</v>
      </c>
      <c r="K643">
        <v>0</v>
      </c>
      <c r="L643">
        <v>0</v>
      </c>
      <c r="M643" s="2"/>
      <c r="N643" s="2"/>
      <c r="O643" s="2"/>
      <c r="P643" s="2"/>
      <c r="Q643" s="2"/>
      <c r="R643" s="25">
        <v>3.9103940000000001</v>
      </c>
      <c r="S643" s="25">
        <v>3.9103940000000001</v>
      </c>
      <c r="T643" s="25">
        <v>11.314458</v>
      </c>
      <c r="U643">
        <v>0</v>
      </c>
      <c r="X643">
        <v>0</v>
      </c>
      <c r="AA643" s="2"/>
      <c r="AB643">
        <v>14</v>
      </c>
      <c r="AC643" s="55">
        <f t="shared" ref="AC643" si="177">M643*N643*O643</f>
        <v>0</v>
      </c>
      <c r="AD643" s="57">
        <v>173.0114278564659</v>
      </c>
      <c r="AE643" s="55">
        <v>0</v>
      </c>
      <c r="AF643" s="55">
        <v>0</v>
      </c>
      <c r="AG643" s="52"/>
      <c r="AH643" s="51">
        <v>8.0919510193365449E-2</v>
      </c>
      <c r="AI643" s="52"/>
      <c r="AJ643" s="52"/>
      <c r="AK643" s="28">
        <v>1.9090909090909089</v>
      </c>
      <c r="AL643" s="28">
        <v>2.545454545454545</v>
      </c>
      <c r="AM643" s="28">
        <v>0.63636363636363635</v>
      </c>
      <c r="AN643" s="28">
        <v>2.545454545454545</v>
      </c>
      <c r="AO643" s="28">
        <v>0.25</v>
      </c>
      <c r="AP643" s="28">
        <v>0.33333333333333331</v>
      </c>
      <c r="AQ643" s="28">
        <v>8.3333333333333329E-2</v>
      </c>
      <c r="AR643" s="28">
        <v>0.33333333333333331</v>
      </c>
      <c r="AS643" s="25">
        <v>0.82</v>
      </c>
      <c r="AT643" s="25">
        <v>3.44</v>
      </c>
      <c r="AU643" s="25">
        <v>2.62</v>
      </c>
      <c r="AV643" s="25">
        <v>2.6363636363636358</v>
      </c>
      <c r="AW643">
        <v>2.6363636363636371</v>
      </c>
      <c r="AX643">
        <v>6.0044088459090901</v>
      </c>
      <c r="AY643" s="75">
        <v>0.5117218936152963</v>
      </c>
      <c r="AZ643" s="75"/>
      <c r="BA643" s="75"/>
      <c r="BC643">
        <v>4.0459755096682717E-2</v>
      </c>
      <c r="BF643">
        <v>8.0919510193365449E-2</v>
      </c>
      <c r="BG643">
        <v>4.0459755096682717E-2</v>
      </c>
      <c r="BH643">
        <v>0.5117218936152963</v>
      </c>
      <c r="BI643" s="79" t="s">
        <v>1264</v>
      </c>
      <c r="BJ643" s="79">
        <v>773</v>
      </c>
      <c r="BK643" s="79">
        <v>5</v>
      </c>
      <c r="BL643" s="79" t="s">
        <v>1308</v>
      </c>
      <c r="BM643" s="79" t="s">
        <v>1268</v>
      </c>
      <c r="BN643" s="79" t="s">
        <v>863</v>
      </c>
      <c r="BO643" s="79">
        <v>1</v>
      </c>
      <c r="BP643" s="81">
        <v>84</v>
      </c>
      <c r="BQ643" s="79">
        <v>0.5</v>
      </c>
      <c r="BR643" s="79">
        <v>0</v>
      </c>
      <c r="BS643" s="79" t="s">
        <v>1446</v>
      </c>
      <c r="BT643" s="79" t="s">
        <v>464</v>
      </c>
      <c r="BU643" s="79" t="s">
        <v>1266</v>
      </c>
      <c r="BV643" s="79">
        <v>500</v>
      </c>
      <c r="BW643" s="79">
        <v>550</v>
      </c>
      <c r="BY643" s="79">
        <v>293</v>
      </c>
      <c r="BZ643" s="81">
        <v>40</v>
      </c>
      <c r="CA643">
        <f t="shared" ref="CA643:CA706" si="178">LN(BZ643)</f>
        <v>3.6888794541139363</v>
      </c>
    </row>
    <row r="644" spans="1:79" x14ac:dyDescent="0.3">
      <c r="A644" s="2" t="s">
        <v>1445</v>
      </c>
      <c r="B644" s="13"/>
      <c r="C644" s="13"/>
      <c r="D644" s="2">
        <v>2.09</v>
      </c>
      <c r="E644" s="2" t="s">
        <v>291</v>
      </c>
      <c r="F644" s="9" t="s">
        <v>531</v>
      </c>
      <c r="G644">
        <v>-1</v>
      </c>
      <c r="I644" s="2"/>
      <c r="J644" s="25">
        <v>1</v>
      </c>
      <c r="K644">
        <v>0</v>
      </c>
      <c r="L644">
        <v>0</v>
      </c>
      <c r="M644" s="2"/>
      <c r="N644" s="2"/>
      <c r="O644" s="2"/>
      <c r="P644" s="2"/>
      <c r="Q644" s="2"/>
      <c r="R644" s="25">
        <v>3.9103940000000001</v>
      </c>
      <c r="S644" s="25">
        <v>3.9103940000000001</v>
      </c>
      <c r="T644" s="25">
        <v>11.314458</v>
      </c>
      <c r="U644">
        <v>0</v>
      </c>
      <c r="X644">
        <v>0</v>
      </c>
      <c r="AA644" s="2"/>
      <c r="AB644">
        <v>14</v>
      </c>
      <c r="AC644" s="55">
        <f t="shared" ref="AC644" si="179">M644*N644*O644</f>
        <v>0</v>
      </c>
      <c r="AD644" s="57">
        <v>173.0114278564659</v>
      </c>
      <c r="AE644" s="55">
        <v>0</v>
      </c>
      <c r="AF644" s="55">
        <v>0</v>
      </c>
      <c r="AG644" s="52"/>
      <c r="AH644" s="51">
        <v>8.0919510193365449E-2</v>
      </c>
      <c r="AI644" s="52"/>
      <c r="AJ644" s="52"/>
      <c r="AK644" s="28">
        <v>1.9090909090909089</v>
      </c>
      <c r="AL644" s="28">
        <v>2.545454545454545</v>
      </c>
      <c r="AM644" s="28">
        <v>0.63636363636363635</v>
      </c>
      <c r="AN644" s="28">
        <v>2.545454545454545</v>
      </c>
      <c r="AO644" s="28">
        <v>0.25</v>
      </c>
      <c r="AP644" s="28">
        <v>0.33333333333333331</v>
      </c>
      <c r="AQ644" s="28">
        <v>8.3333333333333329E-2</v>
      </c>
      <c r="AR644" s="28">
        <v>0.33333333333333331</v>
      </c>
      <c r="AS644" s="25">
        <v>0.82</v>
      </c>
      <c r="AT644" s="25">
        <v>3.44</v>
      </c>
      <c r="AU644" s="25">
        <v>2.62</v>
      </c>
      <c r="AV644" s="25">
        <v>2.6363636363636358</v>
      </c>
      <c r="AW644">
        <v>2.6363636363636371</v>
      </c>
      <c r="AX644">
        <v>6.0044088459090901</v>
      </c>
      <c r="AY644" s="75">
        <v>0.5117218936152963</v>
      </c>
      <c r="AZ644" s="75"/>
      <c r="BA644" s="75"/>
      <c r="BC644">
        <v>4.0459755096682717E-2</v>
      </c>
      <c r="BF644">
        <v>8.0919510193365449E-2</v>
      </c>
      <c r="BG644">
        <v>4.0459755096682717E-2</v>
      </c>
      <c r="BH644">
        <v>0.5117218936152963</v>
      </c>
      <c r="BI644" s="79" t="s">
        <v>1264</v>
      </c>
      <c r="BJ644" s="79">
        <v>773</v>
      </c>
      <c r="BK644" s="79">
        <v>5</v>
      </c>
      <c r="BL644" s="79" t="s">
        <v>1308</v>
      </c>
      <c r="BM644" s="79" t="s">
        <v>1268</v>
      </c>
      <c r="BN644" s="79" t="s">
        <v>863</v>
      </c>
      <c r="BO644" s="79">
        <v>1</v>
      </c>
      <c r="BP644" s="81">
        <v>84</v>
      </c>
      <c r="BQ644" s="79">
        <v>0.5</v>
      </c>
      <c r="BR644" s="79">
        <v>0</v>
      </c>
      <c r="BS644" s="79" t="s">
        <v>1446</v>
      </c>
      <c r="BT644" s="79" t="s">
        <v>464</v>
      </c>
      <c r="BU644" s="79" t="s">
        <v>1266</v>
      </c>
      <c r="BV644" s="79">
        <v>500</v>
      </c>
      <c r="BW644" s="79">
        <v>600</v>
      </c>
      <c r="BY644" s="79">
        <v>293</v>
      </c>
      <c r="BZ644" s="81">
        <v>5</v>
      </c>
      <c r="CA644">
        <f t="shared" si="178"/>
        <v>1.6094379124341003</v>
      </c>
    </row>
    <row r="645" spans="1:79" x14ac:dyDescent="0.3">
      <c r="A645" s="2" t="s">
        <v>1445</v>
      </c>
      <c r="B645" s="13"/>
      <c r="C645" s="13"/>
      <c r="D645" s="2">
        <v>2.09</v>
      </c>
      <c r="E645" s="2" t="s">
        <v>291</v>
      </c>
      <c r="F645" s="9" t="s">
        <v>531</v>
      </c>
      <c r="G645">
        <v>-1</v>
      </c>
      <c r="I645" s="2"/>
      <c r="J645" s="25">
        <v>1</v>
      </c>
      <c r="K645">
        <v>0</v>
      </c>
      <c r="L645">
        <v>0</v>
      </c>
      <c r="M645" s="2"/>
      <c r="N645" s="2"/>
      <c r="O645" s="2"/>
      <c r="P645" s="2"/>
      <c r="Q645" s="2"/>
      <c r="R645" s="25">
        <v>3.9103940000000001</v>
      </c>
      <c r="S645" s="25">
        <v>3.9103940000000001</v>
      </c>
      <c r="T645" s="25">
        <v>11.314458</v>
      </c>
      <c r="U645">
        <v>0</v>
      </c>
      <c r="X645">
        <v>0</v>
      </c>
      <c r="AA645" s="2"/>
      <c r="AB645">
        <v>14</v>
      </c>
      <c r="AC645" s="55">
        <f t="shared" ref="AC645" si="180">M645*N645*O645</f>
        <v>0</v>
      </c>
      <c r="AD645" s="57">
        <v>173.0114278564659</v>
      </c>
      <c r="AE645" s="55">
        <v>0</v>
      </c>
      <c r="AF645" s="55">
        <v>0</v>
      </c>
      <c r="AG645" s="52"/>
      <c r="AH645" s="51">
        <v>8.0919510193365449E-2</v>
      </c>
      <c r="AI645" s="52"/>
      <c r="AJ645" s="52"/>
      <c r="AK645" s="28">
        <v>1.9090909090909089</v>
      </c>
      <c r="AL645" s="28">
        <v>2.545454545454545</v>
      </c>
      <c r="AM645" s="28">
        <v>0.63636363636363635</v>
      </c>
      <c r="AN645" s="28">
        <v>2.545454545454545</v>
      </c>
      <c r="AO645" s="28">
        <v>0.25</v>
      </c>
      <c r="AP645" s="28">
        <v>0.33333333333333331</v>
      </c>
      <c r="AQ645" s="28">
        <v>8.3333333333333329E-2</v>
      </c>
      <c r="AR645" s="28">
        <v>0.33333333333333331</v>
      </c>
      <c r="AS645" s="25">
        <v>0.82</v>
      </c>
      <c r="AT645" s="25">
        <v>3.44</v>
      </c>
      <c r="AU645" s="25">
        <v>2.62</v>
      </c>
      <c r="AV645" s="25">
        <v>2.6363636363636358</v>
      </c>
      <c r="AW645">
        <v>2.6363636363636371</v>
      </c>
      <c r="AX645">
        <v>6.0044088459090901</v>
      </c>
      <c r="AY645" s="75">
        <v>0.5117218936152963</v>
      </c>
      <c r="AZ645" s="75"/>
      <c r="BA645" s="75"/>
      <c r="BC645">
        <v>4.0459755096682717E-2</v>
      </c>
      <c r="BF645">
        <v>8.0919510193365449E-2</v>
      </c>
      <c r="BG645">
        <v>4.0459755096682717E-2</v>
      </c>
      <c r="BH645">
        <v>0.5117218936152963</v>
      </c>
      <c r="BI645" s="79" t="s">
        <v>1264</v>
      </c>
      <c r="BJ645" s="79">
        <v>773</v>
      </c>
      <c r="BK645" s="79">
        <v>5</v>
      </c>
      <c r="BL645" s="79" t="s">
        <v>1308</v>
      </c>
      <c r="BM645" s="79" t="s">
        <v>1268</v>
      </c>
      <c r="BN645" s="79" t="s">
        <v>863</v>
      </c>
      <c r="BO645" s="79">
        <v>1</v>
      </c>
      <c r="BP645" s="81">
        <v>84</v>
      </c>
      <c r="BQ645" s="79">
        <v>0.5</v>
      </c>
      <c r="BR645" s="79">
        <v>0</v>
      </c>
      <c r="BS645" s="79" t="s">
        <v>1446</v>
      </c>
      <c r="BT645" s="79" t="s">
        <v>464</v>
      </c>
      <c r="BU645" s="79" t="s">
        <v>1266</v>
      </c>
      <c r="BV645" s="79">
        <v>500</v>
      </c>
      <c r="BW645" s="79">
        <v>650</v>
      </c>
      <c r="BY645" s="79">
        <v>293</v>
      </c>
      <c r="BZ645" s="81">
        <v>0</v>
      </c>
      <c r="CA645" t="e">
        <f t="shared" si="178"/>
        <v>#NUM!</v>
      </c>
    </row>
    <row r="646" spans="1:79" x14ac:dyDescent="0.3">
      <c r="A646" s="2" t="s">
        <v>1445</v>
      </c>
      <c r="B646" s="13"/>
      <c r="C646" s="13"/>
      <c r="D646" s="2">
        <v>2.09</v>
      </c>
      <c r="E646" s="2" t="s">
        <v>291</v>
      </c>
      <c r="F646" s="9" t="s">
        <v>531</v>
      </c>
      <c r="G646">
        <v>-1</v>
      </c>
      <c r="I646" s="2"/>
      <c r="J646" s="25">
        <v>1</v>
      </c>
      <c r="K646">
        <v>0</v>
      </c>
      <c r="L646">
        <v>0</v>
      </c>
      <c r="M646" s="2"/>
      <c r="N646" s="2"/>
      <c r="O646" s="2"/>
      <c r="P646" s="2"/>
      <c r="Q646" s="2"/>
      <c r="R646" s="25">
        <v>3.9103940000000001</v>
      </c>
      <c r="S646" s="25">
        <v>3.9103940000000001</v>
      </c>
      <c r="T646" s="25">
        <v>11.314458</v>
      </c>
      <c r="U646">
        <v>0</v>
      </c>
      <c r="X646">
        <v>0</v>
      </c>
      <c r="AA646" s="2"/>
      <c r="AB646">
        <v>14</v>
      </c>
      <c r="AC646" s="55">
        <f t="shared" ref="AC646" si="181">M646*N646*O646</f>
        <v>0</v>
      </c>
      <c r="AD646" s="57">
        <v>173.0114278564659</v>
      </c>
      <c r="AE646" s="55">
        <v>0</v>
      </c>
      <c r="AF646" s="55">
        <v>0</v>
      </c>
      <c r="AG646" s="52"/>
      <c r="AH646" s="51">
        <v>8.0919510193365449E-2</v>
      </c>
      <c r="AI646" s="52"/>
      <c r="AJ646" s="52"/>
      <c r="AK646" s="28">
        <v>1.9090909090909089</v>
      </c>
      <c r="AL646" s="28">
        <v>2.545454545454545</v>
      </c>
      <c r="AM646" s="28">
        <v>0.63636363636363635</v>
      </c>
      <c r="AN646" s="28">
        <v>2.545454545454545</v>
      </c>
      <c r="AO646" s="28">
        <v>0.25</v>
      </c>
      <c r="AP646" s="28">
        <v>0.33333333333333331</v>
      </c>
      <c r="AQ646" s="28">
        <v>8.3333333333333329E-2</v>
      </c>
      <c r="AR646" s="28">
        <v>0.33333333333333331</v>
      </c>
      <c r="AS646" s="25">
        <v>0.82</v>
      </c>
      <c r="AT646" s="25">
        <v>3.44</v>
      </c>
      <c r="AU646" s="25">
        <v>2.62</v>
      </c>
      <c r="AV646" s="25">
        <v>2.6363636363636358</v>
      </c>
      <c r="AW646">
        <v>2.6363636363636371</v>
      </c>
      <c r="AX646">
        <v>6.0044088459090901</v>
      </c>
      <c r="AY646" s="75">
        <v>0.5117218936152963</v>
      </c>
      <c r="AZ646" s="75"/>
      <c r="BA646" s="75"/>
      <c r="BC646">
        <v>4.0459755096682717E-2</v>
      </c>
      <c r="BF646">
        <v>8.0919510193365449E-2</v>
      </c>
      <c r="BG646">
        <v>4.0459755096682717E-2</v>
      </c>
      <c r="BH646">
        <v>0.5117218936152963</v>
      </c>
      <c r="BI646" s="79" t="s">
        <v>1264</v>
      </c>
      <c r="BJ646" s="79">
        <v>773</v>
      </c>
      <c r="BK646" s="79">
        <v>5</v>
      </c>
      <c r="BL646" s="79" t="s">
        <v>1308</v>
      </c>
      <c r="BM646" s="79" t="s">
        <v>1268</v>
      </c>
      <c r="BN646" s="79" t="s">
        <v>863</v>
      </c>
      <c r="BO646" s="79">
        <v>1</v>
      </c>
      <c r="BP646" s="81">
        <v>84</v>
      </c>
      <c r="BQ646" s="79">
        <v>0.5</v>
      </c>
      <c r="BR646" s="79">
        <v>0</v>
      </c>
      <c r="BS646" s="79" t="s">
        <v>1446</v>
      </c>
      <c r="BT646" s="79" t="s">
        <v>464</v>
      </c>
      <c r="BU646" s="79" t="s">
        <v>1266</v>
      </c>
      <c r="BV646" s="79">
        <v>500</v>
      </c>
      <c r="BW646" s="79">
        <v>400</v>
      </c>
      <c r="BY646" s="79">
        <v>293</v>
      </c>
      <c r="BZ646" s="81">
        <v>250</v>
      </c>
      <c r="CA646">
        <f t="shared" si="178"/>
        <v>5.521460917862246</v>
      </c>
    </row>
    <row r="647" spans="1:79" x14ac:dyDescent="0.3">
      <c r="A647" s="2" t="s">
        <v>1445</v>
      </c>
      <c r="B647" s="13"/>
      <c r="C647" s="13"/>
      <c r="D647" s="2">
        <v>2.09</v>
      </c>
      <c r="E647" s="2" t="s">
        <v>291</v>
      </c>
      <c r="F647" s="9" t="s">
        <v>531</v>
      </c>
      <c r="G647">
        <v>-1</v>
      </c>
      <c r="I647" s="2"/>
      <c r="J647" s="25">
        <v>1</v>
      </c>
      <c r="K647">
        <v>0</v>
      </c>
      <c r="L647">
        <v>0</v>
      </c>
      <c r="M647" s="2"/>
      <c r="N647" s="2"/>
      <c r="O647" s="2"/>
      <c r="P647" s="2"/>
      <c r="Q647" s="2"/>
      <c r="R647" s="25">
        <v>3.9103940000000001</v>
      </c>
      <c r="S647" s="25">
        <v>3.9103940000000001</v>
      </c>
      <c r="T647" s="25">
        <v>11.314458</v>
      </c>
      <c r="U647">
        <v>0</v>
      </c>
      <c r="X647">
        <v>0</v>
      </c>
      <c r="AA647" s="2"/>
      <c r="AB647">
        <v>14</v>
      </c>
      <c r="AC647" s="55">
        <f t="shared" ref="AC647" si="182">M647*N647*O647</f>
        <v>0</v>
      </c>
      <c r="AD647" s="57">
        <v>173.0114278564659</v>
      </c>
      <c r="AE647" s="55">
        <v>0</v>
      </c>
      <c r="AF647" s="55">
        <v>0</v>
      </c>
      <c r="AG647" s="52"/>
      <c r="AH647" s="51">
        <v>8.0919510193365449E-2</v>
      </c>
      <c r="AI647" s="52"/>
      <c r="AJ647" s="52"/>
      <c r="AK647" s="28">
        <v>1.9090909090909089</v>
      </c>
      <c r="AL647" s="28">
        <v>2.545454545454545</v>
      </c>
      <c r="AM647" s="28">
        <v>0.63636363636363635</v>
      </c>
      <c r="AN647" s="28">
        <v>2.545454545454545</v>
      </c>
      <c r="AO647" s="28">
        <v>0.25</v>
      </c>
      <c r="AP647" s="28">
        <v>0.33333333333333331</v>
      </c>
      <c r="AQ647" s="28">
        <v>8.3333333333333329E-2</v>
      </c>
      <c r="AR647" s="28">
        <v>0.33333333333333331</v>
      </c>
      <c r="AS647" s="25">
        <v>0.82</v>
      </c>
      <c r="AT647" s="25">
        <v>3.44</v>
      </c>
      <c r="AU647" s="25">
        <v>2.62</v>
      </c>
      <c r="AV647" s="25">
        <v>2.6363636363636358</v>
      </c>
      <c r="AW647">
        <v>2.6363636363636371</v>
      </c>
      <c r="AX647">
        <v>6.0044088459090901</v>
      </c>
      <c r="AY647" s="75">
        <v>0.5117218936152963</v>
      </c>
      <c r="AZ647" s="75"/>
      <c r="BA647" s="75"/>
      <c r="BC647">
        <v>4.0459755096682717E-2</v>
      </c>
      <c r="BF647">
        <v>8.0919510193365449E-2</v>
      </c>
      <c r="BG647">
        <v>4.0459755096682717E-2</v>
      </c>
      <c r="BH647">
        <v>0.5117218936152963</v>
      </c>
      <c r="BI647" s="79" t="s">
        <v>1264</v>
      </c>
      <c r="BJ647" s="79">
        <v>773</v>
      </c>
      <c r="BK647" s="79">
        <v>5</v>
      </c>
      <c r="BL647" s="79" t="s">
        <v>1308</v>
      </c>
      <c r="BM647" s="79" t="s">
        <v>1268</v>
      </c>
      <c r="BN647" s="79" t="s">
        <v>863</v>
      </c>
      <c r="BO647" s="79">
        <v>2</v>
      </c>
      <c r="BP647" s="81">
        <v>84</v>
      </c>
      <c r="BQ647" s="79">
        <v>0.5</v>
      </c>
      <c r="BR647" s="79">
        <v>0</v>
      </c>
      <c r="BS647" s="79" t="s">
        <v>1446</v>
      </c>
      <c r="BT647" s="79" t="s">
        <v>464</v>
      </c>
      <c r="BU647" s="79" t="s">
        <v>1266</v>
      </c>
      <c r="BV647" s="79">
        <v>500</v>
      </c>
      <c r="BW647" s="79">
        <v>400</v>
      </c>
      <c r="BY647" s="79">
        <v>293</v>
      </c>
      <c r="BZ647" s="81">
        <v>750</v>
      </c>
      <c r="CA647">
        <f t="shared" si="178"/>
        <v>6.620073206530356</v>
      </c>
    </row>
    <row r="648" spans="1:79" x14ac:dyDescent="0.3">
      <c r="A648" s="2" t="s">
        <v>1445</v>
      </c>
      <c r="B648" s="13"/>
      <c r="C648" s="13"/>
      <c r="D648" s="2">
        <v>2.09</v>
      </c>
      <c r="E648" s="2" t="s">
        <v>291</v>
      </c>
      <c r="F648" s="9" t="s">
        <v>531</v>
      </c>
      <c r="G648">
        <v>-1</v>
      </c>
      <c r="I648" s="2"/>
      <c r="J648" s="25">
        <v>1</v>
      </c>
      <c r="K648">
        <v>0</v>
      </c>
      <c r="L648">
        <v>0</v>
      </c>
      <c r="M648" s="2"/>
      <c r="N648" s="2"/>
      <c r="O648" s="2"/>
      <c r="P648" s="2"/>
      <c r="Q648" s="2"/>
      <c r="R648" s="25">
        <v>3.9103940000000001</v>
      </c>
      <c r="S648" s="25">
        <v>3.9103940000000001</v>
      </c>
      <c r="T648" s="25">
        <v>11.314458</v>
      </c>
      <c r="U648">
        <v>0</v>
      </c>
      <c r="X648">
        <v>0</v>
      </c>
      <c r="AA648" s="2"/>
      <c r="AB648">
        <v>14</v>
      </c>
      <c r="AC648" s="55">
        <f t="shared" ref="AC648:AC650" si="183">M648*N648*O648</f>
        <v>0</v>
      </c>
      <c r="AD648" s="57">
        <v>173.0114278564659</v>
      </c>
      <c r="AE648" s="55">
        <v>0</v>
      </c>
      <c r="AF648" s="55">
        <v>0</v>
      </c>
      <c r="AG648" s="52"/>
      <c r="AH648" s="51">
        <v>8.0919510193365449E-2</v>
      </c>
      <c r="AI648" s="52"/>
      <c r="AJ648" s="52"/>
      <c r="AK648" s="28">
        <v>1.9090909090909089</v>
      </c>
      <c r="AL648" s="28">
        <v>2.545454545454545</v>
      </c>
      <c r="AM648" s="28">
        <v>0.63636363636363635</v>
      </c>
      <c r="AN648" s="28">
        <v>2.545454545454545</v>
      </c>
      <c r="AO648" s="28">
        <v>0.25</v>
      </c>
      <c r="AP648" s="28">
        <v>0.33333333333333331</v>
      </c>
      <c r="AQ648" s="28">
        <v>8.3333333333333329E-2</v>
      </c>
      <c r="AR648" s="28">
        <v>0.33333333333333331</v>
      </c>
      <c r="AS648" s="25">
        <v>0.82</v>
      </c>
      <c r="AT648" s="25">
        <v>3.44</v>
      </c>
      <c r="AU648" s="25">
        <v>2.62</v>
      </c>
      <c r="AV648" s="25">
        <v>2.6363636363636358</v>
      </c>
      <c r="AW648">
        <v>2.6363636363636371</v>
      </c>
      <c r="AX648">
        <v>6.0044088459090901</v>
      </c>
      <c r="AY648" s="75">
        <v>0.5117218936152963</v>
      </c>
      <c r="AZ648" s="75"/>
      <c r="BA648" s="75"/>
      <c r="BC648">
        <v>4.0459755096682717E-2</v>
      </c>
      <c r="BF648">
        <v>8.0919510193365449E-2</v>
      </c>
      <c r="BG648">
        <v>4.0459755096682717E-2</v>
      </c>
      <c r="BH648">
        <v>0.5117218936152963</v>
      </c>
      <c r="BI648" s="79" t="s">
        <v>1264</v>
      </c>
      <c r="BJ648" s="79">
        <v>773</v>
      </c>
      <c r="BK648" s="79">
        <v>5</v>
      </c>
      <c r="BL648" s="79" t="s">
        <v>1308</v>
      </c>
      <c r="BM648" s="79" t="s">
        <v>1268</v>
      </c>
      <c r="BN648" s="79" t="s">
        <v>863</v>
      </c>
      <c r="BO648" s="79">
        <v>3</v>
      </c>
      <c r="BP648" s="81">
        <v>84</v>
      </c>
      <c r="BQ648" s="79">
        <v>0.5</v>
      </c>
      <c r="BR648" s="79">
        <v>0</v>
      </c>
      <c r="BS648" s="79" t="s">
        <v>1446</v>
      </c>
      <c r="BT648" s="79" t="s">
        <v>464</v>
      </c>
      <c r="BU648" s="79" t="s">
        <v>1266</v>
      </c>
      <c r="BV648" s="79">
        <v>500</v>
      </c>
      <c r="BW648" s="79">
        <v>400</v>
      </c>
      <c r="BY648" s="79">
        <v>293</v>
      </c>
      <c r="BZ648" s="81">
        <v>600</v>
      </c>
      <c r="CA648">
        <f t="shared" si="178"/>
        <v>6.3969296552161463</v>
      </c>
    </row>
    <row r="649" spans="1:79" x14ac:dyDescent="0.3">
      <c r="A649" s="2" t="s">
        <v>1445</v>
      </c>
      <c r="B649" s="13"/>
      <c r="C649" s="13"/>
      <c r="D649" s="2">
        <v>2.09</v>
      </c>
      <c r="E649" s="2" t="s">
        <v>291</v>
      </c>
      <c r="F649" s="9" t="s">
        <v>531</v>
      </c>
      <c r="G649">
        <v>-1</v>
      </c>
      <c r="I649" s="2"/>
      <c r="J649" s="25">
        <v>1</v>
      </c>
      <c r="K649">
        <v>0</v>
      </c>
      <c r="L649">
        <v>0</v>
      </c>
      <c r="M649" s="2"/>
      <c r="N649" s="2"/>
      <c r="O649" s="2"/>
      <c r="P649" s="2"/>
      <c r="Q649" s="2"/>
      <c r="R649" s="25">
        <v>3.9103940000000001</v>
      </c>
      <c r="S649" s="25">
        <v>3.9103940000000001</v>
      </c>
      <c r="T649" s="25">
        <v>11.314458</v>
      </c>
      <c r="U649">
        <v>0</v>
      </c>
      <c r="X649">
        <v>0</v>
      </c>
      <c r="AA649" s="2"/>
      <c r="AB649">
        <v>14</v>
      </c>
      <c r="AC649" s="55">
        <f t="shared" si="183"/>
        <v>0</v>
      </c>
      <c r="AD649" s="57">
        <v>173.0114278564659</v>
      </c>
      <c r="AE649" s="55">
        <v>0</v>
      </c>
      <c r="AF649" s="55">
        <v>0</v>
      </c>
      <c r="AG649" s="52"/>
      <c r="AH649" s="51">
        <v>8.0919510193365449E-2</v>
      </c>
      <c r="AI649" s="52"/>
      <c r="AJ649" s="52"/>
      <c r="AK649" s="28">
        <v>1.9090909090909089</v>
      </c>
      <c r="AL649" s="28">
        <v>2.545454545454545</v>
      </c>
      <c r="AM649" s="28">
        <v>0.63636363636363635</v>
      </c>
      <c r="AN649" s="28">
        <v>2.545454545454545</v>
      </c>
      <c r="AO649" s="28">
        <v>0.25</v>
      </c>
      <c r="AP649" s="28">
        <v>0.33333333333333331</v>
      </c>
      <c r="AQ649" s="28">
        <v>8.3333333333333329E-2</v>
      </c>
      <c r="AR649" s="28">
        <v>0.33333333333333331</v>
      </c>
      <c r="AS649" s="25">
        <v>0.82</v>
      </c>
      <c r="AT649" s="25">
        <v>3.44</v>
      </c>
      <c r="AU649" s="25">
        <v>2.62</v>
      </c>
      <c r="AV649" s="25">
        <v>2.6363636363636358</v>
      </c>
      <c r="AW649">
        <v>2.6363636363636371</v>
      </c>
      <c r="AX649">
        <v>6.0044088459090901</v>
      </c>
      <c r="AY649" s="75">
        <v>0.5117218936152963</v>
      </c>
      <c r="AZ649" s="75"/>
      <c r="BA649" s="75"/>
      <c r="BC649">
        <v>4.0459755096682717E-2</v>
      </c>
      <c r="BF649">
        <v>8.0919510193365449E-2</v>
      </c>
      <c r="BG649">
        <v>4.0459755096682717E-2</v>
      </c>
      <c r="BH649">
        <v>0.5117218936152963</v>
      </c>
      <c r="BI649" s="79" t="s">
        <v>1264</v>
      </c>
      <c r="BJ649" s="79">
        <v>773</v>
      </c>
      <c r="BK649" s="79">
        <v>5</v>
      </c>
      <c r="BL649" s="79" t="s">
        <v>1308</v>
      </c>
      <c r="BM649" s="79" t="s">
        <v>1268</v>
      </c>
      <c r="BN649" s="79" t="s">
        <v>863</v>
      </c>
      <c r="BO649" s="79">
        <v>1</v>
      </c>
      <c r="BP649" s="81">
        <v>84</v>
      </c>
      <c r="BQ649" s="79">
        <v>0.5</v>
      </c>
      <c r="BR649" s="79">
        <v>0</v>
      </c>
      <c r="BS649" s="79" t="s">
        <v>1446</v>
      </c>
      <c r="BT649" s="79" t="s">
        <v>464</v>
      </c>
      <c r="BU649" s="79" t="s">
        <v>1266</v>
      </c>
      <c r="BV649" s="79">
        <v>500</v>
      </c>
      <c r="BW649" s="79">
        <v>250</v>
      </c>
      <c r="BY649" s="79">
        <v>293</v>
      </c>
      <c r="BZ649" s="81">
        <v>2250</v>
      </c>
      <c r="CA649">
        <f t="shared" si="178"/>
        <v>7.718685495198466</v>
      </c>
    </row>
    <row r="650" spans="1:79" x14ac:dyDescent="0.3">
      <c r="A650" s="2" t="s">
        <v>1445</v>
      </c>
      <c r="B650" s="13"/>
      <c r="C650" s="13"/>
      <c r="D650" s="2">
        <v>2.09</v>
      </c>
      <c r="E650" s="2" t="s">
        <v>291</v>
      </c>
      <c r="F650" s="9" t="s">
        <v>531</v>
      </c>
      <c r="G650">
        <v>-1</v>
      </c>
      <c r="I650" s="2"/>
      <c r="J650" s="25">
        <v>1</v>
      </c>
      <c r="K650">
        <v>0</v>
      </c>
      <c r="L650">
        <v>0</v>
      </c>
      <c r="M650" s="2"/>
      <c r="N650" s="2"/>
      <c r="O650" s="2"/>
      <c r="P650" s="2"/>
      <c r="Q650" s="2"/>
      <c r="R650" s="25">
        <v>3.9103940000000001</v>
      </c>
      <c r="S650" s="25">
        <v>3.9103940000000001</v>
      </c>
      <c r="T650" s="25">
        <v>11.314458</v>
      </c>
      <c r="U650">
        <v>0</v>
      </c>
      <c r="X650">
        <v>0</v>
      </c>
      <c r="AA650" s="2"/>
      <c r="AB650">
        <v>14</v>
      </c>
      <c r="AC650" s="55">
        <f t="shared" si="183"/>
        <v>0</v>
      </c>
      <c r="AD650" s="57">
        <v>173.0114278564659</v>
      </c>
      <c r="AE650" s="55">
        <v>0</v>
      </c>
      <c r="AF650" s="55">
        <v>0</v>
      </c>
      <c r="AG650" s="52"/>
      <c r="AH650" s="51">
        <v>8.0919510193365449E-2</v>
      </c>
      <c r="AI650" s="52"/>
      <c r="AJ650" s="52"/>
      <c r="AK650" s="28">
        <v>1.9090909090909089</v>
      </c>
      <c r="AL650" s="28">
        <v>2.545454545454545</v>
      </c>
      <c r="AM650" s="28">
        <v>0.63636363636363635</v>
      </c>
      <c r="AN650" s="28">
        <v>2.545454545454545</v>
      </c>
      <c r="AO650" s="28">
        <v>0.25</v>
      </c>
      <c r="AP650" s="28">
        <v>0.33333333333333331</v>
      </c>
      <c r="AQ650" s="28">
        <v>8.3333333333333329E-2</v>
      </c>
      <c r="AR650" s="28">
        <v>0.33333333333333331</v>
      </c>
      <c r="AS650" s="25">
        <v>0.82</v>
      </c>
      <c r="AT650" s="25">
        <v>3.44</v>
      </c>
      <c r="AU650" s="25">
        <v>2.62</v>
      </c>
      <c r="AV650" s="25">
        <v>2.6363636363636358</v>
      </c>
      <c r="AW650">
        <v>2.6363636363636371</v>
      </c>
      <c r="AX650">
        <v>6.0044088459090901</v>
      </c>
      <c r="AY650" s="75">
        <v>0.5117218936152963</v>
      </c>
      <c r="AZ650" s="75"/>
      <c r="BA650" s="75"/>
      <c r="BC650">
        <v>4.0459755096682717E-2</v>
      </c>
      <c r="BF650">
        <v>8.0919510193365449E-2</v>
      </c>
      <c r="BG650">
        <v>4.0459755096682717E-2</v>
      </c>
      <c r="BH650">
        <v>0.5117218936152963</v>
      </c>
      <c r="BI650" s="79" t="s">
        <v>1264</v>
      </c>
      <c r="BJ650" s="79">
        <v>773</v>
      </c>
      <c r="BK650" s="79">
        <v>5</v>
      </c>
      <c r="BL650" s="79" t="s">
        <v>1308</v>
      </c>
      <c r="BM650" s="79" t="s">
        <v>1268</v>
      </c>
      <c r="BN650" s="79" t="s">
        <v>863</v>
      </c>
      <c r="BO650" s="79">
        <v>2</v>
      </c>
      <c r="BP650" s="81">
        <v>84</v>
      </c>
      <c r="BQ650" s="79">
        <v>0.5</v>
      </c>
      <c r="BR650" s="79">
        <v>0</v>
      </c>
      <c r="BS650" s="79" t="s">
        <v>1446</v>
      </c>
      <c r="BT650" s="79" t="s">
        <v>464</v>
      </c>
      <c r="BU650" s="79" t="s">
        <v>1266</v>
      </c>
      <c r="BV650" s="79">
        <v>500</v>
      </c>
      <c r="BW650" s="79">
        <v>250</v>
      </c>
      <c r="BY650" s="79">
        <v>293</v>
      </c>
      <c r="BZ650" s="81">
        <v>4250</v>
      </c>
      <c r="CA650">
        <f t="shared" si="178"/>
        <v>8.3546742619184631</v>
      </c>
    </row>
    <row r="651" spans="1:79" x14ac:dyDescent="0.3">
      <c r="A651" s="2" t="s">
        <v>1445</v>
      </c>
      <c r="B651" s="13"/>
      <c r="C651" s="13"/>
      <c r="D651" s="2">
        <v>2.09</v>
      </c>
      <c r="E651" s="2" t="s">
        <v>291</v>
      </c>
      <c r="F651" s="9" t="s">
        <v>531</v>
      </c>
      <c r="G651">
        <v>-1</v>
      </c>
      <c r="I651" s="2"/>
      <c r="J651" s="25">
        <v>1</v>
      </c>
      <c r="K651">
        <v>0</v>
      </c>
      <c r="L651">
        <v>0</v>
      </c>
      <c r="M651" s="2"/>
      <c r="N651" s="2"/>
      <c r="O651" s="2"/>
      <c r="P651" s="2"/>
      <c r="Q651" s="2"/>
      <c r="R651" s="25">
        <v>3.9103940000000001</v>
      </c>
      <c r="S651" s="25">
        <v>3.9103940000000001</v>
      </c>
      <c r="T651" s="25">
        <v>11.314458</v>
      </c>
      <c r="U651">
        <v>0</v>
      </c>
      <c r="X651">
        <v>0</v>
      </c>
      <c r="AA651" s="2"/>
      <c r="AB651">
        <v>14</v>
      </c>
      <c r="AC651" s="55">
        <f t="shared" ref="AC651" si="184">M651*N651*O651</f>
        <v>0</v>
      </c>
      <c r="AD651" s="57">
        <v>173.0114278564659</v>
      </c>
      <c r="AE651" s="55">
        <v>0</v>
      </c>
      <c r="AF651" s="55">
        <v>0</v>
      </c>
      <c r="AG651" s="52"/>
      <c r="AH651" s="51">
        <v>8.0919510193365449E-2</v>
      </c>
      <c r="AI651" s="52"/>
      <c r="AJ651" s="52"/>
      <c r="AK651" s="28">
        <v>1.9090909090909089</v>
      </c>
      <c r="AL651" s="28">
        <v>2.545454545454545</v>
      </c>
      <c r="AM651" s="28">
        <v>0.63636363636363635</v>
      </c>
      <c r="AN651" s="28">
        <v>2.545454545454545</v>
      </c>
      <c r="AO651" s="28">
        <v>0.25</v>
      </c>
      <c r="AP651" s="28">
        <v>0.33333333333333331</v>
      </c>
      <c r="AQ651" s="28">
        <v>8.3333333333333329E-2</v>
      </c>
      <c r="AR651" s="28">
        <v>0.33333333333333331</v>
      </c>
      <c r="AS651" s="25">
        <v>0.82</v>
      </c>
      <c r="AT651" s="25">
        <v>3.44</v>
      </c>
      <c r="AU651" s="25">
        <v>2.62</v>
      </c>
      <c r="AV651" s="25">
        <v>2.6363636363636358</v>
      </c>
      <c r="AW651">
        <v>2.6363636363636371</v>
      </c>
      <c r="AX651">
        <v>6.0044088459090901</v>
      </c>
      <c r="AY651" s="75">
        <v>0.5117218936152963</v>
      </c>
      <c r="AZ651" s="75"/>
      <c r="BA651" s="75"/>
      <c r="BC651">
        <v>4.0459755096682717E-2</v>
      </c>
      <c r="BF651">
        <v>8.0919510193365449E-2</v>
      </c>
      <c r="BG651">
        <v>4.0459755096682717E-2</v>
      </c>
      <c r="BH651">
        <v>0.5117218936152963</v>
      </c>
      <c r="BI651" s="79" t="s">
        <v>1264</v>
      </c>
      <c r="BJ651" s="79">
        <v>773</v>
      </c>
      <c r="BK651" s="79">
        <v>5</v>
      </c>
      <c r="BL651" s="79" t="s">
        <v>1308</v>
      </c>
      <c r="BM651" s="79" t="s">
        <v>1268</v>
      </c>
      <c r="BN651" s="79" t="s">
        <v>863</v>
      </c>
      <c r="BO651" s="79">
        <v>3</v>
      </c>
      <c r="BP651" s="81">
        <v>84</v>
      </c>
      <c r="BQ651" s="79">
        <v>0.5</v>
      </c>
      <c r="BR651" s="79">
        <v>0</v>
      </c>
      <c r="BS651" s="79" t="s">
        <v>1446</v>
      </c>
      <c r="BT651" s="79" t="s">
        <v>464</v>
      </c>
      <c r="BU651" s="79" t="s">
        <v>1266</v>
      </c>
      <c r="BV651" s="79">
        <v>500</v>
      </c>
      <c r="BW651" s="79">
        <v>250</v>
      </c>
      <c r="BY651" s="79">
        <v>293</v>
      </c>
      <c r="BZ651" s="81">
        <v>2100</v>
      </c>
      <c r="CA651">
        <f t="shared" si="178"/>
        <v>7.6496926237115144</v>
      </c>
    </row>
    <row r="652" spans="1:79" x14ac:dyDescent="0.3">
      <c r="A652" s="2" t="s">
        <v>4</v>
      </c>
      <c r="B652" s="13" t="s">
        <v>689</v>
      </c>
      <c r="C652" s="13"/>
      <c r="D652" s="2">
        <v>3.22</v>
      </c>
      <c r="E652" s="2" t="s">
        <v>292</v>
      </c>
      <c r="F652" s="70" t="s">
        <v>527</v>
      </c>
      <c r="G652">
        <v>-1</v>
      </c>
      <c r="I652" s="2">
        <v>4</v>
      </c>
      <c r="J652" s="25">
        <v>4</v>
      </c>
      <c r="K652">
        <v>0</v>
      </c>
      <c r="L652">
        <v>0</v>
      </c>
      <c r="M652" s="2">
        <v>-1</v>
      </c>
      <c r="N652" s="2"/>
      <c r="O652" s="2"/>
      <c r="P652" s="2"/>
      <c r="Q652" s="2"/>
      <c r="R652" s="25">
        <v>7.8084429999999996</v>
      </c>
      <c r="S652" s="25">
        <v>7.8548809999999998</v>
      </c>
      <c r="T652" s="25">
        <v>15.19056011</v>
      </c>
      <c r="U652">
        <v>0</v>
      </c>
      <c r="X652">
        <v>0</v>
      </c>
      <c r="AA652" s="2"/>
      <c r="AB652">
        <v>20</v>
      </c>
      <c r="AC652" s="55">
        <v>850</v>
      </c>
      <c r="AD652" s="57">
        <v>924.74694795000005</v>
      </c>
      <c r="AE652" s="55">
        <v>0</v>
      </c>
      <c r="AF652" s="55">
        <v>0</v>
      </c>
      <c r="AG652" s="52">
        <f t="shared" ref="AG652:AG663" si="185">I652*AB652/AC652</f>
        <v>9.4117647058823528E-2</v>
      </c>
      <c r="AH652" s="51">
        <f>J652*AB652/AD652</f>
        <v>8.6510153050351563E-2</v>
      </c>
      <c r="AI652" s="52"/>
      <c r="AJ652" s="52"/>
      <c r="AK652" s="28">
        <v>1.75</v>
      </c>
      <c r="AL652" s="28">
        <v>2.5</v>
      </c>
      <c r="AM652" s="28">
        <v>0.75</v>
      </c>
      <c r="AN652" s="28">
        <v>0</v>
      </c>
      <c r="AO652" s="28">
        <v>0.35</v>
      </c>
      <c r="AP652" s="28">
        <v>0.5</v>
      </c>
      <c r="AQ652" s="28">
        <v>0.15</v>
      </c>
      <c r="AR652" s="28">
        <v>0</v>
      </c>
      <c r="AS652" s="25">
        <v>0.82</v>
      </c>
      <c r="AT652" s="25">
        <v>3.44</v>
      </c>
      <c r="AU652" s="25">
        <v>2.62</v>
      </c>
      <c r="AV652" s="25">
        <v>2.6262500000000002</v>
      </c>
      <c r="AW652">
        <v>2.6262500000000002</v>
      </c>
      <c r="AX652">
        <v>5.96680968125</v>
      </c>
      <c r="AY652" s="75">
        <v>0.50555206026575039</v>
      </c>
      <c r="AZ652" s="75"/>
      <c r="BA652" s="75"/>
      <c r="BB652">
        <v>4.7058823529411757E-2</v>
      </c>
      <c r="BC652">
        <v>4.3255076525175781E-2</v>
      </c>
      <c r="BF652">
        <v>9.0313900054587545E-2</v>
      </c>
      <c r="BG652">
        <v>4.5156950027293773E-2</v>
      </c>
      <c r="BH652">
        <v>0.50555206026575039</v>
      </c>
      <c r="BI652" s="79" t="s">
        <v>1264</v>
      </c>
      <c r="BJ652" s="79">
        <v>1473</v>
      </c>
      <c r="BK652" s="79">
        <v>12</v>
      </c>
      <c r="BM652" s="79" t="s">
        <v>464</v>
      </c>
      <c r="BN652" s="79" t="s">
        <v>464</v>
      </c>
      <c r="BO652" s="79">
        <v>0</v>
      </c>
      <c r="BQ652" s="79">
        <v>1</v>
      </c>
      <c r="BR652" s="79">
        <v>20</v>
      </c>
      <c r="BS652" s="79" t="s">
        <v>464</v>
      </c>
      <c r="BT652" s="79" t="s">
        <v>464</v>
      </c>
      <c r="BU652" s="79" t="s">
        <v>1271</v>
      </c>
      <c r="BV652" s="79">
        <v>300</v>
      </c>
      <c r="BW652" s="79">
        <v>300</v>
      </c>
      <c r="BY652" s="79">
        <v>298</v>
      </c>
      <c r="CA652" t="e">
        <f t="shared" si="178"/>
        <v>#NUM!</v>
      </c>
    </row>
    <row r="653" spans="1:79" x14ac:dyDescent="0.3">
      <c r="A653" s="42" t="s">
        <v>991</v>
      </c>
      <c r="B653" s="18" t="s">
        <v>693</v>
      </c>
      <c r="C653" s="13"/>
      <c r="D653" s="2">
        <v>3.1</v>
      </c>
      <c r="E653" s="2" t="s">
        <v>292</v>
      </c>
      <c r="F653" s="9">
        <v>-1</v>
      </c>
      <c r="G653">
        <v>-1</v>
      </c>
      <c r="I653" s="2">
        <v>4</v>
      </c>
      <c r="J653" s="25">
        <v>0</v>
      </c>
      <c r="K653">
        <v>0</v>
      </c>
      <c r="L653">
        <v>0</v>
      </c>
      <c r="M653" s="2">
        <v>3.8759999999999999</v>
      </c>
      <c r="N653" s="2">
        <v>3.8849999999999998</v>
      </c>
      <c r="O653" s="2">
        <v>37.359000000000002</v>
      </c>
      <c r="P653" s="2" t="s">
        <v>1175</v>
      </c>
      <c r="Q653" s="2"/>
      <c r="R653" s="25">
        <v>0</v>
      </c>
      <c r="S653" s="25"/>
      <c r="T653" s="25"/>
      <c r="U653">
        <v>0</v>
      </c>
      <c r="X653">
        <v>0</v>
      </c>
      <c r="AA653" s="2"/>
      <c r="AB653">
        <v>26</v>
      </c>
      <c r="AC653" s="55">
        <v>1100</v>
      </c>
      <c r="AD653" s="57">
        <v>0</v>
      </c>
      <c r="AE653" s="55">
        <v>0</v>
      </c>
      <c r="AF653" s="55">
        <v>0</v>
      </c>
      <c r="AG653" s="52">
        <f t="shared" si="185"/>
        <v>9.4545454545454544E-2</v>
      </c>
      <c r="AH653" s="51"/>
      <c r="AI653" s="52"/>
      <c r="AJ653" s="52"/>
      <c r="AK653" s="28">
        <v>1.714285714285714</v>
      </c>
      <c r="AL653" s="28">
        <v>2.4761904761904758</v>
      </c>
      <c r="AM653" s="28">
        <v>0.76190476190476186</v>
      </c>
      <c r="AN653" s="28">
        <v>0</v>
      </c>
      <c r="AO653" s="28">
        <v>0.34615384615384609</v>
      </c>
      <c r="AP653" s="28">
        <v>0.5</v>
      </c>
      <c r="AQ653" s="28">
        <v>0.1538461538461538</v>
      </c>
      <c r="AR653" s="28">
        <v>0</v>
      </c>
      <c r="AS653" s="25">
        <v>0.82</v>
      </c>
      <c r="AT653" s="25">
        <v>3.44</v>
      </c>
      <c r="AU653" s="25">
        <v>2.62</v>
      </c>
      <c r="AV653" s="25">
        <v>2.612857142857143</v>
      </c>
      <c r="AW653">
        <v>2.612857142857143</v>
      </c>
      <c r="AX653">
        <v>5.9413964502380949</v>
      </c>
      <c r="AY653" s="75"/>
      <c r="AZ653" s="75"/>
      <c r="BA653" s="75"/>
      <c r="BB653">
        <v>4.7272727272727272E-2</v>
      </c>
      <c r="BF653">
        <v>9.4545454545454544E-2</v>
      </c>
      <c r="BG653">
        <v>4.7272727272727272E-2</v>
      </c>
      <c r="BH653">
        <v>0</v>
      </c>
      <c r="BI653" s="79" t="s">
        <v>1264</v>
      </c>
      <c r="BJ653" s="79">
        <v>1473</v>
      </c>
      <c r="BK653" s="79">
        <v>12</v>
      </c>
      <c r="BM653" s="79" t="s">
        <v>464</v>
      </c>
      <c r="BN653" s="79" t="s">
        <v>464</v>
      </c>
      <c r="BO653" s="79">
        <v>0</v>
      </c>
      <c r="BQ653" s="79">
        <v>1</v>
      </c>
      <c r="BR653" s="79">
        <v>20</v>
      </c>
      <c r="BS653" s="79" t="s">
        <v>464</v>
      </c>
      <c r="BT653" s="79" t="s">
        <v>464</v>
      </c>
      <c r="BU653" s="79" t="s">
        <v>1271</v>
      </c>
      <c r="BV653" s="79">
        <v>300</v>
      </c>
      <c r="BW653" s="79">
        <v>300</v>
      </c>
      <c r="BY653" s="79">
        <v>298</v>
      </c>
      <c r="BZ653" s="81">
        <v>6750</v>
      </c>
      <c r="CA653">
        <f t="shared" si="178"/>
        <v>8.8172977838665751</v>
      </c>
    </row>
    <row r="654" spans="1:79" x14ac:dyDescent="0.3">
      <c r="A654" s="5" t="s">
        <v>992</v>
      </c>
      <c r="B654" s="43" t="s">
        <v>989</v>
      </c>
      <c r="C654" s="39"/>
      <c r="D654" s="5">
        <v>3.08</v>
      </c>
      <c r="E654" s="5" t="s">
        <v>292</v>
      </c>
      <c r="F654" s="40">
        <v>-2</v>
      </c>
      <c r="G654" s="5">
        <v>-1</v>
      </c>
      <c r="H654" s="5"/>
      <c r="I654" s="5">
        <v>4</v>
      </c>
      <c r="J654" s="41">
        <v>0</v>
      </c>
      <c r="K654">
        <v>0</v>
      </c>
      <c r="L654">
        <v>0</v>
      </c>
      <c r="M654" s="5">
        <v>-1</v>
      </c>
      <c r="N654" s="5"/>
      <c r="O654" s="5"/>
      <c r="P654" s="5"/>
      <c r="Q654" s="5"/>
      <c r="R654" s="41">
        <v>0</v>
      </c>
      <c r="S654" s="41"/>
      <c r="T654" s="41"/>
      <c r="U654">
        <v>0</v>
      </c>
      <c r="X654">
        <v>0</v>
      </c>
      <c r="AA654" s="5"/>
      <c r="AB654" s="5">
        <v>32</v>
      </c>
      <c r="AC654" s="55">
        <v>1350</v>
      </c>
      <c r="AD654" s="57">
        <v>0</v>
      </c>
      <c r="AE654" s="55">
        <v>0</v>
      </c>
      <c r="AF654" s="55">
        <v>0</v>
      </c>
      <c r="AG654" s="52">
        <f t="shared" si="185"/>
        <v>9.481481481481481E-2</v>
      </c>
      <c r="AH654" s="51"/>
      <c r="AI654" s="52"/>
      <c r="AJ654" s="52"/>
      <c r="AK654" s="5">
        <v>1.6923076923076921</v>
      </c>
      <c r="AL654" s="5">
        <v>2.4615384615384621</v>
      </c>
      <c r="AM654" s="5">
        <v>0.76923076923076927</v>
      </c>
      <c r="AN654" s="5">
        <v>0</v>
      </c>
      <c r="AO654" s="5">
        <v>0.34375</v>
      </c>
      <c r="AP654" s="5">
        <v>0.5</v>
      </c>
      <c r="AQ654" s="5">
        <v>0.15625</v>
      </c>
      <c r="AR654" s="5">
        <v>0</v>
      </c>
      <c r="AS654" s="41">
        <v>0.82</v>
      </c>
      <c r="AT654" s="41">
        <v>3.44</v>
      </c>
      <c r="AU654" s="41">
        <v>2.62</v>
      </c>
      <c r="AV654" s="41">
        <v>2.6046153846153852</v>
      </c>
      <c r="AW654" s="5">
        <v>2.6046153846153852</v>
      </c>
      <c r="AX654" s="5">
        <v>5.9257575388461543</v>
      </c>
      <c r="AY654" s="75"/>
      <c r="AZ654" s="75"/>
      <c r="BA654" s="75"/>
      <c r="BB654">
        <v>4.7407407407407412E-2</v>
      </c>
      <c r="BF654">
        <v>9.481481481481481E-2</v>
      </c>
      <c r="BG654">
        <v>4.7407407407407412E-2</v>
      </c>
      <c r="BH654">
        <v>0</v>
      </c>
      <c r="BI654" s="79" t="s">
        <v>1264</v>
      </c>
      <c r="BJ654" s="79">
        <v>1473</v>
      </c>
      <c r="BK654" s="79">
        <v>12</v>
      </c>
      <c r="BM654" s="79" t="s">
        <v>464</v>
      </c>
      <c r="BN654" s="79" t="s">
        <v>464</v>
      </c>
      <c r="BO654" s="79">
        <v>0</v>
      </c>
      <c r="BQ654" s="79">
        <v>1</v>
      </c>
      <c r="BR654" s="79">
        <v>20</v>
      </c>
      <c r="BS654" s="79" t="s">
        <v>464</v>
      </c>
      <c r="BT654" s="79" t="s">
        <v>464</v>
      </c>
      <c r="BU654" s="79" t="s">
        <v>1271</v>
      </c>
      <c r="BV654" s="79">
        <v>300</v>
      </c>
      <c r="BW654" s="79">
        <v>300</v>
      </c>
      <c r="BY654" s="79">
        <v>298</v>
      </c>
      <c r="CA654" t="e">
        <f t="shared" si="178"/>
        <v>#NUM!</v>
      </c>
    </row>
    <row r="655" spans="1:79" x14ac:dyDescent="0.3">
      <c r="A655" s="5" t="s">
        <v>993</v>
      </c>
      <c r="B655" s="43" t="s">
        <v>990</v>
      </c>
      <c r="C655" s="39"/>
      <c r="D655" s="5">
        <v>3.06</v>
      </c>
      <c r="E655" s="5" t="s">
        <v>292</v>
      </c>
      <c r="F655" s="40">
        <v>-2</v>
      </c>
      <c r="G655" s="5">
        <v>-1</v>
      </c>
      <c r="H655" s="5"/>
      <c r="I655" s="5">
        <v>4</v>
      </c>
      <c r="J655" s="41">
        <v>0</v>
      </c>
      <c r="K655">
        <v>0</v>
      </c>
      <c r="L655">
        <v>0</v>
      </c>
      <c r="M655" s="5">
        <v>-1</v>
      </c>
      <c r="N655" s="5"/>
      <c r="O655" s="5"/>
      <c r="P655" s="5"/>
      <c r="Q655" s="5"/>
      <c r="R655" s="41">
        <v>0</v>
      </c>
      <c r="S655" s="41"/>
      <c r="T655" s="41"/>
      <c r="U655">
        <v>0</v>
      </c>
      <c r="X655">
        <v>0</v>
      </c>
      <c r="AA655" s="5"/>
      <c r="AB655" s="5">
        <v>38</v>
      </c>
      <c r="AC655" s="55">
        <v>1600</v>
      </c>
      <c r="AD655" s="57">
        <v>0</v>
      </c>
      <c r="AE655" s="55">
        <v>0</v>
      </c>
      <c r="AF655" s="55">
        <v>0</v>
      </c>
      <c r="AG655" s="52">
        <f t="shared" si="185"/>
        <v>9.5000000000000001E-2</v>
      </c>
      <c r="AH655" s="51"/>
      <c r="AI655" s="52"/>
      <c r="AJ655" s="52"/>
      <c r="AK655" s="5">
        <v>1.67741935483871</v>
      </c>
      <c r="AL655" s="5">
        <v>2.4516129032258061</v>
      </c>
      <c r="AM655" s="5">
        <v>0.77419354838709675</v>
      </c>
      <c r="AN655" s="5">
        <v>0</v>
      </c>
      <c r="AO655" s="5">
        <v>0.34210526315789469</v>
      </c>
      <c r="AP655" s="5">
        <v>0.5</v>
      </c>
      <c r="AQ655" s="5">
        <v>0.15789473684210531</v>
      </c>
      <c r="AR655" s="5">
        <v>0</v>
      </c>
      <c r="AS655" s="41">
        <v>0.82</v>
      </c>
      <c r="AT655" s="41">
        <v>3.44</v>
      </c>
      <c r="AU655" s="41">
        <v>2.62</v>
      </c>
      <c r="AV655" s="41">
        <v>2.5990322580645162</v>
      </c>
      <c r="AW655" s="5">
        <v>2.5990322580645162</v>
      </c>
      <c r="AX655" s="5">
        <v>5.9151634375806452</v>
      </c>
      <c r="AY655" s="75"/>
      <c r="AZ655" s="75"/>
      <c r="BA655" s="75"/>
      <c r="BB655">
        <v>4.7500000000000001E-2</v>
      </c>
      <c r="BF655">
        <v>9.5000000000000001E-2</v>
      </c>
      <c r="BG655">
        <v>4.7500000000000001E-2</v>
      </c>
      <c r="BH655">
        <v>0</v>
      </c>
      <c r="BI655" s="79" t="s">
        <v>1264</v>
      </c>
      <c r="BJ655" s="79">
        <v>1473</v>
      </c>
      <c r="BK655" s="79">
        <v>12</v>
      </c>
      <c r="BM655" s="79" t="s">
        <v>464</v>
      </c>
      <c r="BN655" s="79" t="s">
        <v>464</v>
      </c>
      <c r="BO655" s="79">
        <v>0</v>
      </c>
      <c r="BQ655" s="79">
        <v>1</v>
      </c>
      <c r="BR655" s="79">
        <v>20</v>
      </c>
      <c r="BS655" s="79" t="s">
        <v>464</v>
      </c>
      <c r="BT655" s="79" t="s">
        <v>464</v>
      </c>
      <c r="BU655" s="79" t="s">
        <v>1271</v>
      </c>
      <c r="BV655" s="79">
        <v>300</v>
      </c>
      <c r="BW655" s="79">
        <v>300</v>
      </c>
      <c r="BY655" s="79">
        <v>298</v>
      </c>
      <c r="CA655" t="e">
        <f t="shared" si="178"/>
        <v>#NUM!</v>
      </c>
    </row>
    <row r="656" spans="1:79" x14ac:dyDescent="0.3">
      <c r="A656" s="44" t="s">
        <v>63</v>
      </c>
      <c r="B656" s="13" t="s">
        <v>773</v>
      </c>
      <c r="C656" s="13"/>
      <c r="D656" s="2">
        <v>3.59</v>
      </c>
      <c r="E656" s="2" t="s">
        <v>295</v>
      </c>
      <c r="F656" s="9">
        <v>-1</v>
      </c>
      <c r="G656">
        <v>-1</v>
      </c>
      <c r="H656" t="s">
        <v>1179</v>
      </c>
      <c r="I656" s="2">
        <v>1</v>
      </c>
      <c r="J656" s="25">
        <v>1</v>
      </c>
      <c r="K656">
        <v>0</v>
      </c>
      <c r="L656">
        <v>1</v>
      </c>
      <c r="M656" s="25">
        <v>3.86</v>
      </c>
      <c r="N656" s="25">
        <v>3.86</v>
      </c>
      <c r="O656" s="2">
        <v>14.995541551467477</v>
      </c>
      <c r="P656" s="2"/>
      <c r="Q656" s="2"/>
      <c r="R656" s="25">
        <v>3.86</v>
      </c>
      <c r="S656" s="25">
        <v>3.86</v>
      </c>
      <c r="T656" s="25">
        <v>14.97</v>
      </c>
      <c r="U656">
        <v>3.8504999999999998</v>
      </c>
      <c r="V656">
        <v>3.8504999999999998</v>
      </c>
      <c r="W656">
        <v>14.379</v>
      </c>
      <c r="AA656" s="2"/>
      <c r="AB656">
        <v>20</v>
      </c>
      <c r="AC656" s="55">
        <f t="shared" si="141"/>
        <v>223.4275709002448</v>
      </c>
      <c r="AD656" s="57">
        <v>0</v>
      </c>
      <c r="AE656" s="55"/>
      <c r="AF656" s="55">
        <v>213.2</v>
      </c>
      <c r="AG656" s="52">
        <f t="shared" si="185"/>
        <v>8.9514467348031701E-2</v>
      </c>
      <c r="AH656" s="51"/>
      <c r="AI656" s="52"/>
      <c r="AJ656" s="67">
        <f>L656*AB656/AF656</f>
        <v>9.3808630393996256E-2</v>
      </c>
      <c r="AK656" s="28">
        <v>1.75</v>
      </c>
      <c r="AL656" s="28">
        <v>2.5</v>
      </c>
      <c r="AM656" s="28">
        <v>0.75</v>
      </c>
      <c r="AN656" s="28">
        <v>0</v>
      </c>
      <c r="AO656" s="28">
        <v>0.35</v>
      </c>
      <c r="AP656" s="28">
        <v>0.5</v>
      </c>
      <c r="AQ656" s="28">
        <v>0.15</v>
      </c>
      <c r="AR656" s="28">
        <v>0</v>
      </c>
      <c r="AS656" s="25">
        <v>1</v>
      </c>
      <c r="AT656" s="25">
        <v>3.44</v>
      </c>
      <c r="AU656" s="25">
        <v>2.44</v>
      </c>
      <c r="AV656" s="25">
        <v>2.7124999999999999</v>
      </c>
      <c r="AW656">
        <v>2.7124999999999999</v>
      </c>
      <c r="AX656">
        <v>6.264025610615688</v>
      </c>
      <c r="AY656" s="75"/>
      <c r="AZ656" s="75"/>
      <c r="BA656" s="75">
        <v>0</v>
      </c>
      <c r="BB656">
        <v>4.4757233674015851E-2</v>
      </c>
      <c r="BC656" t="s">
        <v>459</v>
      </c>
      <c r="BE656">
        <v>4.6904315196998128E-2</v>
      </c>
      <c r="BF656">
        <v>9.1661548871013979E-2</v>
      </c>
      <c r="BG656" t="s">
        <v>459</v>
      </c>
      <c r="BH656">
        <v>0</v>
      </c>
      <c r="BI656" s="79" t="s">
        <v>1305</v>
      </c>
      <c r="BJ656" s="79">
        <v>1273</v>
      </c>
      <c r="BK656" s="79">
        <v>2</v>
      </c>
      <c r="BM656" s="79" t="s">
        <v>1268</v>
      </c>
      <c r="BN656" s="79" t="s">
        <v>863</v>
      </c>
      <c r="BO656" s="79">
        <v>0.5</v>
      </c>
      <c r="BP656" s="79">
        <v>48</v>
      </c>
      <c r="BQ656" s="79">
        <v>0.25</v>
      </c>
      <c r="BR656" s="79">
        <v>10</v>
      </c>
      <c r="BS656" s="79" t="s">
        <v>464</v>
      </c>
      <c r="BT656" s="79" t="s">
        <v>464</v>
      </c>
      <c r="BU656" s="79" t="s">
        <v>1271</v>
      </c>
      <c r="BV656" s="79">
        <v>300</v>
      </c>
      <c r="BW656" s="79">
        <v>300</v>
      </c>
      <c r="BX656" s="79" t="s">
        <v>1311</v>
      </c>
      <c r="BY656" s="79">
        <v>293</v>
      </c>
      <c r="BZ656" s="81">
        <v>240</v>
      </c>
      <c r="CA656">
        <f t="shared" si="178"/>
        <v>5.4806389233419912</v>
      </c>
    </row>
    <row r="657" spans="1:79" x14ac:dyDescent="0.3">
      <c r="A657" s="2" t="s">
        <v>296</v>
      </c>
      <c r="B657" s="17" t="s">
        <v>947</v>
      </c>
      <c r="C657" s="13"/>
      <c r="D657" s="2">
        <v>3.55</v>
      </c>
      <c r="E657" s="2" t="s">
        <v>295</v>
      </c>
      <c r="F657" s="9">
        <v>-1</v>
      </c>
      <c r="G657">
        <v>-1</v>
      </c>
      <c r="I657" s="2">
        <v>1</v>
      </c>
      <c r="J657" s="25">
        <v>1</v>
      </c>
      <c r="K657">
        <v>0</v>
      </c>
      <c r="L657">
        <v>0</v>
      </c>
      <c r="M657" s="25">
        <v>3.86</v>
      </c>
      <c r="N657" s="25">
        <v>3.86</v>
      </c>
      <c r="O657" s="2">
        <v>15.615511227317649</v>
      </c>
      <c r="P657" s="2"/>
      <c r="Q657" s="2"/>
      <c r="R657" s="25">
        <v>3.86</v>
      </c>
      <c r="S657" s="25">
        <v>3.86</v>
      </c>
      <c r="T657" s="25">
        <f>(T656+T658)/2</f>
        <v>15.342750000000001</v>
      </c>
      <c r="U657">
        <v>0</v>
      </c>
      <c r="AA657" s="2"/>
      <c r="AB657">
        <v>20</v>
      </c>
      <c r="AC657" s="55">
        <f t="shared" si="141"/>
        <v>232.66487108254202</v>
      </c>
      <c r="AD657" s="57">
        <v>0</v>
      </c>
      <c r="AE657" s="55"/>
      <c r="AF657" s="55"/>
      <c r="AG657" s="52">
        <f t="shared" si="185"/>
        <v>8.5960548779642126E-2</v>
      </c>
      <c r="AH657" s="51"/>
      <c r="AI657" s="52"/>
      <c r="AJ657" s="52"/>
      <c r="AK657" s="28">
        <v>1.75</v>
      </c>
      <c r="AL657" s="28">
        <v>2.5</v>
      </c>
      <c r="AM657" s="28">
        <v>0.75</v>
      </c>
      <c r="AN657" s="28">
        <v>0</v>
      </c>
      <c r="AO657" s="28">
        <v>0.35</v>
      </c>
      <c r="AP657" s="28">
        <v>0.5</v>
      </c>
      <c r="AQ657" s="28">
        <v>0.15</v>
      </c>
      <c r="AR657" s="28">
        <v>0</v>
      </c>
      <c r="AS657" s="25">
        <v>0.95</v>
      </c>
      <c r="AT657" s="25">
        <v>3.44</v>
      </c>
      <c r="AU657" s="25">
        <v>2.4900000000000002</v>
      </c>
      <c r="AV657" s="25">
        <v>2.7109375</v>
      </c>
      <c r="AW657">
        <v>2.7109375</v>
      </c>
      <c r="AX657">
        <v>6.2579197821781882</v>
      </c>
      <c r="AY657" s="75"/>
      <c r="AZ657" s="75"/>
      <c r="BA657" s="75"/>
      <c r="BB657">
        <v>4.2980274389821063E-2</v>
      </c>
      <c r="BC657" t="s">
        <v>459</v>
      </c>
      <c r="BF657">
        <v>8.5960548779642126E-2</v>
      </c>
      <c r="BG657" t="s">
        <v>459</v>
      </c>
      <c r="BH657">
        <v>0</v>
      </c>
      <c r="BI657" s="79" t="s">
        <v>1305</v>
      </c>
      <c r="BJ657" s="79">
        <v>1273</v>
      </c>
      <c r="BK657" s="79">
        <v>2</v>
      </c>
      <c r="BM657" s="79" t="s">
        <v>1268</v>
      </c>
      <c r="BN657" s="79" t="s">
        <v>863</v>
      </c>
      <c r="BO657" s="79">
        <v>0.5</v>
      </c>
      <c r="BP657" s="79">
        <v>47</v>
      </c>
      <c r="BQ657" s="79">
        <v>0.25</v>
      </c>
      <c r="BR657" s="79">
        <v>10</v>
      </c>
      <c r="BS657" s="79" t="s">
        <v>464</v>
      </c>
      <c r="BT657" s="79" t="s">
        <v>464</v>
      </c>
      <c r="BU657" s="79" t="s">
        <v>1271</v>
      </c>
      <c r="BV657" s="79">
        <v>300</v>
      </c>
      <c r="BW657" s="79">
        <v>300</v>
      </c>
      <c r="BX657" s="79" t="s">
        <v>1311</v>
      </c>
      <c r="BY657" s="79">
        <v>293</v>
      </c>
      <c r="BZ657" s="81">
        <v>183.99999999999997</v>
      </c>
      <c r="CA657">
        <f t="shared" si="178"/>
        <v>5.2149357576089859</v>
      </c>
    </row>
    <row r="658" spans="1:79" x14ac:dyDescent="0.3">
      <c r="A658" s="2" t="s">
        <v>297</v>
      </c>
      <c r="B658" s="13" t="s">
        <v>827</v>
      </c>
      <c r="C658" s="13"/>
      <c r="D658" s="2">
        <v>3.5</v>
      </c>
      <c r="E658" s="2" t="s">
        <v>295</v>
      </c>
      <c r="F658" s="9">
        <v>-1</v>
      </c>
      <c r="G658">
        <v>-1</v>
      </c>
      <c r="I658" s="2">
        <v>1</v>
      </c>
      <c r="J658" s="25">
        <v>1</v>
      </c>
      <c r="K658">
        <v>0</v>
      </c>
      <c r="L658">
        <v>0</v>
      </c>
      <c r="M658" s="25">
        <v>3.86</v>
      </c>
      <c r="N658" s="25">
        <v>3.86</v>
      </c>
      <c r="O658" s="2">
        <v>15.994210692250023</v>
      </c>
      <c r="P658" s="2"/>
      <c r="Q658" s="2"/>
      <c r="R658" s="25">
        <v>3.86</v>
      </c>
      <c r="S658" s="25">
        <v>3.86</v>
      </c>
      <c r="T658" s="25">
        <v>15.7155</v>
      </c>
      <c r="U658">
        <v>0</v>
      </c>
      <c r="X658">
        <v>0</v>
      </c>
      <c r="AA658" s="2"/>
      <c r="AB658">
        <v>20</v>
      </c>
      <c r="AC658" s="55">
        <f t="shared" si="141"/>
        <v>238.30734163024843</v>
      </c>
      <c r="AD658" s="57">
        <v>0</v>
      </c>
      <c r="AE658" s="55"/>
      <c r="AF658" s="55">
        <v>0</v>
      </c>
      <c r="AG658" s="52">
        <f t="shared" si="185"/>
        <v>8.3925236474801893E-2</v>
      </c>
      <c r="AH658" s="51"/>
      <c r="AI658" s="52"/>
      <c r="AJ658" s="52"/>
      <c r="AK658" s="28">
        <v>1.75</v>
      </c>
      <c r="AL658" s="28">
        <v>2.5</v>
      </c>
      <c r="AM658" s="28">
        <v>0.75</v>
      </c>
      <c r="AN658" s="28">
        <v>0</v>
      </c>
      <c r="AO658" s="28">
        <v>0.35</v>
      </c>
      <c r="AP658" s="28">
        <v>0.5</v>
      </c>
      <c r="AQ658" s="28">
        <v>0.15</v>
      </c>
      <c r="AR658" s="28">
        <v>0</v>
      </c>
      <c r="AS658" s="25">
        <v>0.95</v>
      </c>
      <c r="AT658" s="25">
        <v>3.44</v>
      </c>
      <c r="AU658" s="25">
        <v>2.4900000000000002</v>
      </c>
      <c r="AV658" s="25">
        <v>2.7093750000000001</v>
      </c>
      <c r="AW658">
        <v>2.7093750000000001</v>
      </c>
      <c r="AX658">
        <v>6.2518139537406876</v>
      </c>
      <c r="AY658" s="75"/>
      <c r="AZ658" s="75"/>
      <c r="BA658" s="75"/>
      <c r="BB658">
        <v>4.1962618237400953E-2</v>
      </c>
      <c r="BC658" t="s">
        <v>459</v>
      </c>
      <c r="BF658">
        <v>8.3925236474801893E-2</v>
      </c>
      <c r="BG658" t="s">
        <v>459</v>
      </c>
      <c r="BH658">
        <v>0</v>
      </c>
      <c r="BI658" s="79" t="s">
        <v>1305</v>
      </c>
      <c r="BJ658" s="79">
        <v>1273</v>
      </c>
      <c r="BK658" s="79">
        <v>2</v>
      </c>
      <c r="BM658" s="79" t="s">
        <v>1268</v>
      </c>
      <c r="BN658" s="79" t="s">
        <v>863</v>
      </c>
      <c r="BO658" s="79">
        <v>0.5</v>
      </c>
      <c r="BP658" s="79">
        <v>58</v>
      </c>
      <c r="BQ658" s="79">
        <v>0.25</v>
      </c>
      <c r="BR658" s="79">
        <v>10</v>
      </c>
      <c r="BS658" s="79" t="s">
        <v>464</v>
      </c>
      <c r="BT658" s="79" t="s">
        <v>464</v>
      </c>
      <c r="BU658" s="79" t="s">
        <v>1271</v>
      </c>
      <c r="BV658" s="79">
        <v>300</v>
      </c>
      <c r="BW658" s="79">
        <v>300</v>
      </c>
      <c r="BX658" s="79" t="s">
        <v>1311</v>
      </c>
      <c r="BY658" s="79">
        <v>293</v>
      </c>
      <c r="BZ658" s="81">
        <v>176</v>
      </c>
      <c r="CA658">
        <f t="shared" si="178"/>
        <v>5.1704839950381514</v>
      </c>
    </row>
    <row r="659" spans="1:79" x14ac:dyDescent="0.3">
      <c r="A659" s="2" t="s">
        <v>298</v>
      </c>
      <c r="B659" s="17" t="s">
        <v>948</v>
      </c>
      <c r="C659" s="13"/>
      <c r="D659" s="2">
        <v>3.45</v>
      </c>
      <c r="E659" s="2" t="s">
        <v>295</v>
      </c>
      <c r="F659" s="9">
        <v>-1</v>
      </c>
      <c r="G659">
        <v>-1</v>
      </c>
      <c r="I659" s="2">
        <v>1</v>
      </c>
      <c r="J659" s="25">
        <v>1</v>
      </c>
      <c r="K659">
        <v>0</v>
      </c>
      <c r="L659">
        <v>0</v>
      </c>
      <c r="M659" s="25">
        <v>3.86</v>
      </c>
      <c r="N659" s="25">
        <v>3.86</v>
      </c>
      <c r="O659" s="2">
        <v>16.28902613653251</v>
      </c>
      <c r="P659" s="2"/>
      <c r="Q659" s="2"/>
      <c r="R659" s="25">
        <v>3.86</v>
      </c>
      <c r="S659" s="25">
        <v>3.86</v>
      </c>
      <c r="T659" s="25">
        <v>16.312000000000001</v>
      </c>
      <c r="U659">
        <v>0</v>
      </c>
      <c r="X659">
        <v>0</v>
      </c>
      <c r="AA659" s="2"/>
      <c r="AB659">
        <v>20</v>
      </c>
      <c r="AC659" s="55">
        <f t="shared" si="141"/>
        <v>242.69997382387976</v>
      </c>
      <c r="AD659" s="57">
        <v>0</v>
      </c>
      <c r="AE659" s="55"/>
      <c r="AF659" s="55">
        <v>0</v>
      </c>
      <c r="AG659" s="52">
        <f t="shared" si="185"/>
        <v>8.2406271763809144E-2</v>
      </c>
      <c r="AH659" s="51"/>
      <c r="AI659" s="52"/>
      <c r="AJ659" s="52"/>
      <c r="AK659" s="28">
        <v>1.75</v>
      </c>
      <c r="AL659" s="28">
        <v>2.5</v>
      </c>
      <c r="AM659" s="28">
        <v>0.75</v>
      </c>
      <c r="AN659" s="28">
        <v>0</v>
      </c>
      <c r="AO659" s="28">
        <v>0.35</v>
      </c>
      <c r="AP659" s="28">
        <v>0.5</v>
      </c>
      <c r="AQ659" s="28">
        <v>0.15</v>
      </c>
      <c r="AR659" s="28">
        <v>0</v>
      </c>
      <c r="AS659" s="25">
        <v>0.95</v>
      </c>
      <c r="AT659" s="25">
        <v>3.44</v>
      </c>
      <c r="AU659" s="25">
        <v>2.4900000000000002</v>
      </c>
      <c r="AV659" s="25">
        <v>2.7078125000000002</v>
      </c>
      <c r="AW659">
        <v>2.7078125000000002</v>
      </c>
      <c r="AX659">
        <v>6.245708125303187</v>
      </c>
      <c r="AY659" s="75"/>
      <c r="AZ659" s="75"/>
      <c r="BA659" s="75"/>
      <c r="BB659">
        <v>4.1203135881904572E-2</v>
      </c>
      <c r="BC659" t="s">
        <v>459</v>
      </c>
      <c r="BF659">
        <v>8.2406271763809144E-2</v>
      </c>
      <c r="BG659" t="s">
        <v>459</v>
      </c>
      <c r="BH659">
        <v>0</v>
      </c>
      <c r="BI659" s="79" t="s">
        <v>1305</v>
      </c>
      <c r="BJ659" s="79">
        <v>1273</v>
      </c>
      <c r="BK659" s="79">
        <v>2</v>
      </c>
      <c r="BM659" s="79" t="s">
        <v>1268</v>
      </c>
      <c r="BN659" s="79" t="s">
        <v>863</v>
      </c>
      <c r="BO659" s="79">
        <v>0.5</v>
      </c>
      <c r="BP659" s="79">
        <v>50</v>
      </c>
      <c r="BQ659" s="79">
        <v>0.25</v>
      </c>
      <c r="BR659" s="79">
        <v>10</v>
      </c>
      <c r="BS659" s="79" t="s">
        <v>464</v>
      </c>
      <c r="BT659" s="79" t="s">
        <v>464</v>
      </c>
      <c r="BU659" s="79" t="s">
        <v>1271</v>
      </c>
      <c r="BV659" s="79">
        <v>300</v>
      </c>
      <c r="BW659" s="79">
        <v>300</v>
      </c>
      <c r="BX659" s="79" t="s">
        <v>1311</v>
      </c>
      <c r="BY659" s="79">
        <v>293</v>
      </c>
      <c r="BZ659" s="81">
        <v>156</v>
      </c>
      <c r="CA659">
        <f t="shared" si="178"/>
        <v>5.0498560072495371</v>
      </c>
    </row>
    <row r="660" spans="1:79" x14ac:dyDescent="0.3">
      <c r="A660" s="2" t="s">
        <v>151</v>
      </c>
      <c r="B660" s="13" t="s">
        <v>774</v>
      </c>
      <c r="C660" s="13"/>
      <c r="D660" s="2">
        <v>3.4</v>
      </c>
      <c r="E660" s="2" t="s">
        <v>295</v>
      </c>
      <c r="F660" s="9">
        <v>-1</v>
      </c>
      <c r="G660">
        <v>-1</v>
      </c>
      <c r="I660" s="2">
        <v>1</v>
      </c>
      <c r="J660" s="25">
        <v>1</v>
      </c>
      <c r="K660">
        <v>0</v>
      </c>
      <c r="L660">
        <v>0</v>
      </c>
      <c r="M660" s="25">
        <v>3.86</v>
      </c>
      <c r="N660" s="25">
        <v>3.86</v>
      </c>
      <c r="O660" s="2">
        <v>17.505628149549622</v>
      </c>
      <c r="P660" s="2"/>
      <c r="Q660" s="2"/>
      <c r="R660" s="25">
        <v>3.86</v>
      </c>
      <c r="S660" s="25">
        <v>3.86</v>
      </c>
      <c r="T660" s="25">
        <v>17.599</v>
      </c>
      <c r="U660">
        <v>0</v>
      </c>
      <c r="X660">
        <v>0</v>
      </c>
      <c r="AA660" s="2"/>
      <c r="AB660">
        <v>20</v>
      </c>
      <c r="AC660" s="55">
        <f t="shared" si="141"/>
        <v>260.82685717702952</v>
      </c>
      <c r="AD660" s="57">
        <v>0</v>
      </c>
      <c r="AE660" s="55"/>
      <c r="AF660" s="55">
        <v>0</v>
      </c>
      <c r="AG660" s="52">
        <f t="shared" si="185"/>
        <v>7.667922014037655E-2</v>
      </c>
      <c r="AH660" s="51"/>
      <c r="AI660" s="52"/>
      <c r="AJ660" s="52"/>
      <c r="AK660" s="28">
        <v>1.75</v>
      </c>
      <c r="AL660" s="28">
        <v>2.5</v>
      </c>
      <c r="AM660" s="28">
        <v>0.75</v>
      </c>
      <c r="AN660" s="28">
        <v>0</v>
      </c>
      <c r="AO660" s="28">
        <v>0.35</v>
      </c>
      <c r="AP660" s="28">
        <v>0.5</v>
      </c>
      <c r="AQ660" s="28">
        <v>0.15</v>
      </c>
      <c r="AR660" s="28">
        <v>0</v>
      </c>
      <c r="AS660" s="25">
        <v>0.95</v>
      </c>
      <c r="AT660" s="25">
        <v>3.44</v>
      </c>
      <c r="AU660" s="25">
        <v>2.4900000000000002</v>
      </c>
      <c r="AV660" s="25">
        <v>2.7062499999999998</v>
      </c>
      <c r="AW660">
        <v>2.7062499999999998</v>
      </c>
      <c r="AX660">
        <v>6.2396022968656872</v>
      </c>
      <c r="AY660" s="75"/>
      <c r="AZ660" s="75"/>
      <c r="BA660" s="75"/>
      <c r="BB660">
        <v>3.8339610070188268E-2</v>
      </c>
      <c r="BC660" t="s">
        <v>459</v>
      </c>
      <c r="BF660">
        <v>7.667922014037655E-2</v>
      </c>
      <c r="BG660" t="s">
        <v>459</v>
      </c>
      <c r="BH660">
        <v>0</v>
      </c>
      <c r="BI660" s="79" t="s">
        <v>1305</v>
      </c>
      <c r="BJ660" s="79">
        <v>1273</v>
      </c>
      <c r="BK660" s="79">
        <v>2</v>
      </c>
      <c r="BM660" s="79" t="s">
        <v>1268</v>
      </c>
      <c r="BN660" s="79" t="s">
        <v>863</v>
      </c>
      <c r="BO660" s="79">
        <v>0.5</v>
      </c>
      <c r="BP660" s="79">
        <v>65</v>
      </c>
      <c r="BQ660" s="79">
        <v>0.25</v>
      </c>
      <c r="BR660" s="79">
        <v>10</v>
      </c>
      <c r="BS660" s="79" t="s">
        <v>464</v>
      </c>
      <c r="BT660" s="79" t="s">
        <v>464</v>
      </c>
      <c r="BU660" s="79" t="s">
        <v>1271</v>
      </c>
      <c r="BV660" s="79">
        <v>300</v>
      </c>
      <c r="BW660" s="79">
        <v>300</v>
      </c>
      <c r="BX660" s="79" t="s">
        <v>1311</v>
      </c>
      <c r="BY660" s="79">
        <v>293</v>
      </c>
      <c r="BZ660" s="81">
        <v>183.99999999999997</v>
      </c>
      <c r="CA660">
        <f t="shared" si="178"/>
        <v>5.2149357576089859</v>
      </c>
    </row>
    <row r="661" spans="1:79" x14ac:dyDescent="0.3">
      <c r="A661" s="2" t="s">
        <v>299</v>
      </c>
      <c r="B661" s="17" t="s">
        <v>949</v>
      </c>
      <c r="C661" s="13"/>
      <c r="D661" s="2">
        <v>3.65</v>
      </c>
      <c r="E661" s="2" t="s">
        <v>295</v>
      </c>
      <c r="F661" s="9">
        <v>-1</v>
      </c>
      <c r="G661">
        <v>-1</v>
      </c>
      <c r="I661" s="2">
        <v>1</v>
      </c>
      <c r="J661" s="25">
        <v>1</v>
      </c>
      <c r="K661">
        <v>0</v>
      </c>
      <c r="L661">
        <v>0</v>
      </c>
      <c r="M661" s="25">
        <v>3.86</v>
      </c>
      <c r="N661" s="25">
        <v>3.86</v>
      </c>
      <c r="O661" s="2">
        <v>14.582394405034421</v>
      </c>
      <c r="P661" s="2"/>
      <c r="Q661" s="2"/>
      <c r="R661" s="25">
        <v>3.86</v>
      </c>
      <c r="S661" s="25">
        <v>3.86</v>
      </c>
      <c r="T661" s="25">
        <v>14.85</v>
      </c>
      <c r="U661">
        <v>0</v>
      </c>
      <c r="X661">
        <v>0</v>
      </c>
      <c r="AA661" s="2"/>
      <c r="AB661">
        <v>20</v>
      </c>
      <c r="AC661" s="55">
        <f t="shared" si="141"/>
        <v>217.27184367725084</v>
      </c>
      <c r="AD661" s="57">
        <v>0</v>
      </c>
      <c r="AE661" s="55"/>
      <c r="AF661" s="55">
        <v>0</v>
      </c>
      <c r="AG661" s="52">
        <f t="shared" si="185"/>
        <v>9.2050583552414869E-2</v>
      </c>
      <c r="AH661" s="51"/>
      <c r="AI661" s="52"/>
      <c r="AJ661" s="52"/>
      <c r="AK661" s="28">
        <v>1.76875</v>
      </c>
      <c r="AL661" s="28">
        <v>2.5</v>
      </c>
      <c r="AM661" s="28">
        <v>0.73125000000000007</v>
      </c>
      <c r="AN661" s="28">
        <v>0.26250000000000001</v>
      </c>
      <c r="AO661" s="28">
        <v>0.33610451306413303</v>
      </c>
      <c r="AP661" s="28">
        <v>0.47505938242280282</v>
      </c>
      <c r="AQ661" s="28">
        <v>0.13895486935866991</v>
      </c>
      <c r="AR661" s="28">
        <v>4.9881235154394299E-2</v>
      </c>
      <c r="AS661" s="25">
        <v>1</v>
      </c>
      <c r="AT661" s="25">
        <v>3.44</v>
      </c>
      <c r="AU661" s="25">
        <v>2.44</v>
      </c>
      <c r="AV661" s="25">
        <v>2.7106249999999998</v>
      </c>
      <c r="AW661">
        <v>2.7106249999999998</v>
      </c>
      <c r="AX661">
        <v>6.2658671793656886</v>
      </c>
      <c r="AY661" s="75"/>
      <c r="AZ661" s="75"/>
      <c r="BA661" s="75"/>
      <c r="BB661">
        <v>4.6025291776207428E-2</v>
      </c>
      <c r="BC661" t="s">
        <v>459</v>
      </c>
      <c r="BF661">
        <v>9.2050583552414869E-2</v>
      </c>
      <c r="BG661" t="s">
        <v>459</v>
      </c>
      <c r="BH661">
        <v>0</v>
      </c>
      <c r="BI661" s="79" t="s">
        <v>1305</v>
      </c>
      <c r="BJ661" s="79">
        <v>1273</v>
      </c>
      <c r="BK661" s="79">
        <v>2</v>
      </c>
      <c r="BM661" s="79" t="s">
        <v>1268</v>
      </c>
      <c r="BN661" s="79" t="s">
        <v>863</v>
      </c>
      <c r="BO661" s="79">
        <v>0.5</v>
      </c>
      <c r="BP661" s="79">
        <v>48</v>
      </c>
      <c r="BQ661" s="79">
        <v>0.25</v>
      </c>
      <c r="BR661" s="79">
        <v>10</v>
      </c>
      <c r="BS661" s="79" t="s">
        <v>464</v>
      </c>
      <c r="BT661" s="79" t="s">
        <v>464</v>
      </c>
      <c r="BU661" s="79" t="s">
        <v>1271</v>
      </c>
      <c r="BV661" s="79">
        <v>300</v>
      </c>
      <c r="BW661" s="79">
        <v>300</v>
      </c>
      <c r="BX661" s="79" t="s">
        <v>1311</v>
      </c>
      <c r="BY661" s="79">
        <v>293</v>
      </c>
      <c r="BZ661" s="81">
        <v>283.99999999999994</v>
      </c>
      <c r="CA661">
        <f t="shared" si="178"/>
        <v>5.6489742381612063</v>
      </c>
    </row>
    <row r="662" spans="1:79" x14ac:dyDescent="0.3">
      <c r="A662" s="2" t="s">
        <v>300</v>
      </c>
      <c r="B662" s="13" t="s">
        <v>809</v>
      </c>
      <c r="C662" s="13"/>
      <c r="D662" s="2">
        <v>3.26</v>
      </c>
      <c r="E662" s="2" t="s">
        <v>295</v>
      </c>
      <c r="F662" s="9">
        <v>-1</v>
      </c>
      <c r="G662">
        <v>-1</v>
      </c>
      <c r="I662" s="2">
        <v>1</v>
      </c>
      <c r="J662" s="25">
        <v>1</v>
      </c>
      <c r="K662">
        <v>0</v>
      </c>
      <c r="L662">
        <v>0</v>
      </c>
      <c r="M662" s="25">
        <v>3.86</v>
      </c>
      <c r="N662" s="25">
        <v>3.86</v>
      </c>
      <c r="O662" s="2">
        <v>14.909538142748223</v>
      </c>
      <c r="P662" s="2"/>
      <c r="Q662" s="2"/>
      <c r="R662" s="25">
        <v>3.86</v>
      </c>
      <c r="S662" s="25">
        <v>3.86</v>
      </c>
      <c r="T662" s="25">
        <v>15.022</v>
      </c>
      <c r="U662">
        <v>0</v>
      </c>
      <c r="X662">
        <v>0</v>
      </c>
      <c r="AA662" s="2"/>
      <c r="AB662">
        <v>20</v>
      </c>
      <c r="AC662" s="55">
        <f t="shared" si="141"/>
        <v>222.14615451169144</v>
      </c>
      <c r="AD662" s="57">
        <v>0</v>
      </c>
      <c r="AE662" s="55"/>
      <c r="AF662" s="55">
        <v>0</v>
      </c>
      <c r="AG662" s="52">
        <f t="shared" si="185"/>
        <v>9.0030817971901517E-2</v>
      </c>
      <c r="AH662" s="51"/>
      <c r="AI662" s="52"/>
      <c r="AJ662" s="52"/>
      <c r="AK662" s="28">
        <v>1.8125</v>
      </c>
      <c r="AL662" s="28">
        <v>2.5</v>
      </c>
      <c r="AM662" s="28">
        <v>0.6875</v>
      </c>
      <c r="AN662" s="28">
        <v>0.875</v>
      </c>
      <c r="AO662" s="28">
        <v>0.30851063829787229</v>
      </c>
      <c r="AP662" s="28">
        <v>0.42553191489361702</v>
      </c>
      <c r="AQ662" s="28">
        <v>0.1170212765957447</v>
      </c>
      <c r="AR662" s="28">
        <v>0.14893617021276601</v>
      </c>
      <c r="AS662" s="25">
        <v>1</v>
      </c>
      <c r="AT662" s="25">
        <v>3.44</v>
      </c>
      <c r="AU662" s="25">
        <v>2.44</v>
      </c>
      <c r="AV662" s="25">
        <v>2.7062499999999998</v>
      </c>
      <c r="AW662">
        <v>2.7062499999999998</v>
      </c>
      <c r="AX662">
        <v>6.2701641731156874</v>
      </c>
      <c r="AY662" s="75"/>
      <c r="AZ662" s="75"/>
      <c r="BA662" s="75"/>
      <c r="BB662">
        <v>4.5015408985950758E-2</v>
      </c>
      <c r="BC662" t="s">
        <v>459</v>
      </c>
      <c r="BF662">
        <v>9.0030817971901517E-2</v>
      </c>
      <c r="BG662" t="s">
        <v>459</v>
      </c>
      <c r="BH662">
        <v>0</v>
      </c>
      <c r="BI662" s="79" t="s">
        <v>1305</v>
      </c>
      <c r="BJ662" s="79">
        <v>1273</v>
      </c>
      <c r="BK662" s="79">
        <v>2</v>
      </c>
      <c r="BM662" s="79" t="s">
        <v>1268</v>
      </c>
      <c r="BN662" s="79" t="s">
        <v>863</v>
      </c>
      <c r="BO662" s="79">
        <v>0.5</v>
      </c>
      <c r="BP662" s="79">
        <v>39</v>
      </c>
      <c r="BQ662" s="79">
        <v>0.25</v>
      </c>
      <c r="BR662" s="79">
        <v>10</v>
      </c>
      <c r="BS662" s="79" t="s">
        <v>464</v>
      </c>
      <c r="BT662" s="79" t="s">
        <v>464</v>
      </c>
      <c r="BU662" s="79" t="s">
        <v>1271</v>
      </c>
      <c r="BV662" s="79">
        <v>300</v>
      </c>
      <c r="BW662" s="79">
        <v>300</v>
      </c>
      <c r="BX662" s="79" t="s">
        <v>1311</v>
      </c>
      <c r="BY662" s="79">
        <v>293</v>
      </c>
      <c r="BZ662" s="81">
        <v>312</v>
      </c>
      <c r="CA662">
        <f t="shared" si="178"/>
        <v>5.7430031878094825</v>
      </c>
    </row>
    <row r="663" spans="1:79" x14ac:dyDescent="0.3">
      <c r="A663" s="2" t="s">
        <v>301</v>
      </c>
      <c r="B663" s="17" t="s">
        <v>950</v>
      </c>
      <c r="C663" s="13"/>
      <c r="D663" s="2">
        <v>3.2</v>
      </c>
      <c r="E663" s="2" t="s">
        <v>295</v>
      </c>
      <c r="F663" s="9">
        <v>-1</v>
      </c>
      <c r="G663">
        <v>-1</v>
      </c>
      <c r="I663" s="2">
        <v>1</v>
      </c>
      <c r="J663" s="25">
        <v>1</v>
      </c>
      <c r="K663">
        <v>0</v>
      </c>
      <c r="L663">
        <v>0</v>
      </c>
      <c r="M663" s="25">
        <v>3.86</v>
      </c>
      <c r="N663" s="25">
        <v>3.86</v>
      </c>
      <c r="O663" s="2">
        <v>15.013371612679299</v>
      </c>
      <c r="P663" s="2"/>
      <c r="Q663" s="2"/>
      <c r="R663" s="25">
        <v>3.86</v>
      </c>
      <c r="S663" s="25">
        <v>3.86</v>
      </c>
      <c r="T663" s="45">
        <v>15.380100000000001</v>
      </c>
      <c r="U663">
        <v>0</v>
      </c>
      <c r="X663">
        <v>0</v>
      </c>
      <c r="AA663" s="2"/>
      <c r="AB663">
        <v>20</v>
      </c>
      <c r="AC663" s="55">
        <f t="shared" si="141"/>
        <v>223.69323168027648</v>
      </c>
      <c r="AD663" s="57">
        <v>0</v>
      </c>
      <c r="AE663" s="55"/>
      <c r="AF663" s="55">
        <v>0</v>
      </c>
      <c r="AG663" s="52">
        <f t="shared" si="185"/>
        <v>8.9408158886925521E-2</v>
      </c>
      <c r="AH663" s="51"/>
      <c r="AI663" s="52"/>
      <c r="AJ663" s="52"/>
      <c r="AK663" s="28">
        <v>1.84375</v>
      </c>
      <c r="AL663" s="28">
        <v>2.5</v>
      </c>
      <c r="AM663" s="28">
        <v>0.65625</v>
      </c>
      <c r="AN663" s="28">
        <v>1.3125</v>
      </c>
      <c r="AO663" s="28">
        <v>0.29207920792079212</v>
      </c>
      <c r="AP663" s="28">
        <v>0.39603960396039611</v>
      </c>
      <c r="AQ663" s="28">
        <v>0.103960396039604</v>
      </c>
      <c r="AR663" s="28">
        <v>0.20792079207920791</v>
      </c>
      <c r="AS663" s="25">
        <v>1</v>
      </c>
      <c r="AT663" s="25">
        <v>3.44</v>
      </c>
      <c r="AU663" s="25">
        <v>2.44</v>
      </c>
      <c r="AV663" s="25">
        <v>2.703125</v>
      </c>
      <c r="AW663">
        <v>2.703125</v>
      </c>
      <c r="AX663">
        <v>6.2732334543656876</v>
      </c>
      <c r="AY663" s="75"/>
      <c r="AZ663" s="75"/>
      <c r="BA663" s="75"/>
      <c r="BB663">
        <v>4.470407944346276E-2</v>
      </c>
      <c r="BC663" t="s">
        <v>459</v>
      </c>
      <c r="BF663">
        <v>8.9408158886925521E-2</v>
      </c>
      <c r="BG663" t="s">
        <v>459</v>
      </c>
      <c r="BH663">
        <v>0</v>
      </c>
      <c r="BI663" s="79" t="s">
        <v>1305</v>
      </c>
      <c r="BJ663" s="79">
        <v>1273</v>
      </c>
      <c r="BK663" s="79">
        <v>2</v>
      </c>
      <c r="BM663" s="79" t="s">
        <v>1268</v>
      </c>
      <c r="BN663" s="79" t="s">
        <v>863</v>
      </c>
      <c r="BO663" s="79">
        <v>0.5</v>
      </c>
      <c r="BP663" s="79">
        <v>29</v>
      </c>
      <c r="BQ663" s="79">
        <v>0.25</v>
      </c>
      <c r="BR663" s="79">
        <v>10</v>
      </c>
      <c r="BS663" s="79" t="s">
        <v>464</v>
      </c>
      <c r="BT663" s="79" t="s">
        <v>464</v>
      </c>
      <c r="BU663" s="79" t="s">
        <v>1271</v>
      </c>
      <c r="BV663" s="79">
        <v>300</v>
      </c>
      <c r="BW663" s="79">
        <v>300</v>
      </c>
      <c r="BX663" s="79" t="s">
        <v>1311</v>
      </c>
      <c r="BY663" s="79">
        <v>293</v>
      </c>
      <c r="BZ663" s="81">
        <v>260</v>
      </c>
      <c r="CA663">
        <f t="shared" si="178"/>
        <v>5.5606816310155276</v>
      </c>
    </row>
    <row r="664" spans="1:79" x14ac:dyDescent="0.3">
      <c r="A664" s="2" t="s">
        <v>4</v>
      </c>
      <c r="B664" s="13" t="s">
        <v>689</v>
      </c>
      <c r="C664" s="13"/>
      <c r="D664" s="2">
        <v>3.5</v>
      </c>
      <c r="E664" s="2" t="s">
        <v>302</v>
      </c>
      <c r="F664" s="9" t="s">
        <v>527</v>
      </c>
      <c r="G664" t="s">
        <v>609</v>
      </c>
      <c r="I664" s="2"/>
      <c r="J664" s="25">
        <v>4</v>
      </c>
      <c r="K664">
        <v>4</v>
      </c>
      <c r="L664">
        <v>0</v>
      </c>
      <c r="M664" s="2"/>
      <c r="N664" s="2"/>
      <c r="O664" s="2"/>
      <c r="P664" s="2"/>
      <c r="Q664" s="2"/>
      <c r="R664" s="25">
        <v>3.86</v>
      </c>
      <c r="S664" s="25">
        <v>3.86</v>
      </c>
      <c r="T664" s="25">
        <v>15.19056011</v>
      </c>
      <c r="U664">
        <v>3.8801999999999999</v>
      </c>
      <c r="V664">
        <v>29.507999999999999</v>
      </c>
      <c r="W664">
        <v>7.7140000000000004</v>
      </c>
      <c r="X664">
        <v>0</v>
      </c>
      <c r="AA664" s="2"/>
      <c r="AB664">
        <v>20</v>
      </c>
      <c r="AC664" s="55">
        <f t="shared" si="141"/>
        <v>0</v>
      </c>
      <c r="AD664" s="57">
        <v>924.74694800021894</v>
      </c>
      <c r="AE664" s="55">
        <v>883.22940750240002</v>
      </c>
      <c r="AF664" s="55">
        <v>0</v>
      </c>
      <c r="AG664" s="52"/>
      <c r="AH664" s="51">
        <v>8.6510153045653584E-2</v>
      </c>
      <c r="AI664" s="52">
        <v>9.0576694254581439E-2</v>
      </c>
      <c r="AJ664" s="52"/>
      <c r="AK664" s="28">
        <v>1.75</v>
      </c>
      <c r="AL664" s="28">
        <v>2.5</v>
      </c>
      <c r="AM664" s="28">
        <v>0.75</v>
      </c>
      <c r="AN664" s="28">
        <v>0</v>
      </c>
      <c r="AO664" s="28">
        <v>0.35</v>
      </c>
      <c r="AP664" s="28">
        <v>0.5</v>
      </c>
      <c r="AQ664" s="28">
        <v>0.15</v>
      </c>
      <c r="AR664" s="28">
        <v>0</v>
      </c>
      <c r="AS664" s="25">
        <v>0.82</v>
      </c>
      <c r="AT664" s="25">
        <v>3.44</v>
      </c>
      <c r="AU664" s="25">
        <v>2.62</v>
      </c>
      <c r="AV664" s="25">
        <v>2.6262500000000002</v>
      </c>
      <c r="AW664">
        <v>2.6262500000000002</v>
      </c>
      <c r="AX664">
        <v>5.96680968125</v>
      </c>
      <c r="AY664" s="75">
        <v>0.50555206026575039</v>
      </c>
      <c r="AZ664" s="75">
        <v>0</v>
      </c>
      <c r="BA664" s="75"/>
      <c r="BC664">
        <v>4.3255076522826792E-2</v>
      </c>
      <c r="BD664">
        <v>4.5288347127290719E-2</v>
      </c>
      <c r="BF664">
        <v>8.8543423650117511E-2</v>
      </c>
      <c r="BG664">
        <v>4.4271711825058763E-2</v>
      </c>
      <c r="BH664">
        <v>0.2527760301328752</v>
      </c>
      <c r="BS664" s="79" t="s">
        <v>464</v>
      </c>
      <c r="BT664" s="79" t="s">
        <v>464</v>
      </c>
      <c r="CA664" t="e">
        <f t="shared" si="178"/>
        <v>#NUM!</v>
      </c>
    </row>
    <row r="665" spans="1:79" x14ac:dyDescent="0.3">
      <c r="A665" s="2" t="s">
        <v>303</v>
      </c>
      <c r="B665" s="13" t="s">
        <v>828</v>
      </c>
      <c r="C665" s="13"/>
      <c r="D665" s="2">
        <v>3.4</v>
      </c>
      <c r="E665" s="2" t="s">
        <v>302</v>
      </c>
      <c r="F665" s="32" t="s">
        <v>527</v>
      </c>
      <c r="G665" s="1" t="s">
        <v>609</v>
      </c>
      <c r="I665" s="2"/>
      <c r="J665" s="25">
        <v>0</v>
      </c>
      <c r="K665">
        <v>4</v>
      </c>
      <c r="L665">
        <v>0</v>
      </c>
      <c r="M665" s="2">
        <v>-1</v>
      </c>
      <c r="N665" s="2"/>
      <c r="O665" s="2"/>
      <c r="P665" s="2"/>
      <c r="Q665" s="2"/>
      <c r="R665" s="36">
        <v>3.86</v>
      </c>
      <c r="S665" s="36">
        <v>3.86</v>
      </c>
      <c r="T665" s="36">
        <v>15.19056011</v>
      </c>
      <c r="U665">
        <v>3.8801999999999999</v>
      </c>
      <c r="V665">
        <v>29.507999999999999</v>
      </c>
      <c r="W665">
        <v>7.7140000000000004</v>
      </c>
      <c r="X665">
        <v>0</v>
      </c>
      <c r="AA665" s="2"/>
      <c r="AB665">
        <v>20</v>
      </c>
      <c r="AC665" s="55">
        <f t="shared" si="141"/>
        <v>0</v>
      </c>
      <c r="AD665" s="57">
        <v>0</v>
      </c>
      <c r="AE665" s="55">
        <v>883.22940750240002</v>
      </c>
      <c r="AF665" s="55">
        <v>0</v>
      </c>
      <c r="AG665" s="52"/>
      <c r="AH665" s="51"/>
      <c r="AI665" s="52">
        <v>9.0576694254581439E-2</v>
      </c>
      <c r="AJ665" s="52"/>
      <c r="AK665" s="28">
        <v>1.75</v>
      </c>
      <c r="AL665" s="28">
        <v>2.5</v>
      </c>
      <c r="AM665" s="28">
        <v>0.75</v>
      </c>
      <c r="AN665" s="28">
        <v>0</v>
      </c>
      <c r="AO665" s="28">
        <v>0.35</v>
      </c>
      <c r="AP665" s="28">
        <v>0.5</v>
      </c>
      <c r="AQ665" s="28">
        <v>0.15</v>
      </c>
      <c r="AR665" s="28">
        <v>0</v>
      </c>
      <c r="AS665" s="25">
        <v>0.82</v>
      </c>
      <c r="AT665" s="25">
        <v>3.44</v>
      </c>
      <c r="AU665" s="25">
        <v>2.62</v>
      </c>
      <c r="AV665" s="25">
        <v>2.6231249999999999</v>
      </c>
      <c r="AW665">
        <v>2.6231249999999999</v>
      </c>
      <c r="AX665">
        <v>5.9545980243750014</v>
      </c>
      <c r="AY665" s="75">
        <v>0.50555206026575039</v>
      </c>
      <c r="AZ665" s="75">
        <v>0</v>
      </c>
      <c r="BA665" s="75"/>
      <c r="BD665">
        <v>4.5288347127290719E-2</v>
      </c>
      <c r="BF665">
        <v>9.0576694254581439E-2</v>
      </c>
      <c r="BG665">
        <v>4.5288347127290719E-2</v>
      </c>
      <c r="BH665">
        <v>0.2527760301328752</v>
      </c>
      <c r="BS665" s="79" t="s">
        <v>464</v>
      </c>
      <c r="BT665" s="79" t="s">
        <v>464</v>
      </c>
      <c r="CA665" t="e">
        <f t="shared" si="178"/>
        <v>#NUM!</v>
      </c>
    </row>
    <row r="666" spans="1:79" x14ac:dyDescent="0.3">
      <c r="A666" s="2" t="s">
        <v>7</v>
      </c>
      <c r="B666" s="13" t="s">
        <v>692</v>
      </c>
      <c r="C666" s="13"/>
      <c r="D666" s="2">
        <v>3.3</v>
      </c>
      <c r="E666" s="2" t="s">
        <v>302</v>
      </c>
      <c r="F666" s="32" t="s">
        <v>527</v>
      </c>
      <c r="G666" s="1" t="s">
        <v>609</v>
      </c>
      <c r="I666" s="2"/>
      <c r="J666" s="25">
        <v>0</v>
      </c>
      <c r="K666">
        <v>4</v>
      </c>
      <c r="L666">
        <v>0</v>
      </c>
      <c r="M666" s="2">
        <v>-1</v>
      </c>
      <c r="N666" s="2"/>
      <c r="O666" s="2"/>
      <c r="P666" s="2"/>
      <c r="Q666" s="2"/>
      <c r="R666" s="36">
        <v>3.86</v>
      </c>
      <c r="S666" s="36">
        <v>3.86</v>
      </c>
      <c r="T666" s="36">
        <v>15.19056011</v>
      </c>
      <c r="U666">
        <v>3.8801999999999999</v>
      </c>
      <c r="V666">
        <v>29.507999999999999</v>
      </c>
      <c r="W666">
        <v>7.7140000000000004</v>
      </c>
      <c r="X666">
        <v>0</v>
      </c>
      <c r="AA666" s="2"/>
      <c r="AB666">
        <v>20</v>
      </c>
      <c r="AC666" s="55">
        <f t="shared" si="141"/>
        <v>0</v>
      </c>
      <c r="AD666" s="57">
        <v>0</v>
      </c>
      <c r="AE666" s="55">
        <v>883.22940750240002</v>
      </c>
      <c r="AF666" s="55">
        <v>0</v>
      </c>
      <c r="AG666" s="52"/>
      <c r="AH666" s="51"/>
      <c r="AI666" s="52">
        <v>9.0576694254581439E-2</v>
      </c>
      <c r="AJ666" s="52"/>
      <c r="AK666" s="28">
        <v>1.75</v>
      </c>
      <c r="AL666" s="28">
        <v>2.5</v>
      </c>
      <c r="AM666" s="28">
        <v>0.75</v>
      </c>
      <c r="AN666" s="28">
        <v>0</v>
      </c>
      <c r="AO666" s="28">
        <v>0.35</v>
      </c>
      <c r="AP666" s="28">
        <v>0.5</v>
      </c>
      <c r="AQ666" s="28">
        <v>0.15</v>
      </c>
      <c r="AR666" s="28">
        <v>0</v>
      </c>
      <c r="AS666" s="25">
        <v>0.82</v>
      </c>
      <c r="AT666" s="25">
        <v>3.44</v>
      </c>
      <c r="AU666" s="25">
        <v>2.62</v>
      </c>
      <c r="AV666" s="25">
        <v>2.62</v>
      </c>
      <c r="AW666">
        <v>2.62</v>
      </c>
      <c r="AX666">
        <v>5.9423863675000002</v>
      </c>
      <c r="AY666" s="75">
        <v>0.50555206026575039</v>
      </c>
      <c r="AZ666" s="75">
        <v>0</v>
      </c>
      <c r="BA666" s="75"/>
      <c r="BD666">
        <v>4.5288347127290719E-2</v>
      </c>
      <c r="BF666">
        <v>9.0576694254581439E-2</v>
      </c>
      <c r="BG666">
        <v>4.5288347127290719E-2</v>
      </c>
      <c r="BH666">
        <v>0.2527760301328752</v>
      </c>
      <c r="BS666" s="79" t="s">
        <v>464</v>
      </c>
      <c r="BT666" s="79" t="s">
        <v>464</v>
      </c>
      <c r="CA666" t="e">
        <f t="shared" si="178"/>
        <v>#NUM!</v>
      </c>
    </row>
    <row r="667" spans="1:79" x14ac:dyDescent="0.3">
      <c r="A667" s="2" t="s">
        <v>63</v>
      </c>
      <c r="B667" s="13" t="s">
        <v>773</v>
      </c>
      <c r="C667" s="13"/>
      <c r="D667" s="2">
        <v>3.5</v>
      </c>
      <c r="E667" s="2" t="s">
        <v>305</v>
      </c>
      <c r="F667" s="9">
        <v>-1</v>
      </c>
      <c r="G667">
        <v>-1</v>
      </c>
      <c r="H667" t="s">
        <v>1179</v>
      </c>
      <c r="I667" s="2">
        <v>1</v>
      </c>
      <c r="J667" s="25">
        <v>0</v>
      </c>
      <c r="K667">
        <v>0</v>
      </c>
      <c r="L667">
        <v>1</v>
      </c>
      <c r="M667" s="2">
        <v>-1</v>
      </c>
      <c r="N667" s="2"/>
      <c r="O667" s="2"/>
      <c r="P667" s="2"/>
      <c r="Q667" s="2"/>
      <c r="R667" s="25">
        <v>3.84</v>
      </c>
      <c r="S667" s="25">
        <v>3.84</v>
      </c>
      <c r="T667" s="25">
        <v>13.97</v>
      </c>
      <c r="U667">
        <v>3.8504999999999998</v>
      </c>
      <c r="V667">
        <v>3.8504999999999998</v>
      </c>
      <c r="W667">
        <v>14.379</v>
      </c>
      <c r="AA667" s="2"/>
      <c r="AB667">
        <v>20</v>
      </c>
      <c r="AC667" s="55">
        <f t="shared" si="141"/>
        <v>0</v>
      </c>
      <c r="AD667" s="57">
        <v>0</v>
      </c>
      <c r="AE667" s="55">
        <v>0</v>
      </c>
      <c r="AF667" s="55">
        <v>213.2</v>
      </c>
      <c r="AG667" s="52"/>
      <c r="AH667" s="51"/>
      <c r="AI667" s="52"/>
      <c r="AJ667" s="67">
        <f>L667*AB667/AF667</f>
        <v>9.3808630393996256E-2</v>
      </c>
      <c r="AK667" s="28">
        <v>1.75</v>
      </c>
      <c r="AL667" s="28">
        <v>2.5</v>
      </c>
      <c r="AM667" s="28">
        <v>0.75</v>
      </c>
      <c r="AN667" s="28">
        <v>0</v>
      </c>
      <c r="AO667" s="28">
        <v>0.35</v>
      </c>
      <c r="AP667" s="28">
        <v>0.5</v>
      </c>
      <c r="AQ667" s="28">
        <v>0.15</v>
      </c>
      <c r="AR667" s="28">
        <v>0</v>
      </c>
      <c r="AS667" s="25">
        <v>1</v>
      </c>
      <c r="AT667" s="25">
        <v>3.44</v>
      </c>
      <c r="AU667" s="25">
        <v>2.44</v>
      </c>
      <c r="AV667" s="25">
        <v>2.7124999999999999</v>
      </c>
      <c r="AW667">
        <v>2.7124999999999999</v>
      </c>
      <c r="AX667">
        <v>6.264025610615688</v>
      </c>
      <c r="AY667" s="75"/>
      <c r="AZ667" s="75"/>
      <c r="BA667" s="75">
        <v>0</v>
      </c>
      <c r="BB667" t="s">
        <v>459</v>
      </c>
      <c r="BE667">
        <v>4.6904315196998128E-2</v>
      </c>
      <c r="BF667">
        <v>9.3808630393996256E-2</v>
      </c>
      <c r="BG667" t="s">
        <v>459</v>
      </c>
      <c r="BH667">
        <v>0</v>
      </c>
      <c r="BS667" s="79" t="s">
        <v>464</v>
      </c>
      <c r="BT667" s="79" t="s">
        <v>464</v>
      </c>
      <c r="CA667" t="e">
        <f t="shared" si="178"/>
        <v>#NUM!</v>
      </c>
    </row>
    <row r="668" spans="1:79" x14ac:dyDescent="0.3">
      <c r="A668" s="2" t="s">
        <v>304</v>
      </c>
      <c r="B668" s="34" t="s">
        <v>829</v>
      </c>
      <c r="C668" s="34"/>
      <c r="D668" s="2">
        <v>3.33</v>
      </c>
      <c r="E668" s="2" t="s">
        <v>305</v>
      </c>
      <c r="F668" s="35">
        <v>-1</v>
      </c>
      <c r="G668" s="2">
        <v>-1</v>
      </c>
      <c r="H668" s="2"/>
      <c r="I668" s="2">
        <v>4</v>
      </c>
      <c r="J668" s="29">
        <v>0</v>
      </c>
      <c r="K668">
        <v>0</v>
      </c>
      <c r="L668">
        <v>0</v>
      </c>
      <c r="M668" s="2">
        <v>6.47</v>
      </c>
      <c r="N668" s="2">
        <v>6.47</v>
      </c>
      <c r="O668" s="2">
        <v>30.69</v>
      </c>
      <c r="P668" s="2"/>
      <c r="Q668" s="2"/>
      <c r="R668" s="29">
        <v>0</v>
      </c>
      <c r="S668" s="29"/>
      <c r="T668" s="29"/>
      <c r="U668">
        <v>0</v>
      </c>
      <c r="X668">
        <v>0</v>
      </c>
      <c r="AA668" s="2"/>
      <c r="AB668" s="2">
        <v>34</v>
      </c>
      <c r="AC668" s="55">
        <f t="shared" si="141"/>
        <v>1284.7110209999998</v>
      </c>
      <c r="AD668" s="57">
        <v>0</v>
      </c>
      <c r="AE668" s="55">
        <v>0</v>
      </c>
      <c r="AF668" s="55">
        <v>0</v>
      </c>
      <c r="AG668" s="52">
        <f t="shared" ref="AG668:AG670" si="186">I668*AB668/AC668</f>
        <v>0.1058603824338174</v>
      </c>
      <c r="AH668" s="51"/>
      <c r="AI668" s="52"/>
      <c r="AJ668" s="52"/>
      <c r="AK668" s="2">
        <v>1.62962962962963</v>
      </c>
      <c r="AL668" s="2">
        <v>2.518518518518519</v>
      </c>
      <c r="AM668" s="2">
        <v>0.88888888888888884</v>
      </c>
      <c r="AN668" s="2">
        <v>0</v>
      </c>
      <c r="AO668" s="2">
        <v>0.32352941176470579</v>
      </c>
      <c r="AP668" s="2">
        <v>0.5</v>
      </c>
      <c r="AQ668" s="2">
        <v>0.1764705882352941</v>
      </c>
      <c r="AR668" s="2">
        <v>0</v>
      </c>
      <c r="AS668" s="29">
        <v>1.6</v>
      </c>
      <c r="AT668" s="29">
        <v>3.44</v>
      </c>
      <c r="AU668" s="29">
        <v>1.84</v>
      </c>
      <c r="AV668" s="29">
        <v>2.8474074074074069</v>
      </c>
      <c r="AW668" s="2">
        <v>2.8474074074074069</v>
      </c>
      <c r="AX668" s="2">
        <v>6.6632481018297778</v>
      </c>
      <c r="AY668" s="75"/>
      <c r="AZ668" s="75"/>
      <c r="BA668" s="75"/>
      <c r="BB668">
        <v>5.2930191216908701E-2</v>
      </c>
      <c r="BF668">
        <v>0.1058603824338174</v>
      </c>
      <c r="BG668">
        <v>5.2930191216908701E-2</v>
      </c>
      <c r="BH668">
        <v>0</v>
      </c>
      <c r="BS668" s="79" t="s">
        <v>464</v>
      </c>
      <c r="BT668" s="79" t="s">
        <v>464</v>
      </c>
      <c r="CA668" t="e">
        <f t="shared" si="178"/>
        <v>#NUM!</v>
      </c>
    </row>
    <row r="669" spans="1:79" x14ac:dyDescent="0.3">
      <c r="A669" s="2" t="s">
        <v>299</v>
      </c>
      <c r="B669" s="33" t="s">
        <v>949</v>
      </c>
      <c r="C669" s="34"/>
      <c r="D669" s="2">
        <v>3.65</v>
      </c>
      <c r="E669" s="2" t="s">
        <v>306</v>
      </c>
      <c r="F669" s="35">
        <v>-1</v>
      </c>
      <c r="G669" s="2">
        <v>-1</v>
      </c>
      <c r="H669" s="2"/>
      <c r="I669" s="2">
        <v>1</v>
      </c>
      <c r="J669" s="29">
        <v>0</v>
      </c>
      <c r="K669">
        <v>0</v>
      </c>
      <c r="L669">
        <v>0</v>
      </c>
      <c r="M669" s="2">
        <v>3.8531</v>
      </c>
      <c r="N669" s="2">
        <v>3.8531</v>
      </c>
      <c r="O669" s="2">
        <v>16.2151</v>
      </c>
      <c r="P669" s="2"/>
      <c r="Q669" s="2"/>
      <c r="R669" s="29">
        <v>0</v>
      </c>
      <c r="S669" s="29"/>
      <c r="T669" s="29"/>
      <c r="U669">
        <v>0</v>
      </c>
      <c r="X669">
        <v>0</v>
      </c>
      <c r="AA669" s="2"/>
      <c r="AB669" s="2">
        <v>20</v>
      </c>
      <c r="AC669" s="55">
        <f t="shared" si="141"/>
        <v>240.73553001411099</v>
      </c>
      <c r="AD669" s="57">
        <v>0</v>
      </c>
      <c r="AE669" s="55">
        <v>0</v>
      </c>
      <c r="AF669" s="55">
        <v>0</v>
      </c>
      <c r="AG669" s="52">
        <f t="shared" si="186"/>
        <v>8.3078721279022161E-2</v>
      </c>
      <c r="AH669" s="51"/>
      <c r="AI669" s="52"/>
      <c r="AJ669" s="52"/>
      <c r="AK669" s="2">
        <v>1.76875</v>
      </c>
      <c r="AL669" s="2">
        <v>2.5</v>
      </c>
      <c r="AM669" s="2">
        <v>0.73125000000000007</v>
      </c>
      <c r="AN669" s="2">
        <v>0.26250000000000001</v>
      </c>
      <c r="AO669" s="2">
        <v>0.33610451306413303</v>
      </c>
      <c r="AP669" s="2">
        <v>0.47505938242280282</v>
      </c>
      <c r="AQ669" s="2">
        <v>0.13895486935866991</v>
      </c>
      <c r="AR669" s="2">
        <v>4.9881235154394299E-2</v>
      </c>
      <c r="AS669" s="29">
        <v>1</v>
      </c>
      <c r="AT669" s="29">
        <v>3.44</v>
      </c>
      <c r="AU669" s="29">
        <v>2.44</v>
      </c>
      <c r="AV669" s="29">
        <v>2.7106249999999998</v>
      </c>
      <c r="AW669" s="2">
        <v>2.7106249999999998</v>
      </c>
      <c r="AX669" s="2">
        <v>6.2658671793656886</v>
      </c>
      <c r="AY669" s="75"/>
      <c r="AZ669" s="75"/>
      <c r="BA669" s="75"/>
      <c r="BB669">
        <v>4.153936063951108E-2</v>
      </c>
      <c r="BF669">
        <v>8.3078721279022161E-2</v>
      </c>
      <c r="BG669">
        <v>4.153936063951108E-2</v>
      </c>
      <c r="BH669">
        <v>0</v>
      </c>
      <c r="BS669" s="79" t="s">
        <v>464</v>
      </c>
      <c r="BT669" s="79" t="s">
        <v>464</v>
      </c>
      <c r="CA669" t="e">
        <f t="shared" si="178"/>
        <v>#NUM!</v>
      </c>
    </row>
    <row r="670" spans="1:79" x14ac:dyDescent="0.3">
      <c r="A670" s="2" t="s">
        <v>301</v>
      </c>
      <c r="B670" s="33" t="s">
        <v>950</v>
      </c>
      <c r="C670" s="34"/>
      <c r="D670" s="2">
        <v>3.8</v>
      </c>
      <c r="E670" s="2" t="s">
        <v>306</v>
      </c>
      <c r="F670" s="35">
        <v>-1</v>
      </c>
      <c r="G670" s="2">
        <v>-1</v>
      </c>
      <c r="H670" s="2"/>
      <c r="I670" s="2">
        <v>1</v>
      </c>
      <c r="J670" s="29">
        <v>0</v>
      </c>
      <c r="K670">
        <v>0</v>
      </c>
      <c r="L670">
        <v>0</v>
      </c>
      <c r="M670" s="2">
        <v>3.8531</v>
      </c>
      <c r="N670" s="2">
        <v>3.8531</v>
      </c>
      <c r="O670" s="2">
        <v>16.2151</v>
      </c>
      <c r="P670" s="2"/>
      <c r="Q670" s="2"/>
      <c r="R670" s="29">
        <v>0</v>
      </c>
      <c r="S670" s="29"/>
      <c r="T670" s="29"/>
      <c r="U670">
        <v>0</v>
      </c>
      <c r="X670">
        <v>0</v>
      </c>
      <c r="AA670" s="2"/>
      <c r="AB670" s="2">
        <v>20</v>
      </c>
      <c r="AC670" s="55">
        <f t="shared" si="141"/>
        <v>240.73553001411099</v>
      </c>
      <c r="AD670" s="57">
        <v>0</v>
      </c>
      <c r="AE670" s="55">
        <v>0</v>
      </c>
      <c r="AF670" s="55">
        <v>0</v>
      </c>
      <c r="AG670" s="52">
        <f t="shared" si="186"/>
        <v>8.3078721279022161E-2</v>
      </c>
      <c r="AH670" s="51"/>
      <c r="AI670" s="52"/>
      <c r="AJ670" s="52"/>
      <c r="AK670" s="2">
        <v>1.84375</v>
      </c>
      <c r="AL670" s="2">
        <v>2.5</v>
      </c>
      <c r="AM670" s="2">
        <v>0.65625</v>
      </c>
      <c r="AN670" s="2">
        <v>1.3125</v>
      </c>
      <c r="AO670" s="2">
        <v>0.29207920792079212</v>
      </c>
      <c r="AP670" s="2">
        <v>0.39603960396039611</v>
      </c>
      <c r="AQ670" s="2">
        <v>0.103960396039604</v>
      </c>
      <c r="AR670" s="2">
        <v>0.20792079207920791</v>
      </c>
      <c r="AS670" s="29">
        <v>1</v>
      </c>
      <c r="AT670" s="29">
        <v>3.44</v>
      </c>
      <c r="AU670" s="29">
        <v>2.44</v>
      </c>
      <c r="AV670" s="29">
        <v>2.703125</v>
      </c>
      <c r="AW670" s="2">
        <v>2.703125</v>
      </c>
      <c r="AX670" s="2">
        <v>6.2732334543656876</v>
      </c>
      <c r="AY670" s="75"/>
      <c r="AZ670" s="75"/>
      <c r="BA670" s="75"/>
      <c r="BB670">
        <v>4.153936063951108E-2</v>
      </c>
      <c r="BF670">
        <v>8.3078721279022161E-2</v>
      </c>
      <c r="BG670">
        <v>4.153936063951108E-2</v>
      </c>
      <c r="BH670">
        <v>0</v>
      </c>
      <c r="BS670" s="79" t="s">
        <v>464</v>
      </c>
      <c r="BT670" s="79" t="s">
        <v>464</v>
      </c>
      <c r="CA670" t="e">
        <f t="shared" si="178"/>
        <v>#NUM!</v>
      </c>
    </row>
    <row r="671" spans="1:79" x14ac:dyDescent="0.3">
      <c r="A671" s="2" t="s">
        <v>46</v>
      </c>
      <c r="B671" s="34" t="s">
        <v>722</v>
      </c>
      <c r="C671" s="34"/>
      <c r="D671" s="2">
        <v>3.34</v>
      </c>
      <c r="E671" s="2" t="s">
        <v>307</v>
      </c>
      <c r="F671" s="35" t="s">
        <v>551</v>
      </c>
      <c r="G671" s="2" t="s">
        <v>629</v>
      </c>
      <c r="H671" s="2"/>
      <c r="I671" s="2"/>
      <c r="J671" s="29">
        <v>2</v>
      </c>
      <c r="K671">
        <v>4</v>
      </c>
      <c r="L671">
        <v>0</v>
      </c>
      <c r="M671" s="2"/>
      <c r="N671" s="2"/>
      <c r="O671" s="2"/>
      <c r="P671" s="2"/>
      <c r="Q671" s="2"/>
      <c r="R671" s="29">
        <v>7.41544296</v>
      </c>
      <c r="S671" s="29">
        <v>7.4154429599999991</v>
      </c>
      <c r="T671" s="29">
        <v>7.41544296</v>
      </c>
      <c r="U671">
        <v>7.8</v>
      </c>
      <c r="V671">
        <v>13.010999999999999</v>
      </c>
      <c r="W671">
        <v>5.5460000000000003</v>
      </c>
      <c r="X671">
        <v>0</v>
      </c>
      <c r="AA671" s="2"/>
      <c r="AB671" s="2" t="s">
        <v>1241</v>
      </c>
      <c r="AC671" s="55">
        <f t="shared" si="141"/>
        <v>0</v>
      </c>
      <c r="AD671" s="57">
        <v>288.33429290182369</v>
      </c>
      <c r="AE671" s="55">
        <v>556.51188553357167</v>
      </c>
      <c r="AF671" s="55">
        <v>0</v>
      </c>
      <c r="AG671" s="52"/>
      <c r="AH671" s="51">
        <v>9.7109503410799117E-2</v>
      </c>
      <c r="AI671" s="52">
        <v>0.10062678166578309</v>
      </c>
      <c r="AJ671" s="52"/>
      <c r="AK671" s="2">
        <v>2</v>
      </c>
      <c r="AL671" s="2">
        <v>2.545454545454545</v>
      </c>
      <c r="AM671" s="2">
        <v>0.54545454545454541</v>
      </c>
      <c r="AN671" s="2">
        <v>0</v>
      </c>
      <c r="AO671" s="2">
        <v>0.39285714285714279</v>
      </c>
      <c r="AP671" s="2">
        <v>0.5</v>
      </c>
      <c r="AQ671" s="2">
        <v>0.1071428571428571</v>
      </c>
      <c r="AR671" s="2">
        <v>0</v>
      </c>
      <c r="AS671" s="29">
        <v>1.1000000000000001</v>
      </c>
      <c r="AT671" s="29">
        <v>3.44</v>
      </c>
      <c r="AU671" s="29">
        <v>2.34</v>
      </c>
      <c r="AV671" s="29">
        <v>2.669090909090909</v>
      </c>
      <c r="AW671" s="2">
        <v>2.669090909090909</v>
      </c>
      <c r="AX671" s="2">
        <v>5.9831974772727277</v>
      </c>
      <c r="AY671" s="75">
        <v>0.52442413903612473</v>
      </c>
      <c r="AZ671" s="75">
        <v>0.54341863036636606</v>
      </c>
      <c r="BA671" s="75"/>
      <c r="BC671">
        <v>4.8554751705399558E-2</v>
      </c>
      <c r="BD671">
        <v>5.0313390832891547E-2</v>
      </c>
      <c r="BF671">
        <v>9.8868142538291098E-2</v>
      </c>
      <c r="BG671">
        <v>4.9434071269145549E-2</v>
      </c>
      <c r="BH671">
        <v>0.53392138470124539</v>
      </c>
      <c r="BN671" s="79" t="s">
        <v>676</v>
      </c>
      <c r="BO671" s="79">
        <v>0.22</v>
      </c>
      <c r="BS671" s="79" t="s">
        <v>464</v>
      </c>
      <c r="BT671" s="79" t="s">
        <v>464</v>
      </c>
      <c r="CA671" t="e">
        <f t="shared" si="178"/>
        <v>#NUM!</v>
      </c>
    </row>
    <row r="672" spans="1:79" x14ac:dyDescent="0.3">
      <c r="A672" s="2" t="s">
        <v>891</v>
      </c>
      <c r="B672" s="34" t="s">
        <v>722</v>
      </c>
      <c r="C672" s="34"/>
      <c r="D672" s="2">
        <v>3.17</v>
      </c>
      <c r="E672" s="2" t="s">
        <v>307</v>
      </c>
      <c r="F672" s="35" t="s">
        <v>551</v>
      </c>
      <c r="G672" s="2" t="s">
        <v>629</v>
      </c>
      <c r="H672" s="2"/>
      <c r="I672" s="2"/>
      <c r="J672" s="29">
        <v>2</v>
      </c>
      <c r="K672">
        <v>4</v>
      </c>
      <c r="L672">
        <v>0</v>
      </c>
      <c r="M672" s="2"/>
      <c r="N672" s="2"/>
      <c r="O672" s="2"/>
      <c r="P672" s="2"/>
      <c r="Q672" s="2"/>
      <c r="R672" s="29">
        <v>7.41544296</v>
      </c>
      <c r="S672" s="29">
        <v>7.4154429599999991</v>
      </c>
      <c r="T672" s="29">
        <v>7.41544296</v>
      </c>
      <c r="U672">
        <v>7.8</v>
      </c>
      <c r="V672">
        <v>13.010999999999999</v>
      </c>
      <c r="W672">
        <v>5.5460000000000003</v>
      </c>
      <c r="X672">
        <v>0</v>
      </c>
      <c r="AA672" s="2"/>
      <c r="AB672" s="2">
        <v>14</v>
      </c>
      <c r="AC672" s="55">
        <f t="shared" si="141"/>
        <v>0</v>
      </c>
      <c r="AD672" s="57">
        <v>288.33429290182369</v>
      </c>
      <c r="AE672" s="55">
        <v>556.51188553357167</v>
      </c>
      <c r="AF672" s="55">
        <v>0</v>
      </c>
      <c r="AG672" s="52"/>
      <c r="AH672" s="51">
        <v>9.7109503410799117E-2</v>
      </c>
      <c r="AI672" s="52">
        <v>0.10062678166578309</v>
      </c>
      <c r="AJ672" s="52"/>
      <c r="AK672" s="2">
        <v>2</v>
      </c>
      <c r="AL672" s="2">
        <v>2.545454545454545</v>
      </c>
      <c r="AM672" s="2">
        <v>0.54545454545454541</v>
      </c>
      <c r="AN672" s="2">
        <v>0</v>
      </c>
      <c r="AO672" s="2">
        <v>0.39285714285714279</v>
      </c>
      <c r="AP672" s="2">
        <v>0.5</v>
      </c>
      <c r="AQ672" s="2">
        <v>0.1071428571428571</v>
      </c>
      <c r="AR672" s="2">
        <v>0</v>
      </c>
      <c r="AS672" s="29">
        <v>1.1000000000000001</v>
      </c>
      <c r="AT672" s="29">
        <v>3.44</v>
      </c>
      <c r="AU672" s="29">
        <v>2.34</v>
      </c>
      <c r="AV672" s="29">
        <v>2.669090909090909</v>
      </c>
      <c r="AW672" s="2">
        <v>2.669090909090909</v>
      </c>
      <c r="AX672" s="2">
        <v>5.9831974772727277</v>
      </c>
      <c r="AY672" s="75">
        <v>0.52442413903612473</v>
      </c>
      <c r="AZ672" s="75">
        <v>0.54341863036636606</v>
      </c>
      <c r="BA672" s="75"/>
      <c r="BC672">
        <v>4.8554751705399558E-2</v>
      </c>
      <c r="BD672">
        <v>5.0313390832891547E-2</v>
      </c>
      <c r="BF672">
        <v>9.8868142538291098E-2</v>
      </c>
      <c r="BG672">
        <v>4.9434071269145549E-2</v>
      </c>
      <c r="BH672">
        <v>0.53392138470124539</v>
      </c>
      <c r="BS672" s="79" t="s">
        <v>464</v>
      </c>
      <c r="BT672" s="79" t="s">
        <v>464</v>
      </c>
      <c r="CA672" t="e">
        <f t="shared" si="178"/>
        <v>#NUM!</v>
      </c>
    </row>
    <row r="673" spans="1:79" x14ac:dyDescent="0.3">
      <c r="A673" s="2" t="s">
        <v>308</v>
      </c>
      <c r="B673" s="34" t="s">
        <v>830</v>
      </c>
      <c r="C673" s="34"/>
      <c r="D673" s="2">
        <v>3.44</v>
      </c>
      <c r="E673" s="2" t="s">
        <v>309</v>
      </c>
      <c r="F673" s="35" t="s">
        <v>601</v>
      </c>
      <c r="G673" s="2" t="s">
        <v>672</v>
      </c>
      <c r="H673" s="2"/>
      <c r="I673" s="2"/>
      <c r="J673" s="29">
        <v>1</v>
      </c>
      <c r="K673">
        <v>2</v>
      </c>
      <c r="L673">
        <v>0</v>
      </c>
      <c r="M673" s="2"/>
      <c r="N673" s="2"/>
      <c r="O673" s="2"/>
      <c r="P673" s="2"/>
      <c r="Q673" s="2"/>
      <c r="R673" s="29">
        <v>3.9408639999999999</v>
      </c>
      <c r="S673" s="29">
        <v>3.9455239999999989</v>
      </c>
      <c r="T673" s="29">
        <v>15.25730117</v>
      </c>
      <c r="U673">
        <v>3.8656999999999999</v>
      </c>
      <c r="V673">
        <v>29.777000000000001</v>
      </c>
      <c r="W673">
        <v>3.8519999999999999</v>
      </c>
      <c r="X673">
        <v>0</v>
      </c>
      <c r="AA673" s="2"/>
      <c r="AB673" s="2">
        <v>20</v>
      </c>
      <c r="AC673" s="55">
        <f t="shared" si="141"/>
        <v>0</v>
      </c>
      <c r="AD673" s="57">
        <v>235.24089263777751</v>
      </c>
      <c r="AE673" s="55">
        <v>443.39967116280002</v>
      </c>
      <c r="AF673" s="55">
        <v>0</v>
      </c>
      <c r="AG673" s="52"/>
      <c r="AH673" s="51">
        <v>8.5019231884976218E-2</v>
      </c>
      <c r="AI673" s="52">
        <v>9.0212065099420147E-2</v>
      </c>
      <c r="AJ673" s="52"/>
      <c r="AK673" s="2">
        <v>1.9375</v>
      </c>
      <c r="AL673" s="2">
        <v>2.5</v>
      </c>
      <c r="AM673" s="2">
        <v>0.5625</v>
      </c>
      <c r="AN673" s="2">
        <v>2.625</v>
      </c>
      <c r="AO673" s="2">
        <v>0.25409836065573771</v>
      </c>
      <c r="AP673" s="2">
        <v>0.32786885245901642</v>
      </c>
      <c r="AQ673" s="2">
        <v>7.3770491803278687E-2</v>
      </c>
      <c r="AR673" s="2">
        <v>0.34426229508196721</v>
      </c>
      <c r="AS673" s="29">
        <v>0.82</v>
      </c>
      <c r="AT673" s="29">
        <v>3.44</v>
      </c>
      <c r="AU673" s="29">
        <v>2.62</v>
      </c>
      <c r="AV673" s="29">
        <v>2.6074999999999999</v>
      </c>
      <c r="AW673" s="2">
        <v>2.6074999999999999</v>
      </c>
      <c r="AX673" s="2">
        <v>5.9852253687500001</v>
      </c>
      <c r="AY673" s="75">
        <v>0.49683934576995548</v>
      </c>
      <c r="AZ673" s="75">
        <v>0</v>
      </c>
      <c r="BA673" s="75"/>
      <c r="BC673">
        <v>4.2509615942488109E-2</v>
      </c>
      <c r="BD673">
        <v>4.5106032549710073E-2</v>
      </c>
      <c r="BF673">
        <v>8.7615648492198189E-2</v>
      </c>
      <c r="BG673">
        <v>4.3807824246099088E-2</v>
      </c>
      <c r="BH673">
        <v>0.24841967288497771</v>
      </c>
      <c r="BS673" s="79" t="s">
        <v>464</v>
      </c>
      <c r="BT673" s="79" t="s">
        <v>464</v>
      </c>
      <c r="CA673" t="e">
        <f t="shared" si="178"/>
        <v>#NUM!</v>
      </c>
    </row>
    <row r="674" spans="1:79" x14ac:dyDescent="0.3">
      <c r="A674" s="2" t="s">
        <v>63</v>
      </c>
      <c r="B674" s="34" t="s">
        <v>773</v>
      </c>
      <c r="C674" s="34"/>
      <c r="D674" s="2">
        <v>3.4</v>
      </c>
      <c r="E674" s="2" t="s">
        <v>310</v>
      </c>
      <c r="F674" s="35">
        <v>-1</v>
      </c>
      <c r="G674" s="2">
        <v>-1</v>
      </c>
      <c r="H674" s="2"/>
      <c r="I674" s="2">
        <v>1</v>
      </c>
      <c r="J674" s="29">
        <v>0</v>
      </c>
      <c r="K674">
        <v>0</v>
      </c>
      <c r="L674">
        <v>0</v>
      </c>
      <c r="M674" s="2">
        <v>3.8531</v>
      </c>
      <c r="N674" s="2">
        <v>3.8531</v>
      </c>
      <c r="O674" s="2">
        <v>16.2151</v>
      </c>
      <c r="P674" s="2"/>
      <c r="Q674" s="2"/>
      <c r="R674" s="29">
        <v>0</v>
      </c>
      <c r="S674" s="29"/>
      <c r="T674" s="29"/>
      <c r="U674">
        <v>0</v>
      </c>
      <c r="X674">
        <v>0</v>
      </c>
      <c r="AA674" s="2"/>
      <c r="AB674" s="2">
        <v>20</v>
      </c>
      <c r="AC674" s="55">
        <f t="shared" si="141"/>
        <v>240.73553001411099</v>
      </c>
      <c r="AD674" s="57">
        <v>0</v>
      </c>
      <c r="AE674" s="55">
        <v>0</v>
      </c>
      <c r="AF674" s="55">
        <v>0</v>
      </c>
      <c r="AG674" s="52">
        <f t="shared" ref="AG674:AG676" si="187">I674*AB674/AC674</f>
        <v>8.3078721279022161E-2</v>
      </c>
      <c r="AH674" s="51"/>
      <c r="AI674" s="52"/>
      <c r="AJ674" s="52"/>
      <c r="AK674" s="2">
        <v>1.75</v>
      </c>
      <c r="AL674" s="2">
        <v>2.5</v>
      </c>
      <c r="AM674" s="2">
        <v>0.75</v>
      </c>
      <c r="AN674" s="2">
        <v>0</v>
      </c>
      <c r="AO674" s="2">
        <v>0.35</v>
      </c>
      <c r="AP674" s="2">
        <v>0.5</v>
      </c>
      <c r="AQ674" s="2">
        <v>0.15</v>
      </c>
      <c r="AR674" s="2">
        <v>0</v>
      </c>
      <c r="AS674" s="29">
        <v>1</v>
      </c>
      <c r="AT674" s="29">
        <v>3.44</v>
      </c>
      <c r="AU674" s="29">
        <v>2.44</v>
      </c>
      <c r="AV674" s="29">
        <v>2.7124999999999999</v>
      </c>
      <c r="AW674" s="2">
        <v>2.7124999999999999</v>
      </c>
      <c r="AX674" s="2">
        <v>6.264025610615688</v>
      </c>
      <c r="AY674" s="75"/>
      <c r="AZ674" s="75"/>
      <c r="BA674" s="75"/>
      <c r="BB674">
        <v>4.153936063951108E-2</v>
      </c>
      <c r="BF674">
        <v>8.3078721279022161E-2</v>
      </c>
      <c r="BG674">
        <v>4.153936063951108E-2</v>
      </c>
      <c r="BH674">
        <v>0</v>
      </c>
      <c r="BI674" s="79" t="s">
        <v>1264</v>
      </c>
      <c r="BM674" s="79" t="s">
        <v>464</v>
      </c>
      <c r="BN674" s="79" t="s">
        <v>464</v>
      </c>
      <c r="BO674" s="79">
        <v>0</v>
      </c>
      <c r="BQ674" s="79">
        <v>1</v>
      </c>
      <c r="BR674" s="79">
        <v>20</v>
      </c>
      <c r="BS674" s="79" t="s">
        <v>464</v>
      </c>
      <c r="BT674" s="79" t="s">
        <v>464</v>
      </c>
      <c r="BU674" s="79" t="s">
        <v>1271</v>
      </c>
      <c r="BV674" s="79">
        <v>300</v>
      </c>
      <c r="BW674" s="79">
        <v>420</v>
      </c>
      <c r="BX674" s="79" t="s">
        <v>1311</v>
      </c>
      <c r="BZ674" s="81">
        <v>0</v>
      </c>
      <c r="CA674" t="e">
        <f t="shared" si="178"/>
        <v>#NUM!</v>
      </c>
    </row>
    <row r="675" spans="1:79" x14ac:dyDescent="0.3">
      <c r="A675" s="2" t="s">
        <v>1447</v>
      </c>
      <c r="B675" s="34" t="s">
        <v>773</v>
      </c>
      <c r="C675" s="34"/>
      <c r="D675" s="2">
        <v>2.15</v>
      </c>
      <c r="E675" s="2" t="s">
        <v>310</v>
      </c>
      <c r="F675" s="35">
        <v>-1</v>
      </c>
      <c r="G675" s="2">
        <v>-1</v>
      </c>
      <c r="H675" s="2"/>
      <c r="I675" s="2">
        <v>1</v>
      </c>
      <c r="J675" s="29">
        <v>0</v>
      </c>
      <c r="K675">
        <v>0</v>
      </c>
      <c r="L675">
        <v>0</v>
      </c>
      <c r="M675" s="2">
        <v>3.8531</v>
      </c>
      <c r="N675" s="2">
        <v>3.8531</v>
      </c>
      <c r="O675" s="2">
        <v>16.2151</v>
      </c>
      <c r="P675" s="2"/>
      <c r="Q675" s="2"/>
      <c r="R675" s="29">
        <v>0</v>
      </c>
      <c r="S675" s="29"/>
      <c r="T675" s="29"/>
      <c r="U675">
        <v>0</v>
      </c>
      <c r="X675">
        <v>0</v>
      </c>
      <c r="AA675" s="2"/>
      <c r="AB675" s="2">
        <v>20</v>
      </c>
      <c r="AC675" s="55">
        <f t="shared" si="141"/>
        <v>240.73553001411099</v>
      </c>
      <c r="AD675" s="57">
        <v>0</v>
      </c>
      <c r="AE675" s="55">
        <v>0</v>
      </c>
      <c r="AF675" s="55">
        <v>0</v>
      </c>
      <c r="AG675" s="52">
        <f t="shared" si="187"/>
        <v>8.3078721279022161E-2</v>
      </c>
      <c r="AH675" s="51"/>
      <c r="AI675" s="52"/>
      <c r="AJ675" s="52"/>
      <c r="AK675" s="2">
        <v>1.75</v>
      </c>
      <c r="AL675" s="2">
        <v>2.5</v>
      </c>
      <c r="AM675" s="2">
        <v>0.75</v>
      </c>
      <c r="AN675" s="2">
        <v>0</v>
      </c>
      <c r="AO675" s="2">
        <v>0.35</v>
      </c>
      <c r="AP675" s="2">
        <v>0.5</v>
      </c>
      <c r="AQ675" s="2">
        <v>0.15</v>
      </c>
      <c r="AR675" s="2">
        <v>0</v>
      </c>
      <c r="AS675" s="29">
        <v>1</v>
      </c>
      <c r="AT675" s="29">
        <v>3.44</v>
      </c>
      <c r="AU675" s="29">
        <v>2.44</v>
      </c>
      <c r="AV675" s="29">
        <v>2.7124999999999999</v>
      </c>
      <c r="AW675" s="2">
        <v>2.7124999999999999</v>
      </c>
      <c r="AX675" s="2">
        <v>6.264025610615688</v>
      </c>
      <c r="AY675" s="75"/>
      <c r="AZ675" s="75"/>
      <c r="BA675" s="75"/>
      <c r="BB675">
        <v>4.153936063951108E-2</v>
      </c>
      <c r="BF675">
        <v>8.3078721279022161E-2</v>
      </c>
      <c r="BG675">
        <v>4.153936063951108E-2</v>
      </c>
      <c r="BH675">
        <v>0</v>
      </c>
      <c r="BI675" s="79" t="s">
        <v>1264</v>
      </c>
      <c r="BM675" s="79" t="s">
        <v>464</v>
      </c>
      <c r="BN675" s="79" t="s">
        <v>464</v>
      </c>
      <c r="BO675" s="79">
        <v>0</v>
      </c>
      <c r="BQ675" s="79">
        <v>1</v>
      </c>
      <c r="BR675" s="79">
        <v>20</v>
      </c>
      <c r="BS675" s="79" t="s">
        <v>464</v>
      </c>
      <c r="BT675" s="79" t="s">
        <v>464</v>
      </c>
      <c r="BU675" s="79" t="s">
        <v>1271</v>
      </c>
      <c r="BV675" s="79">
        <v>300</v>
      </c>
      <c r="BW675" s="79">
        <v>420</v>
      </c>
      <c r="BX675" s="79" t="s">
        <v>1311</v>
      </c>
      <c r="BZ675" s="81">
        <v>450</v>
      </c>
      <c r="CA675">
        <f t="shared" si="178"/>
        <v>6.1092475827643655</v>
      </c>
    </row>
    <row r="676" spans="1:79" x14ac:dyDescent="0.3">
      <c r="A676" s="2" t="s">
        <v>311</v>
      </c>
      <c r="B676" s="13" t="s">
        <v>831</v>
      </c>
      <c r="C676" s="13"/>
      <c r="D676" s="2">
        <v>3.54</v>
      </c>
      <c r="E676" s="2" t="s">
        <v>312</v>
      </c>
      <c r="F676" s="9">
        <v>-1</v>
      </c>
      <c r="G676">
        <v>-1</v>
      </c>
      <c r="I676" s="2">
        <v>1</v>
      </c>
      <c r="J676" s="25">
        <v>0</v>
      </c>
      <c r="K676">
        <v>0</v>
      </c>
      <c r="L676">
        <v>0</v>
      </c>
      <c r="M676" s="2">
        <v>3.9647999999999999</v>
      </c>
      <c r="N676" s="2">
        <v>3.9647999999999999</v>
      </c>
      <c r="O676" s="2">
        <v>15.7392</v>
      </c>
      <c r="P676" s="2" t="s">
        <v>439</v>
      </c>
      <c r="Q676" s="2"/>
      <c r="R676" s="25">
        <v>0</v>
      </c>
      <c r="S676" s="25"/>
      <c r="T676" s="25"/>
      <c r="U676">
        <v>0</v>
      </c>
      <c r="X676">
        <v>0</v>
      </c>
      <c r="AA676" s="2"/>
      <c r="AB676">
        <v>20</v>
      </c>
      <c r="AC676" s="55">
        <f t="shared" si="141"/>
        <v>247.41454277836797</v>
      </c>
      <c r="AD676" s="57">
        <v>0</v>
      </c>
      <c r="AE676" s="55">
        <v>0</v>
      </c>
      <c r="AF676" s="55">
        <v>0</v>
      </c>
      <c r="AG676" s="52">
        <f t="shared" si="187"/>
        <v>8.0835991997106837E-2</v>
      </c>
      <c r="AH676" s="51"/>
      <c r="AI676" s="52"/>
      <c r="AJ676" s="52"/>
      <c r="AK676" s="28">
        <v>1.9375</v>
      </c>
      <c r="AL676" s="28">
        <v>2.5</v>
      </c>
      <c r="AM676" s="28">
        <v>0.5625</v>
      </c>
      <c r="AN676" s="28">
        <v>2.625</v>
      </c>
      <c r="AO676" s="28">
        <v>0.25409836065573771</v>
      </c>
      <c r="AP676" s="28">
        <v>0.32786885245901642</v>
      </c>
      <c r="AQ676" s="28">
        <v>7.3770491803278687E-2</v>
      </c>
      <c r="AR676" s="28">
        <v>0.34426229508196721</v>
      </c>
      <c r="AS676" s="25">
        <v>0.79</v>
      </c>
      <c r="AT676" s="25">
        <v>3.44</v>
      </c>
      <c r="AU676" s="25">
        <v>2.65</v>
      </c>
      <c r="AV676" s="25">
        <v>2.5918749999999999</v>
      </c>
      <c r="AW676">
        <v>2.5918749999999999</v>
      </c>
      <c r="AX676">
        <v>5.9214935367946877</v>
      </c>
      <c r="AY676" s="75"/>
      <c r="AZ676" s="75"/>
      <c r="BA676" s="75"/>
      <c r="BB676">
        <v>4.0417995998553419E-2</v>
      </c>
      <c r="BF676">
        <v>8.0835991997106837E-2</v>
      </c>
      <c r="BG676">
        <v>4.0417995998553419E-2</v>
      </c>
      <c r="BH676">
        <v>0</v>
      </c>
      <c r="BI676" s="79" t="s">
        <v>1264</v>
      </c>
      <c r="BJ676" s="79">
        <v>1273</v>
      </c>
      <c r="BK676" s="79">
        <v>6</v>
      </c>
      <c r="BS676" s="79" t="s">
        <v>464</v>
      </c>
      <c r="BT676" s="79" t="s">
        <v>464</v>
      </c>
      <c r="CA676" t="e">
        <f t="shared" si="178"/>
        <v>#NUM!</v>
      </c>
    </row>
    <row r="677" spans="1:79" x14ac:dyDescent="0.3">
      <c r="A677" s="2" t="s">
        <v>313</v>
      </c>
      <c r="B677" s="13" t="s">
        <v>720</v>
      </c>
      <c r="C677" s="13"/>
      <c r="D677" s="2">
        <v>3.5</v>
      </c>
      <c r="E677" s="2" t="s">
        <v>314</v>
      </c>
      <c r="F677" s="9" t="s">
        <v>549</v>
      </c>
      <c r="G677">
        <v>-1</v>
      </c>
      <c r="I677" s="2"/>
      <c r="J677" s="25">
        <v>1</v>
      </c>
      <c r="K677">
        <v>0</v>
      </c>
      <c r="L677">
        <v>0</v>
      </c>
      <c r="M677" s="2">
        <v>-1</v>
      </c>
      <c r="N677" s="2"/>
      <c r="O677" s="2"/>
      <c r="P677" s="2"/>
      <c r="Q677" s="2"/>
      <c r="R677" s="25">
        <v>15.28115725</v>
      </c>
      <c r="S677" s="25">
        <v>15.28115725</v>
      </c>
      <c r="T677" s="25">
        <v>15.28115725</v>
      </c>
      <c r="U677">
        <v>0</v>
      </c>
      <c r="X677">
        <v>0</v>
      </c>
      <c r="AA677" s="2"/>
      <c r="AB677">
        <v>20</v>
      </c>
      <c r="AC677" s="55">
        <f t="shared" ref="AC677:AC798" si="188">M677*N677*O677</f>
        <v>0</v>
      </c>
      <c r="AD677" s="57">
        <v>229.90248606119221</v>
      </c>
      <c r="AE677" s="55">
        <v>0</v>
      </c>
      <c r="AF677" s="55">
        <v>0</v>
      </c>
      <c r="AG677" s="52"/>
      <c r="AH677" s="51">
        <v>8.6993404650164072E-2</v>
      </c>
      <c r="AI677" s="52"/>
      <c r="AJ677" s="52"/>
      <c r="AK677" s="28">
        <v>1.882352941176471</v>
      </c>
      <c r="AL677" s="28">
        <v>2.3529411764705879</v>
      </c>
      <c r="AM677" s="28">
        <v>0.47058823529411759</v>
      </c>
      <c r="AN677" s="28">
        <v>0</v>
      </c>
      <c r="AO677" s="28">
        <v>0.4</v>
      </c>
      <c r="AP677" s="28">
        <v>0.5</v>
      </c>
      <c r="AQ677" s="28">
        <v>9.9999999999999992E-2</v>
      </c>
      <c r="AR677" s="28">
        <v>0</v>
      </c>
      <c r="AS677" s="25">
        <v>0.82</v>
      </c>
      <c r="AT677" s="25">
        <v>3.44</v>
      </c>
      <c r="AU677" s="25">
        <v>2.62</v>
      </c>
      <c r="AV677" s="25">
        <v>2.5211764705882351</v>
      </c>
      <c r="AW677">
        <v>2.521176470588236</v>
      </c>
      <c r="AX677">
        <v>5.6898745917647062</v>
      </c>
      <c r="AY677" s="75">
        <v>0.57369840599679445</v>
      </c>
      <c r="AZ677" s="75"/>
      <c r="BA677" s="75"/>
      <c r="BC677">
        <v>4.3496702325082043E-2</v>
      </c>
      <c r="BF677">
        <v>8.6993404650164072E-2</v>
      </c>
      <c r="BG677">
        <v>4.3496702325082043E-2</v>
      </c>
      <c r="BH677">
        <v>0.57369840599679445</v>
      </c>
      <c r="BI677" s="79" t="s">
        <v>1264</v>
      </c>
      <c r="BJ677" s="79">
        <v>1273</v>
      </c>
      <c r="BK677" s="79">
        <v>48</v>
      </c>
      <c r="BQ677" s="79">
        <v>5</v>
      </c>
      <c r="BS677" s="79" t="s">
        <v>1405</v>
      </c>
      <c r="BT677" s="79" t="s">
        <v>464</v>
      </c>
      <c r="BU677" s="79" t="s">
        <v>1271</v>
      </c>
      <c r="BV677" s="79">
        <v>500</v>
      </c>
      <c r="BW677" s="79">
        <v>400</v>
      </c>
      <c r="BX677" s="79" t="s">
        <v>1311</v>
      </c>
      <c r="BZ677" s="81">
        <v>0</v>
      </c>
      <c r="CA677" t="e">
        <f t="shared" si="178"/>
        <v>#NUM!</v>
      </c>
    </row>
    <row r="678" spans="1:79" x14ac:dyDescent="0.3">
      <c r="A678" s="2" t="s">
        <v>1451</v>
      </c>
      <c r="B678" s="13" t="s">
        <v>720</v>
      </c>
      <c r="C678" s="13"/>
      <c r="D678" s="2"/>
      <c r="E678" s="2" t="s">
        <v>314</v>
      </c>
      <c r="F678" s="9" t="s">
        <v>549</v>
      </c>
      <c r="G678">
        <v>-1</v>
      </c>
      <c r="I678" s="2"/>
      <c r="J678" s="25">
        <v>1</v>
      </c>
      <c r="K678">
        <v>0</v>
      </c>
      <c r="L678">
        <v>0</v>
      </c>
      <c r="M678" s="2">
        <v>-1</v>
      </c>
      <c r="N678" s="2"/>
      <c r="O678" s="2"/>
      <c r="P678" s="2"/>
      <c r="Q678" s="2"/>
      <c r="R678" s="25">
        <v>15.28115725</v>
      </c>
      <c r="S678" s="25">
        <v>15.28115725</v>
      </c>
      <c r="T678" s="25">
        <v>15.28115725</v>
      </c>
      <c r="U678">
        <v>0</v>
      </c>
      <c r="X678">
        <v>0</v>
      </c>
      <c r="AA678" s="2"/>
      <c r="AB678">
        <v>20</v>
      </c>
      <c r="AC678" s="55">
        <f t="shared" si="188"/>
        <v>0</v>
      </c>
      <c r="AD678" s="57">
        <v>229.90248606119221</v>
      </c>
      <c r="AE678" s="55">
        <v>0</v>
      </c>
      <c r="AF678" s="55">
        <v>0</v>
      </c>
      <c r="AG678" s="52"/>
      <c r="AH678" s="51">
        <v>8.6993404650164072E-2</v>
      </c>
      <c r="AI678" s="52"/>
      <c r="AJ678" s="52"/>
      <c r="AK678" s="28">
        <v>1.882352941176471</v>
      </c>
      <c r="AL678" s="28">
        <v>2.3529411764705879</v>
      </c>
      <c r="AM678" s="28">
        <v>0.47058823529411759</v>
      </c>
      <c r="AN678" s="28">
        <v>0</v>
      </c>
      <c r="AO678" s="28">
        <v>0.4</v>
      </c>
      <c r="AP678" s="28">
        <v>0.5</v>
      </c>
      <c r="AQ678" s="28">
        <v>9.9999999999999992E-2</v>
      </c>
      <c r="AR678" s="28">
        <v>0</v>
      </c>
      <c r="AS678" s="25">
        <v>0.82</v>
      </c>
      <c r="AT678" s="25">
        <v>3.44</v>
      </c>
      <c r="AU678" s="25">
        <v>2.62</v>
      </c>
      <c r="AV678" s="25">
        <v>2.5211764705882351</v>
      </c>
      <c r="AW678">
        <v>2.521176470588236</v>
      </c>
      <c r="AX678">
        <v>5.6898745917647062</v>
      </c>
      <c r="AY678" s="75">
        <v>0.57369840599679445</v>
      </c>
      <c r="AZ678" s="75"/>
      <c r="BA678" s="75"/>
      <c r="BC678">
        <v>4.3496702325082043E-2</v>
      </c>
      <c r="BF678">
        <v>8.6993404650164072E-2</v>
      </c>
      <c r="BG678">
        <v>4.3496702325082043E-2</v>
      </c>
      <c r="BH678">
        <v>0.57369840599679445</v>
      </c>
      <c r="BI678" s="79" t="s">
        <v>1264</v>
      </c>
      <c r="BJ678" s="79">
        <v>1273</v>
      </c>
      <c r="BK678" s="79">
        <v>48</v>
      </c>
      <c r="BQ678" s="79">
        <v>5</v>
      </c>
      <c r="BS678" s="79" t="s">
        <v>1405</v>
      </c>
      <c r="BT678" s="79" t="s">
        <v>464</v>
      </c>
      <c r="BU678" s="79" t="s">
        <v>1271</v>
      </c>
      <c r="BV678" s="79">
        <v>500</v>
      </c>
      <c r="BW678" s="79">
        <v>400</v>
      </c>
      <c r="BX678" s="79" t="s">
        <v>1311</v>
      </c>
      <c r="BZ678" s="81">
        <v>16</v>
      </c>
      <c r="CA678">
        <f t="shared" si="178"/>
        <v>2.7725887222397811</v>
      </c>
    </row>
    <row r="679" spans="1:79" x14ac:dyDescent="0.3">
      <c r="A679" s="2" t="s">
        <v>1452</v>
      </c>
      <c r="B679" s="13" t="s">
        <v>720</v>
      </c>
      <c r="C679" s="13"/>
      <c r="D679" s="2"/>
      <c r="E679" s="2" t="s">
        <v>314</v>
      </c>
      <c r="F679" s="9" t="s">
        <v>549</v>
      </c>
      <c r="G679">
        <v>-1</v>
      </c>
      <c r="I679" s="2"/>
      <c r="J679" s="25">
        <v>1</v>
      </c>
      <c r="K679">
        <v>0</v>
      </c>
      <c r="L679">
        <v>0</v>
      </c>
      <c r="M679" s="2">
        <v>-1</v>
      </c>
      <c r="N679" s="2"/>
      <c r="O679" s="2"/>
      <c r="P679" s="2"/>
      <c r="Q679" s="2"/>
      <c r="R679" s="25">
        <v>15.28115725</v>
      </c>
      <c r="S679" s="25">
        <v>15.28115725</v>
      </c>
      <c r="T679" s="25">
        <v>15.28115725</v>
      </c>
      <c r="U679">
        <v>0</v>
      </c>
      <c r="X679">
        <v>0</v>
      </c>
      <c r="AA679" s="2"/>
      <c r="AB679">
        <v>20</v>
      </c>
      <c r="AC679" s="55">
        <f t="shared" ref="AC679:AC680" si="189">M679*N679*O679</f>
        <v>0</v>
      </c>
      <c r="AD679" s="57">
        <v>229.90248606119221</v>
      </c>
      <c r="AE679" s="55">
        <v>0</v>
      </c>
      <c r="AF679" s="55">
        <v>0</v>
      </c>
      <c r="AG679" s="52"/>
      <c r="AH679" s="51">
        <v>8.6993404650164072E-2</v>
      </c>
      <c r="AI679" s="52"/>
      <c r="AJ679" s="52"/>
      <c r="AK679" s="28">
        <v>1.882352941176471</v>
      </c>
      <c r="AL679" s="28">
        <v>2.3529411764705879</v>
      </c>
      <c r="AM679" s="28">
        <v>0.47058823529411759</v>
      </c>
      <c r="AN679" s="28">
        <v>0</v>
      </c>
      <c r="AO679" s="28">
        <v>0.4</v>
      </c>
      <c r="AP679" s="28">
        <v>0.5</v>
      </c>
      <c r="AQ679" s="28">
        <v>9.9999999999999992E-2</v>
      </c>
      <c r="AR679" s="28">
        <v>0</v>
      </c>
      <c r="AS679" s="25">
        <v>0.82</v>
      </c>
      <c r="AT679" s="25">
        <v>3.44</v>
      </c>
      <c r="AU679" s="25">
        <v>2.62</v>
      </c>
      <c r="AV679" s="25">
        <v>2.5211764705882351</v>
      </c>
      <c r="AW679">
        <v>2.521176470588236</v>
      </c>
      <c r="AX679">
        <v>5.6898745917647062</v>
      </c>
      <c r="AY679" s="75">
        <v>0.57369840599679445</v>
      </c>
      <c r="AZ679" s="75"/>
      <c r="BA679" s="75"/>
      <c r="BC679">
        <v>4.3496702325082043E-2</v>
      </c>
      <c r="BF679">
        <v>8.6993404650164072E-2</v>
      </c>
      <c r="BG679">
        <v>4.3496702325082043E-2</v>
      </c>
      <c r="BH679">
        <v>0.57369840599679445</v>
      </c>
      <c r="BI679" s="79" t="s">
        <v>1264</v>
      </c>
      <c r="BJ679" s="79">
        <v>1273</v>
      </c>
      <c r="BK679" s="79">
        <v>48</v>
      </c>
      <c r="BQ679" s="79">
        <v>5</v>
      </c>
      <c r="BS679" s="79" t="s">
        <v>1405</v>
      </c>
      <c r="BT679" s="79" t="s">
        <v>464</v>
      </c>
      <c r="BU679" s="79" t="s">
        <v>1271</v>
      </c>
      <c r="BV679" s="79">
        <v>500</v>
      </c>
      <c r="BW679" s="79">
        <v>400</v>
      </c>
      <c r="BX679" s="79" t="s">
        <v>1311</v>
      </c>
      <c r="BZ679" s="81">
        <v>20</v>
      </c>
      <c r="CA679">
        <f t="shared" si="178"/>
        <v>2.9957322735539909</v>
      </c>
    </row>
    <row r="680" spans="1:79" x14ac:dyDescent="0.3">
      <c r="A680" s="2" t="s">
        <v>1453</v>
      </c>
      <c r="B680" s="13" t="s">
        <v>720</v>
      </c>
      <c r="C680" s="13"/>
      <c r="D680" s="2"/>
      <c r="E680" s="2" t="s">
        <v>314</v>
      </c>
      <c r="F680" s="9" t="s">
        <v>549</v>
      </c>
      <c r="G680">
        <v>-1</v>
      </c>
      <c r="I680" s="2"/>
      <c r="J680" s="25">
        <v>1</v>
      </c>
      <c r="K680">
        <v>0</v>
      </c>
      <c r="L680">
        <v>0</v>
      </c>
      <c r="M680" s="2">
        <v>-1</v>
      </c>
      <c r="N680" s="2"/>
      <c r="O680" s="2"/>
      <c r="P680" s="2"/>
      <c r="Q680" s="2"/>
      <c r="R680" s="25">
        <v>15.28115725</v>
      </c>
      <c r="S680" s="25">
        <v>15.28115725</v>
      </c>
      <c r="T680" s="25">
        <v>15.28115725</v>
      </c>
      <c r="U680">
        <v>0</v>
      </c>
      <c r="X680">
        <v>0</v>
      </c>
      <c r="AA680" s="2"/>
      <c r="AB680">
        <v>20</v>
      </c>
      <c r="AC680" s="55">
        <f t="shared" si="189"/>
        <v>0</v>
      </c>
      <c r="AD680" s="57">
        <v>229.90248606119221</v>
      </c>
      <c r="AE680" s="55">
        <v>0</v>
      </c>
      <c r="AF680" s="55">
        <v>0</v>
      </c>
      <c r="AG680" s="52"/>
      <c r="AH680" s="51">
        <v>8.6993404650164072E-2</v>
      </c>
      <c r="AI680" s="52"/>
      <c r="AJ680" s="52"/>
      <c r="AK680" s="28">
        <v>1.882352941176471</v>
      </c>
      <c r="AL680" s="28">
        <v>2.3529411764705879</v>
      </c>
      <c r="AM680" s="28">
        <v>0.47058823529411759</v>
      </c>
      <c r="AN680" s="28">
        <v>0</v>
      </c>
      <c r="AO680" s="28">
        <v>0.4</v>
      </c>
      <c r="AP680" s="28">
        <v>0.5</v>
      </c>
      <c r="AQ680" s="28">
        <v>9.9999999999999992E-2</v>
      </c>
      <c r="AR680" s="28">
        <v>0</v>
      </c>
      <c r="AS680" s="25">
        <v>0.82</v>
      </c>
      <c r="AT680" s="25">
        <v>3.44</v>
      </c>
      <c r="AU680" s="25">
        <v>2.62</v>
      </c>
      <c r="AV680" s="25">
        <v>2.5211764705882351</v>
      </c>
      <c r="AW680">
        <v>2.521176470588236</v>
      </c>
      <c r="AX680">
        <v>5.6898745917647062</v>
      </c>
      <c r="AY680" s="75">
        <v>0.57369840599679445</v>
      </c>
      <c r="AZ680" s="75"/>
      <c r="BA680" s="75"/>
      <c r="BC680">
        <v>4.3496702325082043E-2</v>
      </c>
      <c r="BF680">
        <v>8.6993404650164072E-2</v>
      </c>
      <c r="BG680">
        <v>4.3496702325082043E-2</v>
      </c>
      <c r="BH680">
        <v>0.57369840599679445</v>
      </c>
      <c r="BI680" s="79" t="s">
        <v>1264</v>
      </c>
      <c r="BJ680" s="79">
        <v>1273</v>
      </c>
      <c r="BK680" s="79">
        <v>48</v>
      </c>
      <c r="BQ680" s="79">
        <v>5</v>
      </c>
      <c r="BS680" s="79" t="s">
        <v>1405</v>
      </c>
      <c r="BT680" s="79" t="s">
        <v>464</v>
      </c>
      <c r="BU680" s="79" t="s">
        <v>1271</v>
      </c>
      <c r="BV680" s="79">
        <v>500</v>
      </c>
      <c r="BW680" s="79">
        <v>400</v>
      </c>
      <c r="BX680" s="79" t="s">
        <v>1311</v>
      </c>
      <c r="BZ680" s="81">
        <v>12</v>
      </c>
      <c r="CA680">
        <f t="shared" si="178"/>
        <v>2.4849066497880004</v>
      </c>
    </row>
    <row r="681" spans="1:79" x14ac:dyDescent="0.3">
      <c r="A681" s="2" t="s">
        <v>1454</v>
      </c>
      <c r="B681" s="13" t="s">
        <v>720</v>
      </c>
      <c r="C681" s="13"/>
      <c r="D681" s="2"/>
      <c r="E681" s="2" t="s">
        <v>314</v>
      </c>
      <c r="F681" s="9" t="s">
        <v>549</v>
      </c>
      <c r="G681">
        <v>-1</v>
      </c>
      <c r="I681" s="2"/>
      <c r="J681" s="25">
        <v>1</v>
      </c>
      <c r="K681">
        <v>0</v>
      </c>
      <c r="L681">
        <v>0</v>
      </c>
      <c r="M681" s="2">
        <v>-1</v>
      </c>
      <c r="N681" s="2"/>
      <c r="O681" s="2"/>
      <c r="P681" s="2"/>
      <c r="Q681" s="2"/>
      <c r="R681" s="25">
        <v>15.28115725</v>
      </c>
      <c r="S681" s="25">
        <v>15.28115725</v>
      </c>
      <c r="T681" s="25">
        <v>15.28115725</v>
      </c>
      <c r="U681">
        <v>0</v>
      </c>
      <c r="X681">
        <v>0</v>
      </c>
      <c r="AA681" s="2"/>
      <c r="AB681">
        <v>20</v>
      </c>
      <c r="AC681" s="55">
        <f t="shared" ref="AC681:AC682" si="190">M681*N681*O681</f>
        <v>0</v>
      </c>
      <c r="AD681" s="57">
        <v>229.90248606119221</v>
      </c>
      <c r="AE681" s="55">
        <v>0</v>
      </c>
      <c r="AF681" s="55">
        <v>0</v>
      </c>
      <c r="AG681" s="52"/>
      <c r="AH681" s="51">
        <v>8.6993404650164072E-2</v>
      </c>
      <c r="AI681" s="52"/>
      <c r="AJ681" s="52"/>
      <c r="AK681" s="28">
        <v>1.882352941176471</v>
      </c>
      <c r="AL681" s="28">
        <v>2.3529411764705879</v>
      </c>
      <c r="AM681" s="28">
        <v>0.47058823529411759</v>
      </c>
      <c r="AN681" s="28">
        <v>0</v>
      </c>
      <c r="AO681" s="28">
        <v>0.4</v>
      </c>
      <c r="AP681" s="28">
        <v>0.5</v>
      </c>
      <c r="AQ681" s="28">
        <v>9.9999999999999992E-2</v>
      </c>
      <c r="AR681" s="28">
        <v>0</v>
      </c>
      <c r="AS681" s="25">
        <v>0.82</v>
      </c>
      <c r="AT681" s="25">
        <v>3.44</v>
      </c>
      <c r="AU681" s="25">
        <v>2.62</v>
      </c>
      <c r="AV681" s="25">
        <v>2.5211764705882351</v>
      </c>
      <c r="AW681">
        <v>2.521176470588236</v>
      </c>
      <c r="AX681">
        <v>5.6898745917647062</v>
      </c>
      <c r="AY681" s="75">
        <v>0.57369840599679445</v>
      </c>
      <c r="AZ681" s="75"/>
      <c r="BA681" s="75"/>
      <c r="BC681">
        <v>4.3496702325082043E-2</v>
      </c>
      <c r="BF681">
        <v>8.6993404650164072E-2</v>
      </c>
      <c r="BG681">
        <v>4.3496702325082043E-2</v>
      </c>
      <c r="BH681">
        <v>0.57369840599679445</v>
      </c>
      <c r="BI681" s="79" t="s">
        <v>1264</v>
      </c>
      <c r="BJ681" s="79">
        <v>1273</v>
      </c>
      <c r="BK681" s="79">
        <v>48</v>
      </c>
      <c r="BQ681" s="79">
        <v>5</v>
      </c>
      <c r="BS681" s="79" t="s">
        <v>1405</v>
      </c>
      <c r="BT681" s="79" t="s">
        <v>464</v>
      </c>
      <c r="BU681" s="79" t="s">
        <v>1271</v>
      </c>
      <c r="BV681" s="79">
        <v>500</v>
      </c>
      <c r="BW681" s="79">
        <v>400</v>
      </c>
      <c r="BX681" s="79" t="s">
        <v>1311</v>
      </c>
      <c r="BZ681" s="81">
        <v>8</v>
      </c>
      <c r="CA681">
        <f t="shared" si="178"/>
        <v>2.0794415416798357</v>
      </c>
    </row>
    <row r="682" spans="1:79" x14ac:dyDescent="0.3">
      <c r="A682" s="2" t="s">
        <v>1455</v>
      </c>
      <c r="B682" s="13" t="s">
        <v>720</v>
      </c>
      <c r="C682" s="13"/>
      <c r="D682" s="2"/>
      <c r="E682" s="2" t="s">
        <v>314</v>
      </c>
      <c r="F682" s="9" t="s">
        <v>549</v>
      </c>
      <c r="G682">
        <v>-1</v>
      </c>
      <c r="I682" s="2"/>
      <c r="J682" s="25">
        <v>1</v>
      </c>
      <c r="K682">
        <v>0</v>
      </c>
      <c r="L682">
        <v>0</v>
      </c>
      <c r="M682" s="2">
        <v>-1</v>
      </c>
      <c r="N682" s="2"/>
      <c r="O682" s="2"/>
      <c r="P682" s="2"/>
      <c r="Q682" s="2"/>
      <c r="R682" s="25">
        <v>15.28115725</v>
      </c>
      <c r="S682" s="25">
        <v>15.28115725</v>
      </c>
      <c r="T682" s="25">
        <v>15.28115725</v>
      </c>
      <c r="U682">
        <v>0</v>
      </c>
      <c r="X682">
        <v>0</v>
      </c>
      <c r="AA682" s="2"/>
      <c r="AB682">
        <v>20</v>
      </c>
      <c r="AC682" s="55">
        <f t="shared" si="190"/>
        <v>0</v>
      </c>
      <c r="AD682" s="57">
        <v>229.90248606119221</v>
      </c>
      <c r="AE682" s="55">
        <v>0</v>
      </c>
      <c r="AF682" s="55">
        <v>0</v>
      </c>
      <c r="AG682" s="52"/>
      <c r="AH682" s="51">
        <v>8.6993404650164072E-2</v>
      </c>
      <c r="AI682" s="52"/>
      <c r="AJ682" s="52"/>
      <c r="AK682" s="28">
        <v>1.882352941176471</v>
      </c>
      <c r="AL682" s="28">
        <v>2.3529411764705879</v>
      </c>
      <c r="AM682" s="28">
        <v>0.47058823529411759</v>
      </c>
      <c r="AN682" s="28">
        <v>0</v>
      </c>
      <c r="AO682" s="28">
        <v>0.4</v>
      </c>
      <c r="AP682" s="28">
        <v>0.5</v>
      </c>
      <c r="AQ682" s="28">
        <v>9.9999999999999992E-2</v>
      </c>
      <c r="AR682" s="28">
        <v>0</v>
      </c>
      <c r="AS682" s="25">
        <v>0.82</v>
      </c>
      <c r="AT682" s="25">
        <v>3.44</v>
      </c>
      <c r="AU682" s="25">
        <v>2.62</v>
      </c>
      <c r="AV682" s="25">
        <v>2.5211764705882351</v>
      </c>
      <c r="AW682">
        <v>2.521176470588236</v>
      </c>
      <c r="AX682">
        <v>5.6898745917647062</v>
      </c>
      <c r="AY682" s="75">
        <v>0.57369840599679445</v>
      </c>
      <c r="AZ682" s="75"/>
      <c r="BA682" s="75"/>
      <c r="BC682">
        <v>4.3496702325082043E-2</v>
      </c>
      <c r="BF682">
        <v>8.6993404650164072E-2</v>
      </c>
      <c r="BG682">
        <v>4.3496702325082043E-2</v>
      </c>
      <c r="BH682">
        <v>0.57369840599679445</v>
      </c>
      <c r="BI682" s="79" t="s">
        <v>1264</v>
      </c>
      <c r="BJ682" s="79">
        <v>1273</v>
      </c>
      <c r="BK682" s="79">
        <v>48</v>
      </c>
      <c r="BQ682" s="79">
        <v>5</v>
      </c>
      <c r="BS682" s="79" t="s">
        <v>1405</v>
      </c>
      <c r="BT682" s="79" t="s">
        <v>464</v>
      </c>
      <c r="BU682" s="79" t="s">
        <v>1271</v>
      </c>
      <c r="BV682" s="79">
        <v>500</v>
      </c>
      <c r="BW682" s="79">
        <v>400</v>
      </c>
      <c r="BX682" s="79" t="s">
        <v>1311</v>
      </c>
      <c r="BZ682" s="81">
        <v>2.8</v>
      </c>
      <c r="CA682">
        <f t="shared" si="178"/>
        <v>1.0296194171811581</v>
      </c>
    </row>
    <row r="683" spans="1:79" x14ac:dyDescent="0.3">
      <c r="A683" s="2" t="s">
        <v>1456</v>
      </c>
      <c r="B683" s="13" t="s">
        <v>720</v>
      </c>
      <c r="C683" s="13"/>
      <c r="D683" s="2"/>
      <c r="E683" s="2" t="s">
        <v>314</v>
      </c>
      <c r="F683" s="9" t="s">
        <v>549</v>
      </c>
      <c r="G683">
        <v>-1</v>
      </c>
      <c r="I683" s="2"/>
      <c r="J683" s="25">
        <v>1</v>
      </c>
      <c r="K683">
        <v>0</v>
      </c>
      <c r="L683">
        <v>0</v>
      </c>
      <c r="M683" s="2">
        <v>-1</v>
      </c>
      <c r="N683" s="2"/>
      <c r="O683" s="2"/>
      <c r="P683" s="2"/>
      <c r="Q683" s="2"/>
      <c r="R683" s="25">
        <v>15.28115725</v>
      </c>
      <c r="S683" s="25">
        <v>15.28115725</v>
      </c>
      <c r="T683" s="25">
        <v>15.28115725</v>
      </c>
      <c r="U683">
        <v>0</v>
      </c>
      <c r="X683">
        <v>0</v>
      </c>
      <c r="AA683" s="2"/>
      <c r="AB683">
        <v>20</v>
      </c>
      <c r="AC683" s="55">
        <f t="shared" ref="AC683:AC684" si="191">M683*N683*O683</f>
        <v>0</v>
      </c>
      <c r="AD683" s="57">
        <v>229.90248606119221</v>
      </c>
      <c r="AE683" s="55">
        <v>0</v>
      </c>
      <c r="AF683" s="55">
        <v>0</v>
      </c>
      <c r="AG683" s="52"/>
      <c r="AH683" s="51">
        <v>8.6993404650164072E-2</v>
      </c>
      <c r="AI683" s="52"/>
      <c r="AJ683" s="52"/>
      <c r="AK683" s="28">
        <v>1.882352941176471</v>
      </c>
      <c r="AL683" s="28">
        <v>2.3529411764705879</v>
      </c>
      <c r="AM683" s="28">
        <v>0.47058823529411759</v>
      </c>
      <c r="AN683" s="28">
        <v>0</v>
      </c>
      <c r="AO683" s="28">
        <v>0.4</v>
      </c>
      <c r="AP683" s="28">
        <v>0.5</v>
      </c>
      <c r="AQ683" s="28">
        <v>9.9999999999999992E-2</v>
      </c>
      <c r="AR683" s="28">
        <v>0</v>
      </c>
      <c r="AS683" s="25">
        <v>0.82</v>
      </c>
      <c r="AT683" s="25">
        <v>3.44</v>
      </c>
      <c r="AU683" s="25">
        <v>2.62</v>
      </c>
      <c r="AV683" s="25">
        <v>2.5211764705882351</v>
      </c>
      <c r="AW683">
        <v>2.521176470588236</v>
      </c>
      <c r="AX683">
        <v>5.6898745917647062</v>
      </c>
      <c r="AY683" s="75">
        <v>0.57369840599679445</v>
      </c>
      <c r="AZ683" s="75"/>
      <c r="BA683" s="75"/>
      <c r="BC683">
        <v>4.3496702325082043E-2</v>
      </c>
      <c r="BF683">
        <v>8.6993404650164072E-2</v>
      </c>
      <c r="BG683">
        <v>4.3496702325082043E-2</v>
      </c>
      <c r="BH683">
        <v>0.57369840599679445</v>
      </c>
      <c r="BI683" s="79" t="s">
        <v>1264</v>
      </c>
      <c r="BJ683" s="79">
        <v>1273</v>
      </c>
      <c r="BK683" s="79">
        <v>48</v>
      </c>
      <c r="BQ683" s="79">
        <v>5</v>
      </c>
      <c r="BS683" s="79" t="s">
        <v>1405</v>
      </c>
      <c r="BT683" s="79" t="s">
        <v>464</v>
      </c>
      <c r="BU683" s="79" t="s">
        <v>1271</v>
      </c>
      <c r="BV683" s="79">
        <v>500</v>
      </c>
      <c r="BW683" s="79">
        <v>400</v>
      </c>
      <c r="BX683" s="79" t="s">
        <v>1311</v>
      </c>
      <c r="BZ683" s="81">
        <v>1.6</v>
      </c>
      <c r="CA683">
        <f t="shared" si="178"/>
        <v>0.47000362924573563</v>
      </c>
    </row>
    <row r="684" spans="1:79" x14ac:dyDescent="0.3">
      <c r="A684" s="2" t="s">
        <v>1452</v>
      </c>
      <c r="B684" s="13" t="s">
        <v>720</v>
      </c>
      <c r="C684" s="13"/>
      <c r="D684" s="2"/>
      <c r="E684" s="2" t="s">
        <v>314</v>
      </c>
      <c r="F684" s="9" t="s">
        <v>549</v>
      </c>
      <c r="G684">
        <v>-1</v>
      </c>
      <c r="I684" s="2"/>
      <c r="J684" s="25">
        <v>1</v>
      </c>
      <c r="K684">
        <v>0</v>
      </c>
      <c r="L684">
        <v>0</v>
      </c>
      <c r="M684" s="2">
        <v>-1</v>
      </c>
      <c r="N684" s="2"/>
      <c r="O684" s="2"/>
      <c r="P684" s="2"/>
      <c r="Q684" s="2"/>
      <c r="R684" s="25">
        <v>15.28115725</v>
      </c>
      <c r="S684" s="25">
        <v>15.28115725</v>
      </c>
      <c r="T684" s="25">
        <v>15.28115725</v>
      </c>
      <c r="U684">
        <v>0</v>
      </c>
      <c r="X684">
        <v>0</v>
      </c>
      <c r="AA684" s="2"/>
      <c r="AB684">
        <v>20</v>
      </c>
      <c r="AC684" s="55">
        <f t="shared" si="191"/>
        <v>0</v>
      </c>
      <c r="AD684" s="57">
        <v>229.90248606119221</v>
      </c>
      <c r="AE684" s="55">
        <v>0</v>
      </c>
      <c r="AF684" s="55">
        <v>0</v>
      </c>
      <c r="AG684" s="52"/>
      <c r="AH684" s="51">
        <v>8.6993404650164072E-2</v>
      </c>
      <c r="AI684" s="52"/>
      <c r="AJ684" s="52"/>
      <c r="AK684" s="28">
        <v>1.882352941176471</v>
      </c>
      <c r="AL684" s="28">
        <v>2.3529411764705879</v>
      </c>
      <c r="AM684" s="28">
        <v>0.47058823529411759</v>
      </c>
      <c r="AN684" s="28">
        <v>0</v>
      </c>
      <c r="AO684" s="28">
        <v>0.4</v>
      </c>
      <c r="AP684" s="28">
        <v>0.5</v>
      </c>
      <c r="AQ684" s="28">
        <v>9.9999999999999992E-2</v>
      </c>
      <c r="AR684" s="28">
        <v>0</v>
      </c>
      <c r="AS684" s="25">
        <v>0.82</v>
      </c>
      <c r="AT684" s="25">
        <v>3.44</v>
      </c>
      <c r="AU684" s="25">
        <v>2.62</v>
      </c>
      <c r="AV684" s="25">
        <v>2.5211764705882351</v>
      </c>
      <c r="AW684">
        <v>2.521176470588236</v>
      </c>
      <c r="AX684">
        <v>5.6898745917647062</v>
      </c>
      <c r="AY684" s="75">
        <v>0.57369840599679445</v>
      </c>
      <c r="AZ684" s="75"/>
      <c r="BA684" s="75"/>
      <c r="BC684">
        <v>4.3496702325082043E-2</v>
      </c>
      <c r="BF684">
        <v>8.6993404650164072E-2</v>
      </c>
      <c r="BG684">
        <v>4.3496702325082043E-2</v>
      </c>
      <c r="BH684">
        <v>0.57369840599679445</v>
      </c>
      <c r="BI684" s="79" t="s">
        <v>1264</v>
      </c>
      <c r="BJ684" s="79">
        <v>1273</v>
      </c>
      <c r="BK684" s="79">
        <v>48</v>
      </c>
      <c r="BQ684" s="79">
        <v>5</v>
      </c>
      <c r="BS684" s="79" t="s">
        <v>1457</v>
      </c>
      <c r="BT684" s="79" t="s">
        <v>464</v>
      </c>
      <c r="BU684" s="79" t="s">
        <v>1271</v>
      </c>
      <c r="BV684" s="79">
        <v>500</v>
      </c>
      <c r="BW684" s="79">
        <v>400</v>
      </c>
      <c r="BX684" s="79" t="s">
        <v>1311</v>
      </c>
      <c r="BZ684" s="81">
        <v>14</v>
      </c>
      <c r="CA684">
        <f t="shared" si="178"/>
        <v>2.6390573296152584</v>
      </c>
    </row>
    <row r="685" spans="1:79" x14ac:dyDescent="0.3">
      <c r="A685" s="2" t="s">
        <v>1452</v>
      </c>
      <c r="B685" s="13" t="s">
        <v>720</v>
      </c>
      <c r="C685" s="13"/>
      <c r="D685" s="2"/>
      <c r="E685" s="2" t="s">
        <v>314</v>
      </c>
      <c r="F685" s="9" t="s">
        <v>549</v>
      </c>
      <c r="G685">
        <v>-1</v>
      </c>
      <c r="I685" s="2"/>
      <c r="J685" s="25">
        <v>1</v>
      </c>
      <c r="K685">
        <v>0</v>
      </c>
      <c r="L685">
        <v>0</v>
      </c>
      <c r="M685" s="2">
        <v>-1</v>
      </c>
      <c r="N685" s="2"/>
      <c r="O685" s="2"/>
      <c r="P685" s="2"/>
      <c r="Q685" s="2"/>
      <c r="R685" s="25">
        <v>15.28115725</v>
      </c>
      <c r="S685" s="25">
        <v>15.28115725</v>
      </c>
      <c r="T685" s="25">
        <v>15.28115725</v>
      </c>
      <c r="U685">
        <v>0</v>
      </c>
      <c r="X685">
        <v>0</v>
      </c>
      <c r="AA685" s="2"/>
      <c r="AB685">
        <v>20</v>
      </c>
      <c r="AC685" s="55">
        <f t="shared" ref="AC685" si="192">M685*N685*O685</f>
        <v>0</v>
      </c>
      <c r="AD685" s="57">
        <v>229.90248606119221</v>
      </c>
      <c r="AE685" s="55">
        <v>0</v>
      </c>
      <c r="AF685" s="55">
        <v>0</v>
      </c>
      <c r="AG685" s="52"/>
      <c r="AH685" s="51">
        <v>8.6993404650164072E-2</v>
      </c>
      <c r="AI685" s="52"/>
      <c r="AJ685" s="52"/>
      <c r="AK685" s="28">
        <v>1.882352941176471</v>
      </c>
      <c r="AL685" s="28">
        <v>2.3529411764705879</v>
      </c>
      <c r="AM685" s="28">
        <v>0.47058823529411759</v>
      </c>
      <c r="AN685" s="28">
        <v>0</v>
      </c>
      <c r="AO685" s="28">
        <v>0.4</v>
      </c>
      <c r="AP685" s="28">
        <v>0.5</v>
      </c>
      <c r="AQ685" s="28">
        <v>9.9999999999999992E-2</v>
      </c>
      <c r="AR685" s="28">
        <v>0</v>
      </c>
      <c r="AS685" s="25">
        <v>0.82</v>
      </c>
      <c r="AT685" s="25">
        <v>3.44</v>
      </c>
      <c r="AU685" s="25">
        <v>2.62</v>
      </c>
      <c r="AV685" s="25">
        <v>2.5211764705882351</v>
      </c>
      <c r="AW685">
        <v>2.521176470588236</v>
      </c>
      <c r="AX685">
        <v>5.6898745917647062</v>
      </c>
      <c r="AY685" s="75">
        <v>0.57369840599679445</v>
      </c>
      <c r="AZ685" s="75"/>
      <c r="BA685" s="75"/>
      <c r="BC685">
        <v>4.3496702325082043E-2</v>
      </c>
      <c r="BF685">
        <v>8.6993404650164072E-2</v>
      </c>
      <c r="BG685">
        <v>4.3496702325082043E-2</v>
      </c>
      <c r="BH685">
        <v>0.57369840599679445</v>
      </c>
      <c r="BI685" s="79" t="s">
        <v>1264</v>
      </c>
      <c r="BJ685" s="79">
        <v>1273</v>
      </c>
      <c r="BK685" s="79">
        <v>48</v>
      </c>
      <c r="BQ685" s="79">
        <v>5</v>
      </c>
      <c r="BS685" s="79" t="s">
        <v>1458</v>
      </c>
      <c r="BT685" s="79" t="s">
        <v>464</v>
      </c>
      <c r="BU685" s="79" t="s">
        <v>1271</v>
      </c>
      <c r="BV685" s="79">
        <v>500</v>
      </c>
      <c r="BW685" s="79">
        <v>400</v>
      </c>
      <c r="BX685" s="79" t="s">
        <v>1311</v>
      </c>
      <c r="BZ685" s="81">
        <v>42</v>
      </c>
      <c r="CA685">
        <f t="shared" si="178"/>
        <v>3.7376696182833684</v>
      </c>
    </row>
    <row r="686" spans="1:79" x14ac:dyDescent="0.3">
      <c r="A686" s="2" t="s">
        <v>1452</v>
      </c>
      <c r="B686" s="13" t="s">
        <v>720</v>
      </c>
      <c r="C686" s="13"/>
      <c r="D686" s="2"/>
      <c r="E686" s="2" t="s">
        <v>314</v>
      </c>
      <c r="F686" s="9" t="s">
        <v>549</v>
      </c>
      <c r="G686">
        <v>-1</v>
      </c>
      <c r="I686" s="2"/>
      <c r="J686" s="25">
        <v>1</v>
      </c>
      <c r="K686">
        <v>0</v>
      </c>
      <c r="L686">
        <v>0</v>
      </c>
      <c r="M686" s="2">
        <v>-1</v>
      </c>
      <c r="N686" s="2"/>
      <c r="O686" s="2"/>
      <c r="P686" s="2"/>
      <c r="Q686" s="2"/>
      <c r="R686" s="25">
        <v>15.28115725</v>
      </c>
      <c r="S686" s="25">
        <v>15.28115725</v>
      </c>
      <c r="T686" s="25">
        <v>15.28115725</v>
      </c>
      <c r="U686">
        <v>0</v>
      </c>
      <c r="X686">
        <v>0</v>
      </c>
      <c r="AA686" s="2"/>
      <c r="AB686">
        <v>20</v>
      </c>
      <c r="AC686" s="55">
        <f t="shared" ref="AC686" si="193">M686*N686*O686</f>
        <v>0</v>
      </c>
      <c r="AD686" s="57">
        <v>229.90248606119221</v>
      </c>
      <c r="AE686" s="55">
        <v>0</v>
      </c>
      <c r="AF686" s="55">
        <v>0</v>
      </c>
      <c r="AG686" s="52"/>
      <c r="AH686" s="51">
        <v>8.6993404650164072E-2</v>
      </c>
      <c r="AI686" s="52"/>
      <c r="AJ686" s="52"/>
      <c r="AK686" s="28">
        <v>1.882352941176471</v>
      </c>
      <c r="AL686" s="28">
        <v>2.3529411764705879</v>
      </c>
      <c r="AM686" s="28">
        <v>0.47058823529411759</v>
      </c>
      <c r="AN686" s="28">
        <v>0</v>
      </c>
      <c r="AO686" s="28">
        <v>0.4</v>
      </c>
      <c r="AP686" s="28">
        <v>0.5</v>
      </c>
      <c r="AQ686" s="28">
        <v>9.9999999999999992E-2</v>
      </c>
      <c r="AR686" s="28">
        <v>0</v>
      </c>
      <c r="AS686" s="25">
        <v>0.82</v>
      </c>
      <c r="AT686" s="25">
        <v>3.44</v>
      </c>
      <c r="AU686" s="25">
        <v>2.62</v>
      </c>
      <c r="AV686" s="25">
        <v>2.5211764705882351</v>
      </c>
      <c r="AW686">
        <v>2.521176470588236</v>
      </c>
      <c r="AX686">
        <v>5.6898745917647062</v>
      </c>
      <c r="AY686" s="75">
        <v>0.57369840599679445</v>
      </c>
      <c r="AZ686" s="75"/>
      <c r="BA686" s="75"/>
      <c r="BC686">
        <v>4.3496702325082043E-2</v>
      </c>
      <c r="BF686">
        <v>8.6993404650164072E-2</v>
      </c>
      <c r="BG686">
        <v>4.3496702325082043E-2</v>
      </c>
      <c r="BH686">
        <v>0.57369840599679445</v>
      </c>
      <c r="BI686" s="79" t="s">
        <v>1264</v>
      </c>
      <c r="BJ686" s="79">
        <v>1273</v>
      </c>
      <c r="BK686" s="79">
        <v>48</v>
      </c>
      <c r="BQ686" s="79">
        <v>5</v>
      </c>
      <c r="BS686" s="79" t="s">
        <v>1409</v>
      </c>
      <c r="BT686" s="79" t="s">
        <v>464</v>
      </c>
      <c r="BU686" s="79" t="s">
        <v>1271</v>
      </c>
      <c r="BV686" s="79">
        <v>500</v>
      </c>
      <c r="BW686" s="79">
        <v>400</v>
      </c>
      <c r="BX686" s="79" t="s">
        <v>1311</v>
      </c>
      <c r="BZ686" s="81">
        <v>24.8</v>
      </c>
      <c r="CA686">
        <f t="shared" si="178"/>
        <v>3.2108436531709366</v>
      </c>
    </row>
    <row r="687" spans="1:79" x14ac:dyDescent="0.3">
      <c r="A687" s="2" t="s">
        <v>1452</v>
      </c>
      <c r="B687" s="13" t="s">
        <v>720</v>
      </c>
      <c r="C687" s="13"/>
      <c r="D687" s="2"/>
      <c r="E687" s="2" t="s">
        <v>314</v>
      </c>
      <c r="F687" s="9" t="s">
        <v>549</v>
      </c>
      <c r="G687">
        <v>-1</v>
      </c>
      <c r="I687" s="2"/>
      <c r="J687" s="25">
        <v>1</v>
      </c>
      <c r="K687">
        <v>0</v>
      </c>
      <c r="L687">
        <v>0</v>
      </c>
      <c r="M687" s="2">
        <v>-1</v>
      </c>
      <c r="N687" s="2"/>
      <c r="O687" s="2"/>
      <c r="P687" s="2"/>
      <c r="Q687" s="2"/>
      <c r="R687" s="25">
        <v>15.28115725</v>
      </c>
      <c r="S687" s="25">
        <v>15.28115725</v>
      </c>
      <c r="T687" s="25">
        <v>15.28115725</v>
      </c>
      <c r="U687">
        <v>0</v>
      </c>
      <c r="X687">
        <v>0</v>
      </c>
      <c r="AA687" s="2"/>
      <c r="AB687">
        <v>20</v>
      </c>
      <c r="AC687" s="55">
        <f t="shared" ref="AC687" si="194">M687*N687*O687</f>
        <v>0</v>
      </c>
      <c r="AD687" s="57">
        <v>229.90248606119221</v>
      </c>
      <c r="AE687" s="55">
        <v>0</v>
      </c>
      <c r="AF687" s="55">
        <v>0</v>
      </c>
      <c r="AG687" s="52"/>
      <c r="AH687" s="51">
        <v>8.6993404650164072E-2</v>
      </c>
      <c r="AI687" s="52"/>
      <c r="AJ687" s="52"/>
      <c r="AK687" s="28">
        <v>1.882352941176471</v>
      </c>
      <c r="AL687" s="28">
        <v>2.3529411764705879</v>
      </c>
      <c r="AM687" s="28">
        <v>0.47058823529411759</v>
      </c>
      <c r="AN687" s="28">
        <v>0</v>
      </c>
      <c r="AO687" s="28">
        <v>0.4</v>
      </c>
      <c r="AP687" s="28">
        <v>0.5</v>
      </c>
      <c r="AQ687" s="28">
        <v>9.9999999999999992E-2</v>
      </c>
      <c r="AR687" s="28">
        <v>0</v>
      </c>
      <c r="AS687" s="25">
        <v>0.82</v>
      </c>
      <c r="AT687" s="25">
        <v>3.44</v>
      </c>
      <c r="AU687" s="25">
        <v>2.62</v>
      </c>
      <c r="AV687" s="25">
        <v>2.5211764705882351</v>
      </c>
      <c r="AW687">
        <v>2.521176470588236</v>
      </c>
      <c r="AX687">
        <v>5.6898745917647062</v>
      </c>
      <c r="AY687" s="75">
        <v>0.57369840599679445</v>
      </c>
      <c r="AZ687" s="75"/>
      <c r="BA687" s="75"/>
      <c r="BC687">
        <v>4.3496702325082043E-2</v>
      </c>
      <c r="BF687">
        <v>8.6993404650164072E-2</v>
      </c>
      <c r="BG687">
        <v>4.3496702325082043E-2</v>
      </c>
      <c r="BH687">
        <v>0.57369840599679445</v>
      </c>
      <c r="BI687" s="79" t="s">
        <v>1264</v>
      </c>
      <c r="BJ687" s="79">
        <v>1273</v>
      </c>
      <c r="BK687" s="79">
        <v>48</v>
      </c>
      <c r="BQ687" s="79">
        <v>5</v>
      </c>
      <c r="BS687" s="79" t="s">
        <v>1459</v>
      </c>
      <c r="BT687" s="79" t="s">
        <v>464</v>
      </c>
      <c r="BU687" s="79" t="s">
        <v>1271</v>
      </c>
      <c r="BV687" s="79">
        <v>500</v>
      </c>
      <c r="BW687" s="79">
        <v>400</v>
      </c>
      <c r="BX687" s="79" t="s">
        <v>1311</v>
      </c>
      <c r="BZ687" s="81">
        <v>8</v>
      </c>
      <c r="CA687">
        <f t="shared" si="178"/>
        <v>2.0794415416798357</v>
      </c>
    </row>
    <row r="688" spans="1:79" ht="15" x14ac:dyDescent="0.35">
      <c r="A688" s="2" t="s">
        <v>69</v>
      </c>
      <c r="B688" s="13" t="s">
        <v>738</v>
      </c>
      <c r="C688" s="13"/>
      <c r="D688" s="2">
        <v>2.82</v>
      </c>
      <c r="E688" s="8" t="s">
        <v>315</v>
      </c>
      <c r="F688" s="9" t="s">
        <v>560</v>
      </c>
      <c r="G688" t="s">
        <v>638</v>
      </c>
      <c r="I688" s="8"/>
      <c r="J688" s="25">
        <v>2</v>
      </c>
      <c r="K688">
        <v>4</v>
      </c>
      <c r="L688">
        <v>0</v>
      </c>
      <c r="M688" s="2">
        <v>-1</v>
      </c>
      <c r="N688" s="2"/>
      <c r="O688" s="2"/>
      <c r="P688" s="2"/>
      <c r="Q688" s="2"/>
      <c r="R688" s="25">
        <v>8.3195821399999996</v>
      </c>
      <c r="S688" s="25">
        <v>8.3195821399999996</v>
      </c>
      <c r="T688" s="25">
        <v>8.2425581700000006</v>
      </c>
      <c r="U688">
        <v>5.5339970000000003</v>
      </c>
      <c r="V688">
        <v>5.4998300000000002</v>
      </c>
      <c r="W688">
        <v>16.550709999999999</v>
      </c>
      <c r="X688">
        <v>0</v>
      </c>
      <c r="AA688" s="2"/>
      <c r="AB688">
        <v>12</v>
      </c>
      <c r="AC688" s="55">
        <f t="shared" si="188"/>
        <v>0</v>
      </c>
      <c r="AD688" s="57">
        <v>248.80917443900231</v>
      </c>
      <c r="AE688" s="55">
        <v>503.73811661477208</v>
      </c>
      <c r="AF688" s="55">
        <v>0</v>
      </c>
      <c r="AG688" s="52"/>
      <c r="AH688" s="51">
        <v>9.6459465588893734E-2</v>
      </c>
      <c r="AI688" s="52">
        <v>9.5287607621536111E-2</v>
      </c>
      <c r="AJ688" s="52"/>
      <c r="AK688" s="28">
        <v>2</v>
      </c>
      <c r="AL688" s="28">
        <v>3.333333333333333</v>
      </c>
      <c r="AM688" s="28">
        <v>2.666666666666667</v>
      </c>
      <c r="AN688" s="28">
        <v>4.666666666666667</v>
      </c>
      <c r="AO688" s="28">
        <v>0.15789473684210531</v>
      </c>
      <c r="AP688" s="28">
        <v>0.26315789473684209</v>
      </c>
      <c r="AQ688" s="28">
        <v>0.2105263157894737</v>
      </c>
      <c r="AR688" s="28">
        <v>0.36842105263157898</v>
      </c>
      <c r="AS688" s="25">
        <v>2.02</v>
      </c>
      <c r="AT688" s="25">
        <v>3.44</v>
      </c>
      <c r="AU688" s="25">
        <v>1.42</v>
      </c>
      <c r="AV688" s="25">
        <v>3.0044444444444438</v>
      </c>
      <c r="AW688">
        <v>3.0044444444444438</v>
      </c>
      <c r="AX688">
        <v>6.4228342255555546</v>
      </c>
      <c r="AY688" s="75">
        <v>0.52562348257484404</v>
      </c>
      <c r="AZ688" s="75">
        <v>0.51923783589802341</v>
      </c>
      <c r="BA688" s="75"/>
      <c r="BC688">
        <v>4.8229732794446867E-2</v>
      </c>
      <c r="BD688">
        <v>4.7643803810768062E-2</v>
      </c>
      <c r="BF688">
        <v>9.5873536605214915E-2</v>
      </c>
      <c r="BG688">
        <v>4.7936768302607458E-2</v>
      </c>
      <c r="BH688">
        <v>0.52243065923643373</v>
      </c>
      <c r="BS688" s="79" t="s">
        <v>464</v>
      </c>
      <c r="BT688" s="79" t="s">
        <v>464</v>
      </c>
      <c r="CA688" t="e">
        <f t="shared" si="178"/>
        <v>#NUM!</v>
      </c>
    </row>
    <row r="689" spans="1:79" x14ac:dyDescent="0.3">
      <c r="A689" s="2" t="s">
        <v>316</v>
      </c>
      <c r="B689" s="17" t="s">
        <v>951</v>
      </c>
      <c r="C689" s="13"/>
      <c r="D689" s="2">
        <v>3.6</v>
      </c>
      <c r="E689" s="2" t="s">
        <v>317</v>
      </c>
      <c r="F689" s="9">
        <v>-1</v>
      </c>
      <c r="G689">
        <v>-1</v>
      </c>
      <c r="I689" s="2">
        <v>2</v>
      </c>
      <c r="J689" s="25">
        <v>0</v>
      </c>
      <c r="K689">
        <v>0</v>
      </c>
      <c r="L689">
        <v>0</v>
      </c>
      <c r="M689" s="2">
        <v>3.823</v>
      </c>
      <c r="N689" s="2">
        <v>17.215</v>
      </c>
      <c r="O689" s="2">
        <v>2.9550000000000001</v>
      </c>
      <c r="P689" s="2" t="s">
        <v>519</v>
      </c>
      <c r="Q689" s="2"/>
      <c r="R689" s="25">
        <v>0</v>
      </c>
      <c r="S689" s="25"/>
      <c r="T689" s="25"/>
      <c r="U689">
        <v>0</v>
      </c>
      <c r="X689">
        <v>0</v>
      </c>
      <c r="AA689" s="2"/>
      <c r="AB689">
        <v>8</v>
      </c>
      <c r="AC689" s="55">
        <f t="shared" si="188"/>
        <v>194.477252475</v>
      </c>
      <c r="AD689" s="57">
        <v>0</v>
      </c>
      <c r="AE689" s="55">
        <v>0</v>
      </c>
      <c r="AF689" s="55">
        <v>0</v>
      </c>
      <c r="AG689" s="52">
        <f t="shared" ref="AG689:AG779" si="195">I689*AB689/AC689</f>
        <v>8.2271832805005288E-2</v>
      </c>
      <c r="AH689" s="51"/>
      <c r="AI689" s="52"/>
      <c r="AJ689" s="52"/>
      <c r="AK689" s="28">
        <v>1.8969230769230769</v>
      </c>
      <c r="AL689" s="28">
        <v>2.4615384615384621</v>
      </c>
      <c r="AM689" s="28">
        <v>0.56307692307692314</v>
      </c>
      <c r="AN689" s="28">
        <v>0</v>
      </c>
      <c r="AO689" s="28">
        <v>0.38543294779618631</v>
      </c>
      <c r="AP689" s="28">
        <v>0.50015629884338852</v>
      </c>
      <c r="AQ689" s="28">
        <v>0.1144107533604251</v>
      </c>
      <c r="AR689" s="28">
        <v>0</v>
      </c>
      <c r="AS689" s="25">
        <v>0.79</v>
      </c>
      <c r="AT689" s="25">
        <v>3.44</v>
      </c>
      <c r="AU689" s="25">
        <v>2.65</v>
      </c>
      <c r="AV689" s="25">
        <v>2.6319230769230768</v>
      </c>
      <c r="AW689">
        <v>2.6319230769230768</v>
      </c>
      <c r="AX689">
        <v>5.8365582503752389</v>
      </c>
      <c r="AY689" s="75"/>
      <c r="AZ689" s="75"/>
      <c r="BA689" s="75"/>
      <c r="BB689">
        <v>4.1135916402502637E-2</v>
      </c>
      <c r="BF689">
        <v>8.2271832805005288E-2</v>
      </c>
      <c r="BG689">
        <v>4.1135916402502637E-2</v>
      </c>
      <c r="BH689">
        <v>0</v>
      </c>
      <c r="BS689" s="79" t="s">
        <v>464</v>
      </c>
      <c r="BT689" s="79" t="s">
        <v>464</v>
      </c>
      <c r="CA689" t="e">
        <f t="shared" si="178"/>
        <v>#NUM!</v>
      </c>
    </row>
    <row r="690" spans="1:79" x14ac:dyDescent="0.3">
      <c r="A690" s="2" t="s">
        <v>318</v>
      </c>
      <c r="B690" s="13" t="s">
        <v>832</v>
      </c>
      <c r="C690" s="13"/>
      <c r="D690" s="2">
        <v>3.45</v>
      </c>
      <c r="E690" s="2" t="s">
        <v>319</v>
      </c>
      <c r="F690" s="9">
        <v>-1</v>
      </c>
      <c r="G690">
        <v>-1</v>
      </c>
      <c r="H690" t="s">
        <v>1173</v>
      </c>
      <c r="I690" s="2">
        <v>2</v>
      </c>
      <c r="J690" s="25">
        <v>0</v>
      </c>
      <c r="K690">
        <v>0</v>
      </c>
      <c r="L690">
        <v>2</v>
      </c>
      <c r="M690" s="71">
        <v>3.71</v>
      </c>
      <c r="N690" s="71">
        <v>3.71</v>
      </c>
      <c r="O690" s="71">
        <v>12.2</v>
      </c>
      <c r="P690" s="2" t="s">
        <v>519</v>
      </c>
      <c r="Q690" s="2"/>
      <c r="R690" s="25">
        <v>0</v>
      </c>
      <c r="S690" s="25"/>
      <c r="T690" s="25"/>
      <c r="U690">
        <v>0</v>
      </c>
      <c r="X690">
        <v>3.72</v>
      </c>
      <c r="Y690">
        <v>3.72</v>
      </c>
      <c r="Z690">
        <v>12.3012</v>
      </c>
      <c r="AA690" s="2"/>
      <c r="AB690">
        <v>8</v>
      </c>
      <c r="AC690" s="55">
        <f t="shared" si="188"/>
        <v>167.92201999999997</v>
      </c>
      <c r="AD690" s="57">
        <v>0</v>
      </c>
      <c r="AE690" s="55">
        <v>0</v>
      </c>
      <c r="AF690" s="55">
        <v>170.2</v>
      </c>
      <c r="AG690" s="52">
        <f t="shared" si="195"/>
        <v>9.5282322115944076E-2</v>
      </c>
      <c r="AH690" s="51"/>
      <c r="AI690" s="52"/>
      <c r="AJ690" s="67">
        <f>L690*AB690/AF690</f>
        <v>9.400705052878966E-2</v>
      </c>
      <c r="AK690" s="28">
        <v>1.857142857142857</v>
      </c>
      <c r="AL690" s="28">
        <v>2.285714285714286</v>
      </c>
      <c r="AM690" s="28">
        <v>0.42857142857142849</v>
      </c>
      <c r="AN690" s="28">
        <v>0</v>
      </c>
      <c r="AO690" s="28">
        <v>0.40625000000000011</v>
      </c>
      <c r="AP690" s="28">
        <v>0.5</v>
      </c>
      <c r="AQ690" s="28">
        <v>9.375E-2</v>
      </c>
      <c r="AR690" s="28">
        <v>0</v>
      </c>
      <c r="AS690" s="25">
        <v>1.1000000000000001</v>
      </c>
      <c r="AT690" s="25">
        <v>3.44</v>
      </c>
      <c r="AU690" s="25">
        <v>2.34</v>
      </c>
      <c r="AV690" s="25">
        <v>2.657142857142857</v>
      </c>
      <c r="AW690">
        <v>2.657142857142857</v>
      </c>
      <c r="AX690">
        <v>6.2648417856930001</v>
      </c>
      <c r="AY690" s="75"/>
      <c r="AZ690" s="75"/>
      <c r="BA690" s="75">
        <v>0.51949166816826697</v>
      </c>
      <c r="BB690">
        <v>4.7641161057972038E-2</v>
      </c>
      <c r="BE690">
        <v>4.700352526439483E-2</v>
      </c>
      <c r="BF690">
        <v>9.4644686322366861E-2</v>
      </c>
      <c r="BG690">
        <v>4.7322343161183431E-2</v>
      </c>
      <c r="BH690">
        <v>0.51949166816826697</v>
      </c>
      <c r="BI690" s="79" t="s">
        <v>1264</v>
      </c>
      <c r="BJ690" s="79">
        <f>825+273</f>
        <v>1098</v>
      </c>
      <c r="BK690" s="79">
        <v>12</v>
      </c>
      <c r="BM690" s="79" t="s">
        <v>464</v>
      </c>
      <c r="BN690" s="79" t="s">
        <v>464</v>
      </c>
      <c r="BO690" s="79">
        <v>0</v>
      </c>
      <c r="BP690" s="79">
        <v>9.6999999999999993</v>
      </c>
      <c r="BQ690" s="79">
        <v>0.5</v>
      </c>
      <c r="BR690" s="79">
        <v>1</v>
      </c>
      <c r="BS690" s="95" t="s">
        <v>464</v>
      </c>
      <c r="BT690" s="95" t="s">
        <v>464</v>
      </c>
      <c r="BU690" s="95" t="s">
        <v>1266</v>
      </c>
      <c r="BV690" s="95">
        <v>125</v>
      </c>
      <c r="BW690" s="95">
        <v>220</v>
      </c>
      <c r="BX690" s="95" t="s">
        <v>1287</v>
      </c>
      <c r="BY690" s="95">
        <f>273+15</f>
        <v>288</v>
      </c>
      <c r="BZ690" s="81">
        <v>29.2</v>
      </c>
      <c r="CA690">
        <f t="shared" si="178"/>
        <v>3.3741687092742358</v>
      </c>
    </row>
    <row r="691" spans="1:79" x14ac:dyDescent="0.3">
      <c r="A691" s="2" t="s">
        <v>320</v>
      </c>
      <c r="B691" s="18" t="s">
        <v>994</v>
      </c>
      <c r="C691" s="13"/>
      <c r="D691" s="2">
        <v>3.58</v>
      </c>
      <c r="E691" s="2" t="s">
        <v>319</v>
      </c>
      <c r="F691" s="9">
        <v>-1</v>
      </c>
      <c r="G691">
        <v>-1</v>
      </c>
      <c r="I691" s="2">
        <v>4</v>
      </c>
      <c r="J691" s="25">
        <v>0</v>
      </c>
      <c r="K691">
        <v>0</v>
      </c>
      <c r="L691">
        <v>0</v>
      </c>
      <c r="M691" s="2">
        <v>3.77</v>
      </c>
      <c r="N691" s="2">
        <v>3.77</v>
      </c>
      <c r="O691" s="2">
        <v>33.299999999999997</v>
      </c>
      <c r="P691" s="2" t="s">
        <v>519</v>
      </c>
      <c r="Q691" s="2"/>
      <c r="R691" s="25">
        <v>0</v>
      </c>
      <c r="S691" s="25"/>
      <c r="T691" s="25"/>
      <c r="U691">
        <v>0</v>
      </c>
      <c r="X691">
        <v>0</v>
      </c>
      <c r="AA691" s="2"/>
      <c r="AB691">
        <v>8</v>
      </c>
      <c r="AC691" s="55">
        <f t="shared" si="188"/>
        <v>473.28956999999991</v>
      </c>
      <c r="AD691" s="57">
        <v>0</v>
      </c>
      <c r="AE691" s="55">
        <v>0</v>
      </c>
      <c r="AF691" s="55">
        <v>0</v>
      </c>
      <c r="AG691" s="52">
        <f t="shared" si="195"/>
        <v>6.7611885045343392E-2</v>
      </c>
      <c r="AH691" s="51"/>
      <c r="AI691" s="52"/>
      <c r="AJ691" s="52"/>
      <c r="AK691" s="28">
        <v>1.571428571428571</v>
      </c>
      <c r="AL691" s="28">
        <v>1.5</v>
      </c>
      <c r="AM691" s="28">
        <v>0.2142857142857143</v>
      </c>
      <c r="AN691" s="28">
        <v>0</v>
      </c>
      <c r="AO691" s="28">
        <v>0.47826086956521741</v>
      </c>
      <c r="AP691" s="28">
        <v>0.45652173913043481</v>
      </c>
      <c r="AQ691" s="28">
        <v>6.5217391304347824E-2</v>
      </c>
      <c r="AR691" s="28">
        <v>0</v>
      </c>
      <c r="AS691" s="25">
        <v>1.1000000000000001</v>
      </c>
      <c r="AT691" s="25">
        <v>3.44</v>
      </c>
      <c r="AU691" s="25">
        <v>2.34</v>
      </c>
      <c r="AV691" s="25">
        <v>2.5135714285714279</v>
      </c>
      <c r="AW691">
        <v>2.5135714285714279</v>
      </c>
      <c r="AX691">
        <v>6.6592671289361416</v>
      </c>
      <c r="AY691" s="75"/>
      <c r="AZ691" s="75"/>
      <c r="BA691" s="75"/>
      <c r="BB691">
        <v>3.3805942522671703E-2</v>
      </c>
      <c r="BF691">
        <v>6.7611885045343392E-2</v>
      </c>
      <c r="BG691">
        <v>3.3805942522671703E-2</v>
      </c>
      <c r="BH691">
        <v>0</v>
      </c>
      <c r="BI691" s="79" t="s">
        <v>1264</v>
      </c>
      <c r="BJ691" s="79">
        <f t="shared" ref="BJ691:BJ741" si="196">825+273</f>
        <v>1098</v>
      </c>
      <c r="BK691" s="79">
        <v>12</v>
      </c>
      <c r="BM691" s="79" t="s">
        <v>464</v>
      </c>
      <c r="BN691" s="79" t="s">
        <v>464</v>
      </c>
      <c r="BO691" s="79">
        <v>0</v>
      </c>
      <c r="BP691" s="79">
        <v>4</v>
      </c>
      <c r="BQ691" s="79">
        <v>0.5</v>
      </c>
      <c r="BR691" s="79">
        <v>1</v>
      </c>
      <c r="BS691" s="95" t="s">
        <v>464</v>
      </c>
      <c r="BT691" s="95" t="s">
        <v>464</v>
      </c>
      <c r="BU691" s="95" t="s">
        <v>1266</v>
      </c>
      <c r="BV691" s="95">
        <v>125</v>
      </c>
      <c r="BW691" s="95">
        <v>220</v>
      </c>
      <c r="BX691" s="95" t="s">
        <v>1287</v>
      </c>
      <c r="BY691" s="95">
        <f t="shared" ref="BY691:BY754" si="197">273+15</f>
        <v>288</v>
      </c>
      <c r="BZ691" s="81">
        <v>920</v>
      </c>
      <c r="CA691">
        <f t="shared" si="178"/>
        <v>6.8243736700430864</v>
      </c>
    </row>
    <row r="692" spans="1:79" x14ac:dyDescent="0.3">
      <c r="A692" s="2" t="s">
        <v>321</v>
      </c>
      <c r="B692" s="18" t="s">
        <v>995</v>
      </c>
      <c r="C692" s="13"/>
      <c r="D692" s="2">
        <v>3.48</v>
      </c>
      <c r="E692" s="2" t="s">
        <v>319</v>
      </c>
      <c r="F692" s="9">
        <v>-1</v>
      </c>
      <c r="G692">
        <v>-1</v>
      </c>
      <c r="I692" s="2">
        <v>4</v>
      </c>
      <c r="J692" s="25">
        <v>0</v>
      </c>
      <c r="K692">
        <v>0</v>
      </c>
      <c r="L692">
        <v>0</v>
      </c>
      <c r="M692" s="2">
        <v>3.75</v>
      </c>
      <c r="N692" s="2">
        <v>3.75</v>
      </c>
      <c r="O692" s="2">
        <v>37.299999999999997</v>
      </c>
      <c r="P692" s="2" t="s">
        <v>519</v>
      </c>
      <c r="Q692" s="2"/>
      <c r="R692" s="25">
        <v>0</v>
      </c>
      <c r="S692" s="25"/>
      <c r="T692" s="25"/>
      <c r="U692">
        <v>0</v>
      </c>
      <c r="X692">
        <v>0</v>
      </c>
      <c r="AA692" s="2"/>
      <c r="AB692">
        <v>8</v>
      </c>
      <c r="AC692" s="55">
        <f t="shared" si="188"/>
        <v>524.53125</v>
      </c>
      <c r="AD692" s="57">
        <v>0</v>
      </c>
      <c r="AE692" s="55">
        <v>0</v>
      </c>
      <c r="AF692" s="55">
        <v>0</v>
      </c>
      <c r="AG692" s="52">
        <f t="shared" si="195"/>
        <v>6.1006851355376826E-2</v>
      </c>
      <c r="AH692" s="51"/>
      <c r="AI692" s="52"/>
      <c r="AJ692" s="52"/>
      <c r="AK692" s="28">
        <v>1.529411764705882</v>
      </c>
      <c r="AL692" s="28">
        <v>1.3529411764705881</v>
      </c>
      <c r="AM692" s="28">
        <v>0.1764705882352941</v>
      </c>
      <c r="AN692" s="28">
        <v>0</v>
      </c>
      <c r="AO692" s="28">
        <v>0.5</v>
      </c>
      <c r="AP692" s="28">
        <v>0.44230769230769229</v>
      </c>
      <c r="AQ692" s="28">
        <v>5.7692307692307702E-2</v>
      </c>
      <c r="AR692" s="28">
        <v>0</v>
      </c>
      <c r="AS692" s="25">
        <v>1.1000000000000001</v>
      </c>
      <c r="AT692" s="25">
        <v>3.44</v>
      </c>
      <c r="AU692" s="25">
        <v>2.34</v>
      </c>
      <c r="AV692" s="25">
        <v>2.4788235294117649</v>
      </c>
      <c r="AW692">
        <v>2.4788235294117649</v>
      </c>
      <c r="AX692">
        <v>6.6967043065181171</v>
      </c>
      <c r="AY692" s="75"/>
      <c r="AZ692" s="75"/>
      <c r="BA692" s="75"/>
      <c r="BB692">
        <v>3.050342567768841E-2</v>
      </c>
      <c r="BF692">
        <v>6.1006851355376833E-2</v>
      </c>
      <c r="BG692">
        <v>3.050342567768841E-2</v>
      </c>
      <c r="BH692">
        <v>0</v>
      </c>
      <c r="BI692" s="79" t="s">
        <v>1264</v>
      </c>
      <c r="BJ692" s="79">
        <f t="shared" si="196"/>
        <v>1098</v>
      </c>
      <c r="BK692" s="79">
        <v>12</v>
      </c>
      <c r="BM692" s="79" t="s">
        <v>464</v>
      </c>
      <c r="BN692" s="79" t="s">
        <v>464</v>
      </c>
      <c r="BO692" s="79">
        <v>0</v>
      </c>
      <c r="BQ692" s="79">
        <v>0.5</v>
      </c>
      <c r="BR692" s="79">
        <v>1</v>
      </c>
      <c r="BS692" s="95" t="s">
        <v>464</v>
      </c>
      <c r="BT692" s="95" t="s">
        <v>464</v>
      </c>
      <c r="BU692" s="95" t="s">
        <v>1266</v>
      </c>
      <c r="BV692" s="95">
        <v>125</v>
      </c>
      <c r="BW692" s="95">
        <v>220</v>
      </c>
      <c r="BX692" s="95" t="s">
        <v>1287</v>
      </c>
      <c r="BY692" s="95">
        <f t="shared" si="197"/>
        <v>288</v>
      </c>
      <c r="BZ692" s="81">
        <v>327.99999999999994</v>
      </c>
      <c r="CA692">
        <f t="shared" si="178"/>
        <v>5.7930136083841433</v>
      </c>
    </row>
    <row r="693" spans="1:79" x14ac:dyDescent="0.3">
      <c r="A693" s="2" t="s">
        <v>322</v>
      </c>
      <c r="B693" s="18" t="s">
        <v>996</v>
      </c>
      <c r="C693" s="13"/>
      <c r="D693" s="2">
        <v>3.5</v>
      </c>
      <c r="E693" s="2" t="s">
        <v>319</v>
      </c>
      <c r="F693" s="9">
        <v>-1</v>
      </c>
      <c r="G693">
        <v>-1</v>
      </c>
      <c r="I693" s="2">
        <v>4</v>
      </c>
      <c r="J693" s="25">
        <v>0</v>
      </c>
      <c r="K693">
        <v>0</v>
      </c>
      <c r="L693">
        <v>0</v>
      </c>
      <c r="M693" s="2">
        <v>3.76</v>
      </c>
      <c r="N693" s="2">
        <v>3.76</v>
      </c>
      <c r="O693" s="2">
        <v>41.2</v>
      </c>
      <c r="P693" s="2" t="s">
        <v>519</v>
      </c>
      <c r="Q693" s="2"/>
      <c r="R693" s="25">
        <v>0</v>
      </c>
      <c r="S693" s="25"/>
      <c r="T693" s="25"/>
      <c r="U693">
        <v>0</v>
      </c>
      <c r="X693">
        <v>0</v>
      </c>
      <c r="AA693" s="2"/>
      <c r="AB693">
        <v>8</v>
      </c>
      <c r="AC693" s="55">
        <f t="shared" si="188"/>
        <v>582.46911999999998</v>
      </c>
      <c r="AD693" s="57">
        <v>0</v>
      </c>
      <c r="AE693" s="55">
        <v>0</v>
      </c>
      <c r="AF693" s="55">
        <v>0</v>
      </c>
      <c r="AG693" s="52">
        <f t="shared" si="195"/>
        <v>5.4938534767302344E-2</v>
      </c>
      <c r="AH693" s="51"/>
      <c r="AI693" s="52"/>
      <c r="AJ693" s="52"/>
      <c r="AK693" s="28">
        <v>1.5</v>
      </c>
      <c r="AL693" s="28">
        <v>1.25</v>
      </c>
      <c r="AM693" s="28">
        <v>0.15</v>
      </c>
      <c r="AN693" s="28">
        <v>0</v>
      </c>
      <c r="AO693" s="28">
        <v>0.51724137931034486</v>
      </c>
      <c r="AP693" s="28">
        <v>0.43103448275862072</v>
      </c>
      <c r="AQ693" s="28">
        <v>5.1724137931034482E-2</v>
      </c>
      <c r="AR693" s="28">
        <v>0</v>
      </c>
      <c r="AS693" s="25">
        <v>1.1000000000000001</v>
      </c>
      <c r="AT693" s="25">
        <v>3.44</v>
      </c>
      <c r="AU693" s="25">
        <v>2.34</v>
      </c>
      <c r="AV693" s="25">
        <v>2.4544999999999999</v>
      </c>
      <c r="AW693">
        <v>2.4544999999999999</v>
      </c>
      <c r="AX693">
        <v>6.7229103308255</v>
      </c>
      <c r="AY693" s="75"/>
      <c r="AZ693" s="75"/>
      <c r="BA693" s="75"/>
      <c r="BB693">
        <v>2.7469267383651168E-2</v>
      </c>
      <c r="BF693">
        <v>5.4938534767302337E-2</v>
      </c>
      <c r="BG693">
        <v>2.7469267383651168E-2</v>
      </c>
      <c r="BH693">
        <v>0</v>
      </c>
      <c r="BI693" s="79" t="s">
        <v>1264</v>
      </c>
      <c r="BJ693" s="79">
        <f t="shared" si="196"/>
        <v>1098</v>
      </c>
      <c r="BK693" s="79">
        <v>12</v>
      </c>
      <c r="BM693" s="79" t="s">
        <v>464</v>
      </c>
      <c r="BN693" s="79" t="s">
        <v>464</v>
      </c>
      <c r="BO693" s="79">
        <v>0</v>
      </c>
      <c r="BQ693" s="79">
        <v>0.5</v>
      </c>
      <c r="BR693" s="79">
        <v>1</v>
      </c>
      <c r="BS693" s="95" t="s">
        <v>464</v>
      </c>
      <c r="BT693" s="95" t="s">
        <v>464</v>
      </c>
      <c r="BU693" s="95" t="s">
        <v>1266</v>
      </c>
      <c r="BV693" s="95">
        <v>125</v>
      </c>
      <c r="BW693" s="95">
        <v>220</v>
      </c>
      <c r="BX693" s="95" t="s">
        <v>1287</v>
      </c>
      <c r="BY693" s="95">
        <f t="shared" si="197"/>
        <v>288</v>
      </c>
      <c r="BZ693" s="81">
        <v>296</v>
      </c>
      <c r="CA693">
        <f t="shared" si="178"/>
        <v>5.6903594543240601</v>
      </c>
    </row>
    <row r="694" spans="1:79" x14ac:dyDescent="0.3">
      <c r="A694" s="2" t="s">
        <v>323</v>
      </c>
      <c r="B694" s="18" t="s">
        <v>997</v>
      </c>
      <c r="C694" s="13"/>
      <c r="D694" s="2">
        <v>3.61</v>
      </c>
      <c r="E694" s="2" t="s">
        <v>319</v>
      </c>
      <c r="F694" s="9">
        <v>-1</v>
      </c>
      <c r="G694">
        <v>-1</v>
      </c>
      <c r="I694" s="2">
        <v>4</v>
      </c>
      <c r="J694" s="25">
        <v>0</v>
      </c>
      <c r="K694">
        <v>0</v>
      </c>
      <c r="L694">
        <v>0</v>
      </c>
      <c r="M694" s="2">
        <v>3.76</v>
      </c>
      <c r="N694" s="2">
        <v>3.76</v>
      </c>
      <c r="O694" s="2">
        <v>47.8</v>
      </c>
      <c r="P694" s="2" t="s">
        <v>519</v>
      </c>
      <c r="Q694" s="2"/>
      <c r="R694" s="25">
        <v>0</v>
      </c>
      <c r="S694" s="25"/>
      <c r="T694" s="25"/>
      <c r="U694">
        <v>0</v>
      </c>
      <c r="X694">
        <v>0</v>
      </c>
      <c r="AA694" s="2"/>
      <c r="AB694">
        <v>8</v>
      </c>
      <c r="AC694" s="55">
        <f t="shared" si="188"/>
        <v>675.77727999999991</v>
      </c>
      <c r="AD694" s="57">
        <v>0</v>
      </c>
      <c r="AE694" s="55">
        <v>0</v>
      </c>
      <c r="AF694" s="55">
        <v>0</v>
      </c>
      <c r="AG694" s="52">
        <f t="shared" si="195"/>
        <v>4.7352879339181107E-2</v>
      </c>
      <c r="AH694" s="51"/>
      <c r="AI694" s="52"/>
      <c r="AJ694" s="52"/>
      <c r="AK694" s="28">
        <v>1.4782608695652171</v>
      </c>
      <c r="AL694" s="28">
        <v>1.173913043478261</v>
      </c>
      <c r="AM694" s="28">
        <v>0.13043478260869559</v>
      </c>
      <c r="AN694" s="28">
        <v>0</v>
      </c>
      <c r="AO694" s="28">
        <v>0.53125</v>
      </c>
      <c r="AP694" s="28">
        <v>0.42187500000000011</v>
      </c>
      <c r="AQ694" s="28">
        <v>4.6875E-2</v>
      </c>
      <c r="AR694" s="28">
        <v>0</v>
      </c>
      <c r="AS694" s="25">
        <v>1.1000000000000001</v>
      </c>
      <c r="AT694" s="25">
        <v>3.44</v>
      </c>
      <c r="AU694" s="25">
        <v>2.34</v>
      </c>
      <c r="AV694" s="25">
        <v>2.436521739130435</v>
      </c>
      <c r="AW694">
        <v>2.436521739130435</v>
      </c>
      <c r="AX694">
        <v>6.7422800009657378</v>
      </c>
      <c r="AY694" s="75"/>
      <c r="AZ694" s="75"/>
      <c r="BA694" s="75"/>
      <c r="BB694">
        <v>2.367643966959055E-2</v>
      </c>
      <c r="BF694">
        <v>4.7352879339181107E-2</v>
      </c>
      <c r="BG694">
        <v>2.367643966959055E-2</v>
      </c>
      <c r="BH694">
        <v>0</v>
      </c>
      <c r="BI694" s="79" t="s">
        <v>1264</v>
      </c>
      <c r="BJ694" s="79">
        <f t="shared" si="196"/>
        <v>1098</v>
      </c>
      <c r="BK694" s="79">
        <v>12</v>
      </c>
      <c r="BM694" s="79" t="s">
        <v>464</v>
      </c>
      <c r="BN694" s="79" t="s">
        <v>464</v>
      </c>
      <c r="BO694" s="79">
        <v>0</v>
      </c>
      <c r="BP694" s="79">
        <v>2.6</v>
      </c>
      <c r="BQ694" s="79">
        <v>0.5</v>
      </c>
      <c r="BR694" s="79">
        <v>1</v>
      </c>
      <c r="BS694" s="95" t="s">
        <v>464</v>
      </c>
      <c r="BT694" s="95" t="s">
        <v>464</v>
      </c>
      <c r="BU694" s="95" t="s">
        <v>1266</v>
      </c>
      <c r="BV694" s="95">
        <v>125</v>
      </c>
      <c r="BW694" s="95">
        <v>220</v>
      </c>
      <c r="BX694" s="95" t="s">
        <v>1287</v>
      </c>
      <c r="BY694" s="95">
        <f t="shared" si="197"/>
        <v>288</v>
      </c>
      <c r="BZ694" s="81">
        <v>520</v>
      </c>
      <c r="CA694">
        <f t="shared" si="178"/>
        <v>6.253828811575473</v>
      </c>
    </row>
    <row r="695" spans="1:79" x14ac:dyDescent="0.3">
      <c r="A695" s="2" t="s">
        <v>324</v>
      </c>
      <c r="B695" s="18" t="s">
        <v>999</v>
      </c>
      <c r="C695" s="13"/>
      <c r="D695" s="2">
        <v>3.47</v>
      </c>
      <c r="E695" s="2" t="s">
        <v>319</v>
      </c>
      <c r="F695" s="9">
        <v>-1</v>
      </c>
      <c r="G695">
        <v>-1</v>
      </c>
      <c r="I695" s="2">
        <v>4</v>
      </c>
      <c r="J695" s="25">
        <v>0</v>
      </c>
      <c r="K695">
        <v>0</v>
      </c>
      <c r="L695">
        <v>0</v>
      </c>
      <c r="M695" s="2">
        <v>3.76</v>
      </c>
      <c r="N695" s="2">
        <v>3.76</v>
      </c>
      <c r="O695" s="2">
        <v>54.9</v>
      </c>
      <c r="P695" s="2" t="s">
        <v>519</v>
      </c>
      <c r="Q695" s="2"/>
      <c r="R695" s="25">
        <v>0</v>
      </c>
      <c r="S695" s="25"/>
      <c r="T695" s="25"/>
      <c r="U695">
        <v>0</v>
      </c>
      <c r="X695">
        <v>0</v>
      </c>
      <c r="AA695" s="2"/>
      <c r="AB695">
        <v>8</v>
      </c>
      <c r="AC695" s="55">
        <f t="shared" si="188"/>
        <v>776.15423999999996</v>
      </c>
      <c r="AD695" s="57">
        <v>0</v>
      </c>
      <c r="AE695" s="55">
        <v>0</v>
      </c>
      <c r="AF695" s="55">
        <v>0</v>
      </c>
      <c r="AG695" s="52">
        <f t="shared" si="195"/>
        <v>4.1228918623185E-2</v>
      </c>
      <c r="AH695" s="51"/>
      <c r="AI695" s="52"/>
      <c r="AJ695" s="52"/>
      <c r="AK695" s="28">
        <v>1.448275862068966</v>
      </c>
      <c r="AL695" s="28">
        <v>1.068965517241379</v>
      </c>
      <c r="AM695" s="28">
        <v>0.10344827586206901</v>
      </c>
      <c r="AN695" s="28">
        <v>0</v>
      </c>
      <c r="AO695" s="28">
        <v>0.55263157894736847</v>
      </c>
      <c r="AP695" s="28">
        <v>0.40789473684210531</v>
      </c>
      <c r="AQ695" s="28">
        <v>3.9473684210526307E-2</v>
      </c>
      <c r="AR695" s="28">
        <v>0</v>
      </c>
      <c r="AS695" s="25">
        <v>1.1000000000000001</v>
      </c>
      <c r="AT695" s="25">
        <v>3.44</v>
      </c>
      <c r="AU695" s="25">
        <v>2.34</v>
      </c>
      <c r="AV695" s="25">
        <v>2.411724137931035</v>
      </c>
      <c r="AW695">
        <v>2.4117241379310341</v>
      </c>
      <c r="AX695">
        <v>6.7689967873660688</v>
      </c>
      <c r="AY695" s="75"/>
      <c r="AZ695" s="75"/>
      <c r="BA695" s="75"/>
      <c r="BB695">
        <v>2.06144593115925E-2</v>
      </c>
      <c r="BF695">
        <v>4.1228918623185E-2</v>
      </c>
      <c r="BG695">
        <v>2.06144593115925E-2</v>
      </c>
      <c r="BH695">
        <v>0</v>
      </c>
      <c r="BI695" s="79" t="s">
        <v>1264</v>
      </c>
      <c r="BJ695" s="79">
        <f t="shared" si="196"/>
        <v>1098</v>
      </c>
      <c r="BK695" s="79">
        <v>12</v>
      </c>
      <c r="BM695" s="79" t="s">
        <v>464</v>
      </c>
      <c r="BN695" s="79" t="s">
        <v>464</v>
      </c>
      <c r="BO695" s="79">
        <v>0</v>
      </c>
      <c r="BQ695" s="79">
        <v>0.5</v>
      </c>
      <c r="BR695" s="79">
        <v>1</v>
      </c>
      <c r="BS695" s="95" t="s">
        <v>464</v>
      </c>
      <c r="BT695" s="95" t="s">
        <v>464</v>
      </c>
      <c r="BU695" s="95" t="s">
        <v>1266</v>
      </c>
      <c r="BV695" s="95">
        <v>125</v>
      </c>
      <c r="BW695" s="95">
        <v>220</v>
      </c>
      <c r="BX695" s="95" t="s">
        <v>1287</v>
      </c>
      <c r="BY695" s="95">
        <f t="shared" si="197"/>
        <v>288</v>
      </c>
      <c r="BZ695" s="81">
        <v>600</v>
      </c>
      <c r="CA695">
        <f t="shared" si="178"/>
        <v>6.3969296552161463</v>
      </c>
    </row>
    <row r="696" spans="1:79" x14ac:dyDescent="0.3">
      <c r="A696" s="2" t="s">
        <v>325</v>
      </c>
      <c r="B696" s="18" t="s">
        <v>998</v>
      </c>
      <c r="C696" s="13"/>
      <c r="D696" s="2">
        <v>3.49</v>
      </c>
      <c r="E696" s="2" t="s">
        <v>319</v>
      </c>
      <c r="F696" s="9">
        <v>-1</v>
      </c>
      <c r="G696">
        <v>-1</v>
      </c>
      <c r="I696" s="2">
        <v>4</v>
      </c>
      <c r="J696" s="25">
        <v>0</v>
      </c>
      <c r="K696">
        <v>0</v>
      </c>
      <c r="L696">
        <v>0</v>
      </c>
      <c r="M696" s="2">
        <v>3.78</v>
      </c>
      <c r="N696" s="2">
        <v>3.78</v>
      </c>
      <c r="O696" s="2">
        <v>66.3</v>
      </c>
      <c r="P696" s="2" t="s">
        <v>519</v>
      </c>
      <c r="Q696" s="2"/>
      <c r="R696" s="25">
        <v>0</v>
      </c>
      <c r="S696" s="25"/>
      <c r="T696" s="25"/>
      <c r="U696">
        <v>0</v>
      </c>
      <c r="X696">
        <v>0</v>
      </c>
      <c r="AA696" s="2"/>
      <c r="AB696">
        <v>8</v>
      </c>
      <c r="AC696" s="55">
        <f t="shared" si="188"/>
        <v>947.32091999999989</v>
      </c>
      <c r="AD696" s="57">
        <v>0</v>
      </c>
      <c r="AE696" s="55">
        <v>0</v>
      </c>
      <c r="AF696" s="55">
        <v>0</v>
      </c>
      <c r="AG696" s="52">
        <f t="shared" si="195"/>
        <v>3.3779471480477816E-2</v>
      </c>
      <c r="AH696" s="51"/>
      <c r="AI696" s="52"/>
      <c r="AJ696" s="52"/>
      <c r="AK696" s="28">
        <v>1.428571428571429</v>
      </c>
      <c r="AL696" s="28">
        <v>1</v>
      </c>
      <c r="AM696" s="28">
        <v>8.5714285714285715E-2</v>
      </c>
      <c r="AN696" s="28">
        <v>0</v>
      </c>
      <c r="AO696" s="28">
        <v>0.56818181818181823</v>
      </c>
      <c r="AP696" s="28">
        <v>0.39772727272727282</v>
      </c>
      <c r="AQ696" s="28">
        <v>3.4090909090909102E-2</v>
      </c>
      <c r="AR696" s="28">
        <v>0</v>
      </c>
      <c r="AS696" s="25">
        <v>1.1000000000000001</v>
      </c>
      <c r="AT696" s="25">
        <v>3.44</v>
      </c>
      <c r="AU696" s="25">
        <v>2.34</v>
      </c>
      <c r="AV696" s="25">
        <v>2.3954285714285719</v>
      </c>
      <c r="AW696">
        <v>2.395428571428571</v>
      </c>
      <c r="AX696">
        <v>6.7865535327148558</v>
      </c>
      <c r="AY696" s="75"/>
      <c r="AZ696" s="75"/>
      <c r="BA696" s="75"/>
      <c r="BB696">
        <v>1.6889735740238911E-2</v>
      </c>
      <c r="BF696">
        <v>3.3779471480477823E-2</v>
      </c>
      <c r="BG696">
        <v>1.6889735740238911E-2</v>
      </c>
      <c r="BH696">
        <v>0</v>
      </c>
      <c r="BI696" s="79" t="s">
        <v>1264</v>
      </c>
      <c r="BJ696" s="79">
        <f t="shared" si="196"/>
        <v>1098</v>
      </c>
      <c r="BK696" s="79">
        <v>12</v>
      </c>
      <c r="BM696" s="79" t="s">
        <v>464</v>
      </c>
      <c r="BN696" s="79" t="s">
        <v>464</v>
      </c>
      <c r="BO696" s="79">
        <v>0</v>
      </c>
      <c r="BP696" s="79">
        <v>15</v>
      </c>
      <c r="BQ696" s="79">
        <v>0.5</v>
      </c>
      <c r="BR696" s="79">
        <v>1</v>
      </c>
      <c r="BS696" s="95" t="s">
        <v>464</v>
      </c>
      <c r="BT696" s="95" t="s">
        <v>464</v>
      </c>
      <c r="BU696" s="95" t="s">
        <v>1266</v>
      </c>
      <c r="BV696" s="95">
        <v>125</v>
      </c>
      <c r="BW696" s="95">
        <v>220</v>
      </c>
      <c r="BX696" s="95" t="s">
        <v>1287</v>
      </c>
      <c r="BY696" s="95">
        <f t="shared" si="197"/>
        <v>288</v>
      </c>
      <c r="BZ696" s="81">
        <v>720</v>
      </c>
      <c r="CA696">
        <f t="shared" si="178"/>
        <v>6.5792512120101012</v>
      </c>
    </row>
    <row r="697" spans="1:79" x14ac:dyDescent="0.3">
      <c r="A697" s="2" t="s">
        <v>326</v>
      </c>
      <c r="B697" s="18" t="s">
        <v>1005</v>
      </c>
      <c r="C697" s="13"/>
      <c r="D697" s="2">
        <v>3.47</v>
      </c>
      <c r="E697" s="2" t="s">
        <v>319</v>
      </c>
      <c r="F697" s="9">
        <v>-1</v>
      </c>
      <c r="G697">
        <v>-1</v>
      </c>
      <c r="I697" s="2">
        <v>4</v>
      </c>
      <c r="J697" s="25">
        <v>0</v>
      </c>
      <c r="K697">
        <v>0</v>
      </c>
      <c r="L697">
        <v>0</v>
      </c>
      <c r="M697" s="2">
        <v>3.72</v>
      </c>
      <c r="N697" s="2">
        <v>3.72</v>
      </c>
      <c r="O697" s="2">
        <v>32.299999999999997</v>
      </c>
      <c r="P697" s="2" t="s">
        <v>519</v>
      </c>
      <c r="Q697" s="2"/>
      <c r="R697" s="25">
        <v>0</v>
      </c>
      <c r="S697" s="25"/>
      <c r="T697" s="25"/>
      <c r="U697">
        <v>0</v>
      </c>
      <c r="X697">
        <v>0</v>
      </c>
      <c r="AA697" s="2"/>
      <c r="AB697">
        <v>10</v>
      </c>
      <c r="AC697" s="55">
        <f t="shared" si="188"/>
        <v>446.98032000000001</v>
      </c>
      <c r="AD697" s="57">
        <v>0</v>
      </c>
      <c r="AE697" s="55">
        <v>0</v>
      </c>
      <c r="AF697" s="55">
        <v>0</v>
      </c>
      <c r="AG697" s="52">
        <f t="shared" si="195"/>
        <v>8.9489398548911497E-2</v>
      </c>
      <c r="AH697" s="51"/>
      <c r="AI697" s="52"/>
      <c r="AJ697" s="52"/>
      <c r="AK697" s="28">
        <v>1.615384615384615</v>
      </c>
      <c r="AL697" s="28">
        <v>1.6923076923076921</v>
      </c>
      <c r="AM697" s="28">
        <v>0.23076923076923081</v>
      </c>
      <c r="AN697" s="28">
        <v>0</v>
      </c>
      <c r="AO697" s="28">
        <v>0.45652173913043481</v>
      </c>
      <c r="AP697" s="28">
        <v>0.47826086956521741</v>
      </c>
      <c r="AQ697" s="28">
        <v>6.5217391304347838E-2</v>
      </c>
      <c r="AR697" s="28">
        <v>0</v>
      </c>
      <c r="AS697" s="25">
        <v>1.1000000000000001</v>
      </c>
      <c r="AT697" s="25">
        <v>3.44</v>
      </c>
      <c r="AU697" s="25">
        <v>2.34</v>
      </c>
      <c r="AV697" s="25">
        <v>2.568461538461539</v>
      </c>
      <c r="AW697">
        <v>2.568461538461539</v>
      </c>
      <c r="AX697">
        <v>6.6431337427119228</v>
      </c>
      <c r="AY697" s="75"/>
      <c r="AZ697" s="75"/>
      <c r="BA697" s="75"/>
      <c r="BB697">
        <v>4.4744699274455749E-2</v>
      </c>
      <c r="BF697">
        <v>8.9489398548911497E-2</v>
      </c>
      <c r="BG697">
        <v>4.4744699274455749E-2</v>
      </c>
      <c r="BH697">
        <v>0</v>
      </c>
      <c r="BI697" s="79" t="s">
        <v>1264</v>
      </c>
      <c r="BJ697" s="79">
        <f t="shared" si="196"/>
        <v>1098</v>
      </c>
      <c r="BK697" s="79">
        <v>12</v>
      </c>
      <c r="BM697" s="79" t="s">
        <v>464</v>
      </c>
      <c r="BN697" s="79" t="s">
        <v>464</v>
      </c>
      <c r="BO697" s="79">
        <v>0</v>
      </c>
      <c r="BP697" s="79">
        <v>17</v>
      </c>
      <c r="BQ697" s="79">
        <v>0.5</v>
      </c>
      <c r="BR697" s="79">
        <v>1</v>
      </c>
      <c r="BS697" s="95" t="s">
        <v>464</v>
      </c>
      <c r="BT697" s="95" t="s">
        <v>464</v>
      </c>
      <c r="BU697" s="95" t="s">
        <v>1266</v>
      </c>
      <c r="BV697" s="95">
        <v>125</v>
      </c>
      <c r="BW697" s="95">
        <v>220</v>
      </c>
      <c r="BX697" s="95" t="s">
        <v>1287</v>
      </c>
      <c r="BY697" s="95">
        <f t="shared" si="197"/>
        <v>288</v>
      </c>
      <c r="BZ697" s="81">
        <v>2000</v>
      </c>
      <c r="CA697">
        <f t="shared" si="178"/>
        <v>7.6009024595420822</v>
      </c>
    </row>
    <row r="698" spans="1:79" x14ac:dyDescent="0.3">
      <c r="A698" s="2" t="s">
        <v>327</v>
      </c>
      <c r="B698" s="18" t="s">
        <v>1004</v>
      </c>
      <c r="C698" s="13"/>
      <c r="D698" s="2">
        <v>3.47</v>
      </c>
      <c r="E698" s="2" t="s">
        <v>319</v>
      </c>
      <c r="F698" s="9">
        <v>-1</v>
      </c>
      <c r="G698">
        <v>-1</v>
      </c>
      <c r="I698" s="2">
        <v>4</v>
      </c>
      <c r="J698" s="25">
        <v>0</v>
      </c>
      <c r="K698">
        <v>0</v>
      </c>
      <c r="L698">
        <v>0</v>
      </c>
      <c r="M698" s="2">
        <v>3.72</v>
      </c>
      <c r="N698" s="2">
        <v>3.72</v>
      </c>
      <c r="O698" s="2">
        <v>36.6</v>
      </c>
      <c r="P698" s="2" t="s">
        <v>519</v>
      </c>
      <c r="Q698" s="2"/>
      <c r="R698" s="25">
        <v>0</v>
      </c>
      <c r="U698">
        <v>0</v>
      </c>
      <c r="X698">
        <v>0</v>
      </c>
      <c r="AA698" s="2"/>
      <c r="AB698">
        <v>10</v>
      </c>
      <c r="AC698" s="55">
        <f t="shared" si="188"/>
        <v>506.4854400000001</v>
      </c>
      <c r="AD698" s="57">
        <v>0</v>
      </c>
      <c r="AE698" s="55">
        <v>0</v>
      </c>
      <c r="AF698" s="55">
        <v>0</v>
      </c>
      <c r="AG698" s="52">
        <f t="shared" si="195"/>
        <v>7.8975616752181454E-2</v>
      </c>
      <c r="AH698" s="52"/>
      <c r="AI698" s="52"/>
      <c r="AJ698" s="52"/>
      <c r="AK698" s="28">
        <v>1.5625</v>
      </c>
      <c r="AL698" s="28">
        <v>1.5</v>
      </c>
      <c r="AM698" s="28">
        <v>0.1875</v>
      </c>
      <c r="AN698" s="28">
        <v>0</v>
      </c>
      <c r="AO698" s="28">
        <v>0.48076923076923078</v>
      </c>
      <c r="AP698" s="28">
        <v>0.46153846153846162</v>
      </c>
      <c r="AQ698" s="28">
        <v>5.7692307692307702E-2</v>
      </c>
      <c r="AR698" s="28">
        <v>0</v>
      </c>
      <c r="AS698" s="25">
        <v>1.1000000000000001</v>
      </c>
      <c r="AT698" s="25">
        <v>3.44</v>
      </c>
      <c r="AU698" s="25">
        <v>2.34</v>
      </c>
      <c r="AV698" s="25">
        <v>2.5212500000000002</v>
      </c>
      <c r="AW698">
        <v>2.5212500000000002</v>
      </c>
      <c r="AX698">
        <v>6.6859357538098134</v>
      </c>
      <c r="AY698" s="75"/>
      <c r="AZ698" s="75"/>
      <c r="BA698" s="75"/>
      <c r="BB698">
        <v>3.9487808376090727E-2</v>
      </c>
      <c r="BF698">
        <v>7.8975616752181454E-2</v>
      </c>
      <c r="BG698">
        <v>3.9487808376090727E-2</v>
      </c>
      <c r="BH698">
        <v>0</v>
      </c>
      <c r="BI698" s="79" t="s">
        <v>1264</v>
      </c>
      <c r="BJ698" s="79">
        <f t="shared" si="196"/>
        <v>1098</v>
      </c>
      <c r="BK698" s="79">
        <v>12</v>
      </c>
      <c r="BM698" s="79" t="s">
        <v>464</v>
      </c>
      <c r="BN698" s="79" t="s">
        <v>464</v>
      </c>
      <c r="BO698" s="79">
        <v>0</v>
      </c>
      <c r="BQ698" s="79">
        <v>0.5</v>
      </c>
      <c r="BR698" s="79">
        <v>1</v>
      </c>
      <c r="BS698" s="95" t="s">
        <v>464</v>
      </c>
      <c r="BT698" s="95" t="s">
        <v>464</v>
      </c>
      <c r="BU698" s="95" t="s">
        <v>1266</v>
      </c>
      <c r="BV698" s="95">
        <v>125</v>
      </c>
      <c r="BW698" s="95">
        <v>220</v>
      </c>
      <c r="BX698" s="95" t="s">
        <v>1287</v>
      </c>
      <c r="BY698" s="95">
        <f t="shared" si="197"/>
        <v>288</v>
      </c>
      <c r="BZ698" s="81">
        <v>520</v>
      </c>
      <c r="CA698">
        <f t="shared" si="178"/>
        <v>6.253828811575473</v>
      </c>
    </row>
    <row r="699" spans="1:79" x14ac:dyDescent="0.3">
      <c r="A699" s="2" t="s">
        <v>328</v>
      </c>
      <c r="B699" s="18" t="s">
        <v>1003</v>
      </c>
      <c r="C699" s="13"/>
      <c r="D699" s="2">
        <v>3.45</v>
      </c>
      <c r="E699" s="2" t="s">
        <v>319</v>
      </c>
      <c r="F699" s="9">
        <v>-1</v>
      </c>
      <c r="G699">
        <v>-1</v>
      </c>
      <c r="I699" s="2">
        <v>4</v>
      </c>
      <c r="J699" s="25">
        <v>0</v>
      </c>
      <c r="K699">
        <v>0</v>
      </c>
      <c r="L699">
        <v>0</v>
      </c>
      <c r="M699" s="2">
        <v>3.73</v>
      </c>
      <c r="N699" s="2">
        <v>3.73</v>
      </c>
      <c r="O699" s="2">
        <v>41.6</v>
      </c>
      <c r="P699" s="2" t="s">
        <v>519</v>
      </c>
      <c r="Q699" s="2"/>
      <c r="R699" s="25">
        <v>0</v>
      </c>
      <c r="U699">
        <v>0</v>
      </c>
      <c r="X699">
        <v>0</v>
      </c>
      <c r="AA699" s="2"/>
      <c r="AB699">
        <v>10</v>
      </c>
      <c r="AC699" s="55">
        <f t="shared" si="188"/>
        <v>578.77664000000004</v>
      </c>
      <c r="AD699" s="57">
        <v>0</v>
      </c>
      <c r="AE699" s="55">
        <v>0</v>
      </c>
      <c r="AF699" s="55">
        <v>0</v>
      </c>
      <c r="AG699" s="52">
        <f t="shared" si="195"/>
        <v>6.9111289633251263E-2</v>
      </c>
      <c r="AH699" s="52"/>
      <c r="AI699" s="52"/>
      <c r="AJ699" s="52"/>
      <c r="AK699" s="28">
        <v>1.5263157894736841</v>
      </c>
      <c r="AL699" s="28">
        <v>1.368421052631579</v>
      </c>
      <c r="AM699" s="28">
        <v>0.15789473684210531</v>
      </c>
      <c r="AN699" s="28">
        <v>0</v>
      </c>
      <c r="AO699" s="28">
        <v>0.5</v>
      </c>
      <c r="AP699" s="28">
        <v>0.44827586206896552</v>
      </c>
      <c r="AQ699" s="28">
        <v>5.1724137931034482E-2</v>
      </c>
      <c r="AR699" s="28">
        <v>0</v>
      </c>
      <c r="AS699" s="25">
        <v>1.1000000000000001</v>
      </c>
      <c r="AT699" s="25">
        <v>3.44</v>
      </c>
      <c r="AU699" s="25">
        <v>2.34</v>
      </c>
      <c r="AV699" s="25">
        <v>2.4889473684210528</v>
      </c>
      <c r="AW699">
        <v>2.4889473684210528</v>
      </c>
      <c r="AX699">
        <v>6.7152213403504719</v>
      </c>
      <c r="AY699" s="75"/>
      <c r="AZ699" s="75"/>
      <c r="BA699" s="75"/>
      <c r="BB699">
        <v>3.4555644816625632E-2</v>
      </c>
      <c r="BF699">
        <v>6.9111289633251263E-2</v>
      </c>
      <c r="BG699">
        <v>3.4555644816625632E-2</v>
      </c>
      <c r="BH699">
        <v>0</v>
      </c>
      <c r="BI699" s="79" t="s">
        <v>1264</v>
      </c>
      <c r="BJ699" s="79">
        <f t="shared" si="196"/>
        <v>1098</v>
      </c>
      <c r="BK699" s="79">
        <v>12</v>
      </c>
      <c r="BM699" s="79" t="s">
        <v>464</v>
      </c>
      <c r="BN699" s="79" t="s">
        <v>464</v>
      </c>
      <c r="BO699" s="79">
        <v>0</v>
      </c>
      <c r="BQ699" s="79">
        <v>0.5</v>
      </c>
      <c r="BR699" s="79">
        <v>1</v>
      </c>
      <c r="BS699" s="95" t="s">
        <v>464</v>
      </c>
      <c r="BT699" s="95" t="s">
        <v>464</v>
      </c>
      <c r="BU699" s="95" t="s">
        <v>1266</v>
      </c>
      <c r="BV699" s="95">
        <v>125</v>
      </c>
      <c r="BW699" s="95">
        <v>220</v>
      </c>
      <c r="BX699" s="95" t="s">
        <v>1287</v>
      </c>
      <c r="BY699" s="95">
        <f t="shared" si="197"/>
        <v>288</v>
      </c>
      <c r="BZ699" s="81">
        <v>196</v>
      </c>
      <c r="CA699">
        <f t="shared" si="178"/>
        <v>5.2781146592305168</v>
      </c>
    </row>
    <row r="700" spans="1:79" x14ac:dyDescent="0.3">
      <c r="A700" s="2" t="s">
        <v>329</v>
      </c>
      <c r="B700" s="18" t="s">
        <v>1002</v>
      </c>
      <c r="C700" s="13"/>
      <c r="D700" s="2">
        <v>3.45</v>
      </c>
      <c r="E700" s="2" t="s">
        <v>319</v>
      </c>
      <c r="F700" s="9">
        <v>-1</v>
      </c>
      <c r="G700">
        <v>-1</v>
      </c>
      <c r="I700" s="2">
        <v>4</v>
      </c>
      <c r="J700" s="25">
        <v>0</v>
      </c>
      <c r="K700">
        <v>0</v>
      </c>
      <c r="L700">
        <v>0</v>
      </c>
      <c r="M700" s="2">
        <v>3.73</v>
      </c>
      <c r="N700" s="2">
        <v>3.73</v>
      </c>
      <c r="O700" s="2">
        <v>45.6</v>
      </c>
      <c r="P700" s="2" t="s">
        <v>519</v>
      </c>
      <c r="Q700" s="2"/>
      <c r="R700" s="25">
        <v>0</v>
      </c>
      <c r="U700">
        <v>0</v>
      </c>
      <c r="X700">
        <v>0</v>
      </c>
      <c r="AA700" s="2"/>
      <c r="AB700">
        <v>10</v>
      </c>
      <c r="AC700" s="55">
        <f t="shared" si="188"/>
        <v>634.42824000000007</v>
      </c>
      <c r="AD700" s="57">
        <v>0</v>
      </c>
      <c r="AE700" s="55">
        <v>0</v>
      </c>
      <c r="AF700" s="55">
        <v>0</v>
      </c>
      <c r="AG700" s="52">
        <f t="shared" si="195"/>
        <v>6.3048895805773081E-2</v>
      </c>
      <c r="AH700" s="52"/>
      <c r="AI700" s="52"/>
      <c r="AJ700" s="52"/>
      <c r="AK700" s="28">
        <v>1.5</v>
      </c>
      <c r="AL700" s="28">
        <v>1.2727272727272729</v>
      </c>
      <c r="AM700" s="28">
        <v>0.13636363636363641</v>
      </c>
      <c r="AN700" s="28">
        <v>0</v>
      </c>
      <c r="AO700" s="28">
        <v>0.515625</v>
      </c>
      <c r="AP700" s="28">
        <v>0.4375</v>
      </c>
      <c r="AQ700" s="28">
        <v>4.6874999999999993E-2</v>
      </c>
      <c r="AR700" s="28">
        <v>0</v>
      </c>
      <c r="AS700" s="25">
        <v>1.1000000000000001</v>
      </c>
      <c r="AT700" s="25">
        <v>3.44</v>
      </c>
      <c r="AU700" s="25">
        <v>2.34</v>
      </c>
      <c r="AV700" s="25">
        <v>2.4654545454545449</v>
      </c>
      <c r="AW700">
        <v>2.4654545454545449</v>
      </c>
      <c r="AX700">
        <v>6.7365199487436813</v>
      </c>
      <c r="AY700" s="75"/>
      <c r="AZ700" s="75"/>
      <c r="BA700" s="75"/>
      <c r="BB700">
        <v>3.152444790288654E-2</v>
      </c>
      <c r="BF700">
        <v>6.3048895805773081E-2</v>
      </c>
      <c r="BG700">
        <v>3.152444790288654E-2</v>
      </c>
      <c r="BH700">
        <v>0</v>
      </c>
      <c r="BI700" s="79" t="s">
        <v>1264</v>
      </c>
      <c r="BJ700" s="79">
        <f t="shared" si="196"/>
        <v>1098</v>
      </c>
      <c r="BK700" s="79">
        <v>12</v>
      </c>
      <c r="BM700" s="79" t="s">
        <v>464</v>
      </c>
      <c r="BN700" s="79" t="s">
        <v>464</v>
      </c>
      <c r="BO700" s="79">
        <v>0</v>
      </c>
      <c r="BP700" s="79">
        <v>1.6</v>
      </c>
      <c r="BQ700" s="79">
        <v>0.5</v>
      </c>
      <c r="BR700" s="79">
        <v>1</v>
      </c>
      <c r="BS700" s="95" t="s">
        <v>464</v>
      </c>
      <c r="BT700" s="95" t="s">
        <v>464</v>
      </c>
      <c r="BU700" s="95" t="s">
        <v>1266</v>
      </c>
      <c r="BV700" s="95">
        <v>125</v>
      </c>
      <c r="BW700" s="95">
        <v>220</v>
      </c>
      <c r="BX700" s="95" t="s">
        <v>1287</v>
      </c>
      <c r="BY700" s="95">
        <f t="shared" si="197"/>
        <v>288</v>
      </c>
      <c r="BZ700" s="81">
        <v>203.99999999999997</v>
      </c>
      <c r="CA700">
        <f t="shared" si="178"/>
        <v>5.3181199938442161</v>
      </c>
    </row>
    <row r="701" spans="1:79" x14ac:dyDescent="0.3">
      <c r="A701" s="2" t="s">
        <v>330</v>
      </c>
      <c r="B701" s="18" t="s">
        <v>1001</v>
      </c>
      <c r="C701" s="13"/>
      <c r="D701" s="2">
        <v>3.46</v>
      </c>
      <c r="E701" s="2" t="s">
        <v>319</v>
      </c>
      <c r="F701" s="9">
        <v>-1</v>
      </c>
      <c r="G701">
        <v>-1</v>
      </c>
      <c r="I701" s="2">
        <v>4</v>
      </c>
      <c r="J701" s="25">
        <v>0</v>
      </c>
      <c r="K701">
        <v>0</v>
      </c>
      <c r="L701">
        <v>0</v>
      </c>
      <c r="M701" s="2">
        <v>3.74</v>
      </c>
      <c r="N701" s="2">
        <v>3.74</v>
      </c>
      <c r="O701" s="2">
        <v>55.4</v>
      </c>
      <c r="P701" s="2" t="s">
        <v>519</v>
      </c>
      <c r="Q701" s="2"/>
      <c r="R701" s="25">
        <v>0</v>
      </c>
      <c r="U701">
        <v>0</v>
      </c>
      <c r="X701">
        <v>0</v>
      </c>
      <c r="AA701" s="2"/>
      <c r="AB701">
        <v>10</v>
      </c>
      <c r="AC701" s="55">
        <f t="shared" si="188"/>
        <v>774.91304000000014</v>
      </c>
      <c r="AD701" s="57">
        <v>0</v>
      </c>
      <c r="AE701" s="55">
        <v>0</v>
      </c>
      <c r="AF701" s="55">
        <v>0</v>
      </c>
      <c r="AG701" s="52">
        <f t="shared" si="195"/>
        <v>5.1618695176429079E-2</v>
      </c>
      <c r="AH701" s="52"/>
      <c r="AI701" s="52"/>
      <c r="AJ701" s="52"/>
      <c r="AK701" s="28">
        <v>1.464285714285714</v>
      </c>
      <c r="AL701" s="28">
        <v>1.142857142857143</v>
      </c>
      <c r="AM701" s="28">
        <v>0.1071428571428571</v>
      </c>
      <c r="AN701" s="28">
        <v>0</v>
      </c>
      <c r="AO701" s="28">
        <v>0.53947368421052622</v>
      </c>
      <c r="AP701" s="28">
        <v>0.42105263157894729</v>
      </c>
      <c r="AQ701" s="28">
        <v>3.9473684210526307E-2</v>
      </c>
      <c r="AR701" s="28">
        <v>0</v>
      </c>
      <c r="AS701" s="25">
        <v>1.1000000000000001</v>
      </c>
      <c r="AT701" s="25">
        <v>3.44</v>
      </c>
      <c r="AU701" s="25">
        <v>2.34</v>
      </c>
      <c r="AV701" s="25">
        <v>2.4335714285714292</v>
      </c>
      <c r="AW701">
        <v>2.4335714285714292</v>
      </c>
      <c r="AX701">
        <v>6.7654252029916062</v>
      </c>
      <c r="AY701" s="75"/>
      <c r="AZ701" s="75"/>
      <c r="BA701" s="75"/>
      <c r="BB701">
        <v>2.5809347588214539E-2</v>
      </c>
      <c r="BF701">
        <v>5.1618695176429079E-2</v>
      </c>
      <c r="BG701">
        <v>2.5809347588214539E-2</v>
      </c>
      <c r="BH701">
        <v>0</v>
      </c>
      <c r="BI701" s="79" t="s">
        <v>1264</v>
      </c>
      <c r="BJ701" s="79">
        <f t="shared" si="196"/>
        <v>1098</v>
      </c>
      <c r="BK701" s="79">
        <v>12</v>
      </c>
      <c r="BM701" s="79" t="s">
        <v>464</v>
      </c>
      <c r="BN701" s="79" t="s">
        <v>464</v>
      </c>
      <c r="BO701" s="79">
        <v>0</v>
      </c>
      <c r="BQ701" s="79">
        <v>0.5</v>
      </c>
      <c r="BR701" s="79">
        <v>1</v>
      </c>
      <c r="BS701" s="95" t="s">
        <v>464</v>
      </c>
      <c r="BT701" s="95" t="s">
        <v>464</v>
      </c>
      <c r="BU701" s="95" t="s">
        <v>1266</v>
      </c>
      <c r="BV701" s="95">
        <v>125</v>
      </c>
      <c r="BW701" s="95">
        <v>220</v>
      </c>
      <c r="BX701" s="95" t="s">
        <v>1287</v>
      </c>
      <c r="BY701" s="95">
        <f t="shared" si="197"/>
        <v>288</v>
      </c>
      <c r="BZ701" s="81">
        <v>115.99999999999999</v>
      </c>
      <c r="CA701">
        <f t="shared" si="178"/>
        <v>4.7535901911063645</v>
      </c>
    </row>
    <row r="702" spans="1:79" x14ac:dyDescent="0.3">
      <c r="A702" s="2" t="s">
        <v>1460</v>
      </c>
      <c r="B702" s="18" t="s">
        <v>1000</v>
      </c>
      <c r="C702" s="13"/>
      <c r="D702" s="2">
        <v>3.46</v>
      </c>
      <c r="E702" s="2" t="s">
        <v>319</v>
      </c>
      <c r="F702" s="9">
        <v>-1</v>
      </c>
      <c r="G702">
        <v>-1</v>
      </c>
      <c r="I702" s="2">
        <v>4</v>
      </c>
      <c r="J702" s="25">
        <v>0</v>
      </c>
      <c r="K702">
        <v>0</v>
      </c>
      <c r="L702">
        <v>0</v>
      </c>
      <c r="M702" s="2">
        <v>3.73</v>
      </c>
      <c r="N702" s="2">
        <v>3.73</v>
      </c>
      <c r="O702" s="2">
        <v>56.8</v>
      </c>
      <c r="P702" s="2" t="s">
        <v>519</v>
      </c>
      <c r="Q702" s="2"/>
      <c r="R702" s="25">
        <v>0</v>
      </c>
      <c r="U702">
        <v>0</v>
      </c>
      <c r="X702">
        <v>0</v>
      </c>
      <c r="AA702" s="2"/>
      <c r="AB702">
        <v>10</v>
      </c>
      <c r="AC702" s="55">
        <f t="shared" si="188"/>
        <v>790.25271999999995</v>
      </c>
      <c r="AD702" s="57">
        <v>0</v>
      </c>
      <c r="AE702" s="55">
        <v>0</v>
      </c>
      <c r="AF702" s="55">
        <v>0</v>
      </c>
      <c r="AG702" s="52">
        <f t="shared" si="195"/>
        <v>5.0616719168015016E-2</v>
      </c>
      <c r="AH702" s="52"/>
      <c r="AI702" s="52"/>
      <c r="AJ702" s="52"/>
      <c r="AK702" s="28">
        <v>1.4411764705882351</v>
      </c>
      <c r="AL702" s="28">
        <v>1.0588235294117649</v>
      </c>
      <c r="AM702" s="28">
        <v>8.8235294117647065E-2</v>
      </c>
      <c r="AN702" s="28">
        <v>0</v>
      </c>
      <c r="AO702" s="28">
        <v>0.55681818181818177</v>
      </c>
      <c r="AP702" s="28">
        <v>0.40909090909090912</v>
      </c>
      <c r="AQ702" s="28">
        <v>3.4090909090909088E-2</v>
      </c>
      <c r="AR702" s="28">
        <v>0</v>
      </c>
      <c r="AS702" s="25">
        <v>1.1000000000000001</v>
      </c>
      <c r="AT702" s="25">
        <v>3.44</v>
      </c>
      <c r="AU702" s="25">
        <v>2.34</v>
      </c>
      <c r="AV702" s="25">
        <v>2.4129411764705879</v>
      </c>
      <c r="AW702">
        <v>2.4129411764705888</v>
      </c>
      <c r="AX702">
        <v>6.7841286027990879</v>
      </c>
      <c r="AY702" s="75"/>
      <c r="AZ702" s="75"/>
      <c r="BA702" s="75"/>
      <c r="BB702">
        <v>2.5308359584007512E-2</v>
      </c>
      <c r="BF702">
        <v>5.0616719168015023E-2</v>
      </c>
      <c r="BG702">
        <v>2.5308359584007512E-2</v>
      </c>
      <c r="BH702">
        <v>0</v>
      </c>
      <c r="BI702" s="79" t="s">
        <v>1264</v>
      </c>
      <c r="BJ702" s="79">
        <f t="shared" si="196"/>
        <v>1098</v>
      </c>
      <c r="BK702" s="79">
        <v>12</v>
      </c>
      <c r="BM702" s="79" t="s">
        <v>464</v>
      </c>
      <c r="BN702" s="79" t="s">
        <v>464</v>
      </c>
      <c r="BO702" s="79">
        <v>0</v>
      </c>
      <c r="BP702" s="79">
        <v>6.4</v>
      </c>
      <c r="BQ702" s="79">
        <v>0.5</v>
      </c>
      <c r="BR702" s="79">
        <v>1</v>
      </c>
      <c r="BS702" s="95" t="s">
        <v>464</v>
      </c>
      <c r="BT702" s="95" t="s">
        <v>464</v>
      </c>
      <c r="BU702" s="95" t="s">
        <v>1266</v>
      </c>
      <c r="BV702" s="95">
        <v>125</v>
      </c>
      <c r="BW702" s="95">
        <v>220</v>
      </c>
      <c r="BX702" s="95" t="s">
        <v>1287</v>
      </c>
      <c r="BY702" s="95">
        <f t="shared" si="197"/>
        <v>288</v>
      </c>
      <c r="BZ702" s="81">
        <v>131.99999999999997</v>
      </c>
      <c r="CA702">
        <f t="shared" si="178"/>
        <v>4.8828019225863706</v>
      </c>
    </row>
    <row r="703" spans="1:79" x14ac:dyDescent="0.3">
      <c r="A703" s="2" t="s">
        <v>332</v>
      </c>
      <c r="B703" s="18" t="s">
        <v>833</v>
      </c>
      <c r="C703" s="13"/>
      <c r="D703" s="2">
        <v>3.48</v>
      </c>
      <c r="E703" s="2" t="s">
        <v>319</v>
      </c>
      <c r="F703" s="9">
        <v>-1</v>
      </c>
      <c r="G703">
        <v>-1</v>
      </c>
      <c r="I703" s="2">
        <v>2</v>
      </c>
      <c r="J703" s="25">
        <v>0</v>
      </c>
      <c r="K703">
        <v>0</v>
      </c>
      <c r="L703">
        <v>2</v>
      </c>
      <c r="M703" s="2">
        <v>3.68</v>
      </c>
      <c r="N703" s="2">
        <v>3.68</v>
      </c>
      <c r="O703" s="2">
        <v>12.1</v>
      </c>
      <c r="P703" s="2" t="s">
        <v>519</v>
      </c>
      <c r="Q703" s="2"/>
      <c r="R703" s="25">
        <v>0</v>
      </c>
      <c r="U703">
        <v>0</v>
      </c>
      <c r="X703">
        <v>3.6970999999999998</v>
      </c>
      <c r="Y703">
        <v>3.6970999999999998</v>
      </c>
      <c r="Z703">
        <v>12.0928</v>
      </c>
      <c r="AA703" s="2"/>
      <c r="AB703">
        <v>8</v>
      </c>
      <c r="AC703" s="55">
        <f t="shared" si="188"/>
        <v>163.86304000000001</v>
      </c>
      <c r="AD703" s="57">
        <v>0</v>
      </c>
      <c r="AE703" s="55">
        <v>0</v>
      </c>
      <c r="AF703" s="55">
        <v>165.3</v>
      </c>
      <c r="AG703" s="52">
        <f t="shared" si="195"/>
        <v>9.7642519020762694E-2</v>
      </c>
      <c r="AH703" s="52"/>
      <c r="AI703" s="52"/>
      <c r="AJ703" s="67">
        <f>L703*AB703/AF703</f>
        <v>9.6793708408953405E-2</v>
      </c>
      <c r="AK703" s="28">
        <v>1.857142857142857</v>
      </c>
      <c r="AL703" s="28">
        <v>2.285714285714286</v>
      </c>
      <c r="AM703" s="28">
        <v>0.2857142857142857</v>
      </c>
      <c r="AN703" s="28">
        <v>0.5714285714285714</v>
      </c>
      <c r="AO703" s="28">
        <v>0.37142857142857139</v>
      </c>
      <c r="AP703" s="28">
        <v>0.45714285714285707</v>
      </c>
      <c r="AQ703" s="28">
        <v>5.7142857142857141E-2</v>
      </c>
      <c r="AR703" s="28">
        <v>0.1142857142857143</v>
      </c>
      <c r="AS703" s="25">
        <v>1.1399999999999999</v>
      </c>
      <c r="AT703" s="25">
        <v>3.44</v>
      </c>
      <c r="AU703" s="25">
        <v>2.2999999999999998</v>
      </c>
      <c r="AV703" s="25">
        <v>2.6628571428571428</v>
      </c>
      <c r="AW703">
        <v>2.6628571428571428</v>
      </c>
      <c r="AX703">
        <v>6.2282737214072856</v>
      </c>
      <c r="AY703" s="75"/>
      <c r="AZ703" s="75"/>
      <c r="BA703" s="75"/>
      <c r="BB703">
        <v>4.8821259510381347E-2</v>
      </c>
      <c r="BE703">
        <v>4.8396854204476702E-2</v>
      </c>
      <c r="BF703">
        <v>9.7218113714858057E-2</v>
      </c>
      <c r="BG703">
        <v>4.8609056857429028E-2</v>
      </c>
      <c r="BH703">
        <v>0</v>
      </c>
      <c r="BI703" s="79" t="s">
        <v>1264</v>
      </c>
      <c r="BJ703" s="79">
        <f t="shared" si="196"/>
        <v>1098</v>
      </c>
      <c r="BK703" s="79">
        <v>12</v>
      </c>
      <c r="BM703" s="79" t="s">
        <v>464</v>
      </c>
      <c r="BN703" s="79" t="s">
        <v>464</v>
      </c>
      <c r="BO703" s="79">
        <v>0</v>
      </c>
      <c r="BP703" s="79">
        <v>8.5</v>
      </c>
      <c r="BQ703" s="79">
        <v>0.5</v>
      </c>
      <c r="BR703" s="79">
        <v>1</v>
      </c>
      <c r="BS703" s="95" t="s">
        <v>464</v>
      </c>
      <c r="BT703" s="95" t="s">
        <v>464</v>
      </c>
      <c r="BU703" s="95" t="s">
        <v>1266</v>
      </c>
      <c r="BV703" s="95">
        <v>125</v>
      </c>
      <c r="BW703" s="95">
        <v>220</v>
      </c>
      <c r="BX703" s="95" t="s">
        <v>1287</v>
      </c>
      <c r="BY703" s="95">
        <f t="shared" si="197"/>
        <v>288</v>
      </c>
      <c r="BZ703" s="81">
        <v>29.2</v>
      </c>
      <c r="CA703">
        <f t="shared" si="178"/>
        <v>3.3741687092742358</v>
      </c>
    </row>
    <row r="704" spans="1:79" x14ac:dyDescent="0.3">
      <c r="A704" s="2" t="s">
        <v>333</v>
      </c>
      <c r="B704" s="18" t="s">
        <v>1006</v>
      </c>
      <c r="C704" s="13"/>
      <c r="D704" s="2">
        <v>3.41</v>
      </c>
      <c r="E704" s="2" t="s">
        <v>319</v>
      </c>
      <c r="F704" s="9">
        <v>-1</v>
      </c>
      <c r="G704">
        <v>-1</v>
      </c>
      <c r="I704" s="2">
        <v>4</v>
      </c>
      <c r="J704" s="25">
        <v>0</v>
      </c>
      <c r="K704">
        <v>0</v>
      </c>
      <c r="L704">
        <v>0</v>
      </c>
      <c r="M704" s="2">
        <v>3.74</v>
      </c>
      <c r="N704" s="2">
        <v>3.74</v>
      </c>
      <c r="O704" s="2">
        <v>33.1</v>
      </c>
      <c r="P704" s="2" t="s">
        <v>519</v>
      </c>
      <c r="Q704" s="2"/>
      <c r="R704" s="25">
        <v>0</v>
      </c>
      <c r="U704">
        <v>0</v>
      </c>
      <c r="X704">
        <v>0</v>
      </c>
      <c r="AA704" s="2"/>
      <c r="AB704">
        <v>8</v>
      </c>
      <c r="AC704" s="55">
        <f t="shared" si="188"/>
        <v>462.9895600000001</v>
      </c>
      <c r="AD704" s="57">
        <v>0</v>
      </c>
      <c r="AE704" s="55">
        <v>0</v>
      </c>
      <c r="AF704" s="55">
        <v>0</v>
      </c>
      <c r="AG704" s="52">
        <f t="shared" si="195"/>
        <v>6.9116029311762431E-2</v>
      </c>
      <c r="AH704" s="52"/>
      <c r="AI704" s="52"/>
      <c r="AJ704" s="52"/>
      <c r="AK704" s="28">
        <v>1.571428571428571</v>
      </c>
      <c r="AL704" s="28">
        <v>1.5</v>
      </c>
      <c r="AM704" s="28">
        <v>0.14285714285714279</v>
      </c>
      <c r="AN704" s="28">
        <v>0.2857142857142857</v>
      </c>
      <c r="AO704" s="28">
        <v>0.44897959183673469</v>
      </c>
      <c r="AP704" s="28">
        <v>0.42857142857142849</v>
      </c>
      <c r="AQ704" s="28">
        <v>4.0816326530612242E-2</v>
      </c>
      <c r="AR704" s="28">
        <v>8.1632653061224483E-2</v>
      </c>
      <c r="AS704" s="25">
        <v>1.1399999999999999</v>
      </c>
      <c r="AT704" s="25">
        <v>3.44</v>
      </c>
      <c r="AU704" s="25">
        <v>2.2999999999999998</v>
      </c>
      <c r="AV704" s="25">
        <v>2.516428571428571</v>
      </c>
      <c r="AW704">
        <v>2.516428571428571</v>
      </c>
      <c r="AX704">
        <v>6.6409830967932857</v>
      </c>
      <c r="AY704" s="75"/>
      <c r="AZ704" s="75"/>
      <c r="BA704" s="75"/>
      <c r="BB704">
        <v>3.4558014655881222E-2</v>
      </c>
      <c r="BF704">
        <v>6.9116029311762431E-2</v>
      </c>
      <c r="BG704">
        <v>3.4558014655881222E-2</v>
      </c>
      <c r="BH704">
        <v>0</v>
      </c>
      <c r="BI704" s="79" t="s">
        <v>1264</v>
      </c>
      <c r="BJ704" s="79">
        <f t="shared" si="196"/>
        <v>1098</v>
      </c>
      <c r="BK704" s="79">
        <v>12</v>
      </c>
      <c r="BM704" s="79" t="s">
        <v>464</v>
      </c>
      <c r="BN704" s="79" t="s">
        <v>464</v>
      </c>
      <c r="BO704" s="79">
        <v>0</v>
      </c>
      <c r="BP704" s="79">
        <v>5.6</v>
      </c>
      <c r="BQ704" s="79">
        <v>0.5</v>
      </c>
      <c r="BR704" s="79">
        <v>1</v>
      </c>
      <c r="BS704" s="95" t="s">
        <v>464</v>
      </c>
      <c r="BT704" s="95" t="s">
        <v>464</v>
      </c>
      <c r="BU704" s="95" t="s">
        <v>1266</v>
      </c>
      <c r="BV704" s="95">
        <v>125</v>
      </c>
      <c r="BW704" s="95">
        <v>220</v>
      </c>
      <c r="BX704" s="95" t="s">
        <v>1287</v>
      </c>
      <c r="BY704" s="95">
        <f t="shared" si="197"/>
        <v>288</v>
      </c>
      <c r="BZ704" s="81">
        <v>44</v>
      </c>
      <c r="CA704">
        <f t="shared" si="178"/>
        <v>3.784189633918261</v>
      </c>
    </row>
    <row r="705" spans="1:79" x14ac:dyDescent="0.3">
      <c r="A705" s="2" t="s">
        <v>334</v>
      </c>
      <c r="B705" s="18" t="s">
        <v>1007</v>
      </c>
      <c r="C705" s="13"/>
      <c r="D705" s="2">
        <v>3.5</v>
      </c>
      <c r="E705" s="2" t="s">
        <v>319</v>
      </c>
      <c r="F705" s="9">
        <v>-1</v>
      </c>
      <c r="G705">
        <v>-1</v>
      </c>
      <c r="I705" s="2">
        <v>4</v>
      </c>
      <c r="J705" s="25">
        <v>0</v>
      </c>
      <c r="K705">
        <v>0</v>
      </c>
      <c r="L705">
        <v>0</v>
      </c>
      <c r="M705" s="2">
        <v>3.74</v>
      </c>
      <c r="N705" s="2">
        <v>3.74</v>
      </c>
      <c r="O705" s="2">
        <v>37.6</v>
      </c>
      <c r="P705" s="2" t="s">
        <v>519</v>
      </c>
      <c r="Q705" s="2"/>
      <c r="R705" s="25">
        <v>0</v>
      </c>
      <c r="U705">
        <v>0</v>
      </c>
      <c r="X705">
        <v>0</v>
      </c>
      <c r="AA705" s="2"/>
      <c r="AB705">
        <v>8</v>
      </c>
      <c r="AC705" s="55">
        <f t="shared" si="188"/>
        <v>525.93376000000012</v>
      </c>
      <c r="AD705" s="57">
        <v>0</v>
      </c>
      <c r="AE705" s="55">
        <v>0</v>
      </c>
      <c r="AF705" s="55">
        <v>0</v>
      </c>
      <c r="AG705" s="52">
        <f t="shared" si="195"/>
        <v>6.0844164101578099E-2</v>
      </c>
      <c r="AH705" s="52"/>
      <c r="AI705" s="52"/>
      <c r="AJ705" s="52"/>
      <c r="AK705" s="28">
        <v>1.529411764705882</v>
      </c>
      <c r="AL705" s="28">
        <v>1.3529411764705881</v>
      </c>
      <c r="AM705" s="28">
        <v>0.1176470588235294</v>
      </c>
      <c r="AN705" s="28">
        <v>0.23529411764705879</v>
      </c>
      <c r="AO705" s="28">
        <v>0.47272727272727272</v>
      </c>
      <c r="AP705" s="28">
        <v>0.41818181818181821</v>
      </c>
      <c r="AQ705" s="28">
        <v>3.6363636363636362E-2</v>
      </c>
      <c r="AR705" s="28">
        <v>7.2727272727272724E-2</v>
      </c>
      <c r="AS705" s="25">
        <v>1.1399999999999999</v>
      </c>
      <c r="AT705" s="25">
        <v>3.44</v>
      </c>
      <c r="AU705" s="25">
        <v>2.2999999999999998</v>
      </c>
      <c r="AV705" s="25">
        <v>2.4811764705882351</v>
      </c>
      <c r="AW705">
        <v>2.481176470588236</v>
      </c>
      <c r="AX705">
        <v>6.6816468682828232</v>
      </c>
      <c r="AY705" s="75"/>
      <c r="AZ705" s="75"/>
      <c r="BA705" s="75"/>
      <c r="BB705">
        <v>3.042208205078905E-2</v>
      </c>
      <c r="BF705">
        <v>6.0844164101578099E-2</v>
      </c>
      <c r="BG705">
        <v>3.042208205078905E-2</v>
      </c>
      <c r="BH705">
        <v>0</v>
      </c>
      <c r="BI705" s="79" t="s">
        <v>1264</v>
      </c>
      <c r="BJ705" s="79">
        <f t="shared" si="196"/>
        <v>1098</v>
      </c>
      <c r="BK705" s="79">
        <v>12</v>
      </c>
      <c r="BM705" s="79" t="s">
        <v>464</v>
      </c>
      <c r="BN705" s="79" t="s">
        <v>464</v>
      </c>
      <c r="BO705" s="79">
        <v>0</v>
      </c>
      <c r="BQ705" s="79">
        <v>0.5</v>
      </c>
      <c r="BR705" s="79">
        <v>1</v>
      </c>
      <c r="BS705" s="95" t="s">
        <v>464</v>
      </c>
      <c r="BT705" s="95" t="s">
        <v>464</v>
      </c>
      <c r="BU705" s="95" t="s">
        <v>1266</v>
      </c>
      <c r="BV705" s="95">
        <v>125</v>
      </c>
      <c r="BW705" s="95">
        <v>220</v>
      </c>
      <c r="BX705" s="95" t="s">
        <v>1287</v>
      </c>
      <c r="BY705" s="95">
        <f t="shared" si="197"/>
        <v>288</v>
      </c>
      <c r="BZ705" s="81">
        <v>44</v>
      </c>
      <c r="CA705">
        <f t="shared" si="178"/>
        <v>3.784189633918261</v>
      </c>
    </row>
    <row r="706" spans="1:79" x14ac:dyDescent="0.3">
      <c r="A706" s="2" t="s">
        <v>335</v>
      </c>
      <c r="B706" s="18" t="s">
        <v>1008</v>
      </c>
      <c r="C706" s="13"/>
      <c r="D706" s="2">
        <v>3.43</v>
      </c>
      <c r="E706" s="2" t="s">
        <v>319</v>
      </c>
      <c r="F706" s="9">
        <v>-1</v>
      </c>
      <c r="G706">
        <v>-1</v>
      </c>
      <c r="I706" s="2">
        <v>4</v>
      </c>
      <c r="J706" s="25">
        <v>0</v>
      </c>
      <c r="K706">
        <v>0</v>
      </c>
      <c r="L706">
        <v>0</v>
      </c>
      <c r="M706" s="2">
        <v>3.74</v>
      </c>
      <c r="N706" s="2">
        <v>3.74</v>
      </c>
      <c r="O706" s="2">
        <v>40.4</v>
      </c>
      <c r="P706" s="2" t="s">
        <v>519</v>
      </c>
      <c r="Q706" s="2"/>
      <c r="R706" s="25">
        <v>0</v>
      </c>
      <c r="U706">
        <v>0</v>
      </c>
      <c r="X706">
        <v>0</v>
      </c>
      <c r="AA706" s="2"/>
      <c r="AB706">
        <v>8</v>
      </c>
      <c r="AC706" s="55">
        <f t="shared" si="188"/>
        <v>565.09904000000006</v>
      </c>
      <c r="AD706" s="57">
        <v>0</v>
      </c>
      <c r="AE706" s="55">
        <v>0</v>
      </c>
      <c r="AF706" s="55">
        <v>0</v>
      </c>
      <c r="AG706" s="52">
        <f t="shared" si="195"/>
        <v>5.6627241837112298E-2</v>
      </c>
      <c r="AH706" s="52"/>
      <c r="AI706" s="52"/>
      <c r="AJ706" s="52"/>
      <c r="AK706" s="28">
        <v>1.5</v>
      </c>
      <c r="AL706" s="28">
        <v>1.25</v>
      </c>
      <c r="AM706" s="28">
        <v>0.1</v>
      </c>
      <c r="AN706" s="28">
        <v>0.2</v>
      </c>
      <c r="AO706" s="28">
        <v>0.49180327868852458</v>
      </c>
      <c r="AP706" s="28">
        <v>0.4098360655737705</v>
      </c>
      <c r="AQ706" s="28">
        <v>3.2786885245901641E-2</v>
      </c>
      <c r="AR706" s="28">
        <v>6.5573770491803282E-2</v>
      </c>
      <c r="AS706" s="25">
        <v>1.1399999999999999</v>
      </c>
      <c r="AT706" s="25">
        <v>3.44</v>
      </c>
      <c r="AU706" s="25">
        <v>2.2999999999999998</v>
      </c>
      <c r="AV706" s="25">
        <v>2.4565000000000001</v>
      </c>
      <c r="AW706">
        <v>2.4565000000000001</v>
      </c>
      <c r="AX706">
        <v>6.7101115083254994</v>
      </c>
      <c r="AY706" s="75"/>
      <c r="AZ706" s="75"/>
      <c r="BA706" s="75"/>
      <c r="BB706">
        <v>2.8313620918556149E-2</v>
      </c>
      <c r="BF706">
        <v>5.6627241837112298E-2</v>
      </c>
      <c r="BG706">
        <v>2.8313620918556149E-2</v>
      </c>
      <c r="BH706">
        <v>0</v>
      </c>
      <c r="BI706" s="79" t="s">
        <v>1264</v>
      </c>
      <c r="BJ706" s="79">
        <f t="shared" si="196"/>
        <v>1098</v>
      </c>
      <c r="BK706" s="79">
        <v>12</v>
      </c>
      <c r="BM706" s="79" t="s">
        <v>464</v>
      </c>
      <c r="BN706" s="79" t="s">
        <v>464</v>
      </c>
      <c r="BO706" s="79">
        <v>0</v>
      </c>
      <c r="BQ706" s="79">
        <v>0.5</v>
      </c>
      <c r="BR706" s="79">
        <v>1</v>
      </c>
      <c r="BS706" s="95" t="s">
        <v>464</v>
      </c>
      <c r="BT706" s="95" t="s">
        <v>464</v>
      </c>
      <c r="BU706" s="95" t="s">
        <v>1266</v>
      </c>
      <c r="BV706" s="95">
        <v>125</v>
      </c>
      <c r="BW706" s="95">
        <v>220</v>
      </c>
      <c r="BX706" s="95" t="s">
        <v>1287</v>
      </c>
      <c r="BY706" s="95">
        <f t="shared" si="197"/>
        <v>288</v>
      </c>
      <c r="BZ706" s="81">
        <v>88</v>
      </c>
      <c r="CA706">
        <f t="shared" si="178"/>
        <v>4.4773368144782069</v>
      </c>
    </row>
    <row r="707" spans="1:79" x14ac:dyDescent="0.3">
      <c r="A707" s="2" t="s">
        <v>336</v>
      </c>
      <c r="B707" s="18" t="s">
        <v>1009</v>
      </c>
      <c r="C707" s="13"/>
      <c r="D707" s="2">
        <v>3.5</v>
      </c>
      <c r="E707" s="2" t="s">
        <v>319</v>
      </c>
      <c r="F707" s="9">
        <v>-1</v>
      </c>
      <c r="G707">
        <v>-1</v>
      </c>
      <c r="I707" s="2">
        <v>4</v>
      </c>
      <c r="J707" s="25">
        <v>0</v>
      </c>
      <c r="K707">
        <v>0</v>
      </c>
      <c r="L707">
        <v>0</v>
      </c>
      <c r="M707" s="2">
        <v>3.74</v>
      </c>
      <c r="N707" s="2">
        <v>3.74</v>
      </c>
      <c r="O707" s="2">
        <v>47.7</v>
      </c>
      <c r="P707" s="2" t="s">
        <v>519</v>
      </c>
      <c r="Q707" s="2"/>
      <c r="R707" s="25">
        <v>0</v>
      </c>
      <c r="U707">
        <v>0</v>
      </c>
      <c r="X707">
        <v>0</v>
      </c>
      <c r="AA707" s="2"/>
      <c r="AB707">
        <v>8</v>
      </c>
      <c r="AC707" s="55">
        <f t="shared" si="188"/>
        <v>667.20852000000014</v>
      </c>
      <c r="AD707" s="57">
        <v>0</v>
      </c>
      <c r="AE707" s="55">
        <v>0</v>
      </c>
      <c r="AF707" s="55">
        <v>0</v>
      </c>
      <c r="AG707" s="52">
        <f t="shared" si="195"/>
        <v>4.796101824359196E-2</v>
      </c>
      <c r="AH707" s="52"/>
      <c r="AI707" s="52"/>
      <c r="AJ707" s="52"/>
      <c r="AK707" s="28">
        <v>1.4782608695652171</v>
      </c>
      <c r="AL707" s="28">
        <v>1.173913043478261</v>
      </c>
      <c r="AM707" s="28">
        <v>8.6956521739130432E-2</v>
      </c>
      <c r="AN707" s="28">
        <v>0.17391304347826089</v>
      </c>
      <c r="AO707" s="28">
        <v>0.50746268656716409</v>
      </c>
      <c r="AP707" s="28">
        <v>0.40298507462686572</v>
      </c>
      <c r="AQ707" s="28">
        <v>2.9850746268656719E-2</v>
      </c>
      <c r="AR707" s="28">
        <v>5.9701492537313432E-2</v>
      </c>
      <c r="AS707" s="25">
        <v>1.1399999999999999</v>
      </c>
      <c r="AT707" s="25">
        <v>3.44</v>
      </c>
      <c r="AU707" s="25">
        <v>2.2999999999999998</v>
      </c>
      <c r="AV707" s="25">
        <v>2.4382608695652168</v>
      </c>
      <c r="AW707">
        <v>2.4382608695652168</v>
      </c>
      <c r="AX707">
        <v>6.7311505900961732</v>
      </c>
      <c r="AY707" s="75"/>
      <c r="AZ707" s="75"/>
      <c r="BA707" s="75"/>
      <c r="BB707">
        <v>2.398050912179598E-2</v>
      </c>
      <c r="BF707">
        <v>4.796101824359196E-2</v>
      </c>
      <c r="BG707">
        <v>2.398050912179598E-2</v>
      </c>
      <c r="BH707">
        <v>0</v>
      </c>
      <c r="BI707" s="79" t="s">
        <v>1264</v>
      </c>
      <c r="BJ707" s="79">
        <f t="shared" si="196"/>
        <v>1098</v>
      </c>
      <c r="BK707" s="79">
        <v>12</v>
      </c>
      <c r="BM707" s="79" t="s">
        <v>464</v>
      </c>
      <c r="BN707" s="79" t="s">
        <v>464</v>
      </c>
      <c r="BO707" s="79">
        <v>0</v>
      </c>
      <c r="BP707" s="79">
        <v>5.6</v>
      </c>
      <c r="BQ707" s="79">
        <v>0.5</v>
      </c>
      <c r="BR707" s="79">
        <v>1</v>
      </c>
      <c r="BS707" s="95" t="s">
        <v>464</v>
      </c>
      <c r="BT707" s="95" t="s">
        <v>464</v>
      </c>
      <c r="BU707" s="95" t="s">
        <v>1266</v>
      </c>
      <c r="BV707" s="95">
        <v>125</v>
      </c>
      <c r="BW707" s="95">
        <v>220</v>
      </c>
      <c r="BX707" s="95" t="s">
        <v>1287</v>
      </c>
      <c r="BY707" s="95">
        <f t="shared" si="197"/>
        <v>288</v>
      </c>
      <c r="BZ707" s="81">
        <v>44</v>
      </c>
      <c r="CA707">
        <f t="shared" ref="CA707:CA793" si="198">LN(BZ707)</f>
        <v>3.784189633918261</v>
      </c>
    </row>
    <row r="708" spans="1:79" x14ac:dyDescent="0.3">
      <c r="A708" s="2" t="s">
        <v>337</v>
      </c>
      <c r="B708" s="18" t="s">
        <v>1010</v>
      </c>
      <c r="C708" s="13"/>
      <c r="D708" s="2">
        <v>3.42</v>
      </c>
      <c r="E708" s="2" t="s">
        <v>319</v>
      </c>
      <c r="F708" s="9">
        <v>-1</v>
      </c>
      <c r="G708">
        <v>-1</v>
      </c>
      <c r="I708" s="2">
        <v>4</v>
      </c>
      <c r="J708" s="25">
        <v>0</v>
      </c>
      <c r="K708">
        <v>0</v>
      </c>
      <c r="L708">
        <v>0</v>
      </c>
      <c r="M708" s="2">
        <v>3.72</v>
      </c>
      <c r="N708" s="2">
        <v>3.72</v>
      </c>
      <c r="O708" s="2">
        <v>54</v>
      </c>
      <c r="P708" s="2" t="s">
        <v>519</v>
      </c>
      <c r="Q708" s="2"/>
      <c r="R708" s="25">
        <v>0</v>
      </c>
      <c r="U708">
        <v>0</v>
      </c>
      <c r="X708">
        <v>0</v>
      </c>
      <c r="AA708" s="2"/>
      <c r="AB708">
        <v>8</v>
      </c>
      <c r="AC708" s="55">
        <f t="shared" si="188"/>
        <v>747.2736000000001</v>
      </c>
      <c r="AD708" s="57">
        <v>0</v>
      </c>
      <c r="AE708" s="55">
        <v>0</v>
      </c>
      <c r="AF708" s="55">
        <v>0</v>
      </c>
      <c r="AG708" s="52">
        <f t="shared" si="195"/>
        <v>4.282233441673839E-2</v>
      </c>
      <c r="AH708" s="52"/>
      <c r="AI708" s="52"/>
      <c r="AJ708" s="52"/>
      <c r="AK708" s="28">
        <v>1.448275862068966</v>
      </c>
      <c r="AL708" s="28">
        <v>1.068965517241379</v>
      </c>
      <c r="AM708" s="28">
        <v>6.8965517241379309E-2</v>
      </c>
      <c r="AN708" s="28">
        <v>0.13793103448275859</v>
      </c>
      <c r="AO708" s="28">
        <v>0.53164556962025322</v>
      </c>
      <c r="AP708" s="28">
        <v>0.39240506329113922</v>
      </c>
      <c r="AQ708" s="28">
        <v>2.5316455696202531E-2</v>
      </c>
      <c r="AR708" s="28">
        <v>5.0632911392405063E-2</v>
      </c>
      <c r="AS708" s="25">
        <v>1.1399999999999999</v>
      </c>
      <c r="AT708" s="25">
        <v>3.44</v>
      </c>
      <c r="AU708" s="25">
        <v>2.2999999999999998</v>
      </c>
      <c r="AV708" s="25">
        <v>2.4131034482758622</v>
      </c>
      <c r="AW708">
        <v>2.4131034482758622</v>
      </c>
      <c r="AX708">
        <v>6.7601700132281373</v>
      </c>
      <c r="AY708" s="75"/>
      <c r="AZ708" s="75"/>
      <c r="BA708" s="75"/>
      <c r="BB708">
        <v>2.1411167208369199E-2</v>
      </c>
      <c r="BF708">
        <v>4.282233441673839E-2</v>
      </c>
      <c r="BG708">
        <v>2.1411167208369199E-2</v>
      </c>
      <c r="BH708">
        <v>0</v>
      </c>
      <c r="BI708" s="79" t="s">
        <v>1264</v>
      </c>
      <c r="BJ708" s="79">
        <f t="shared" si="196"/>
        <v>1098</v>
      </c>
      <c r="BK708" s="79">
        <v>12</v>
      </c>
      <c r="BM708" s="79" t="s">
        <v>464</v>
      </c>
      <c r="BN708" s="79" t="s">
        <v>464</v>
      </c>
      <c r="BO708" s="79">
        <v>0</v>
      </c>
      <c r="BQ708" s="79">
        <v>0.5</v>
      </c>
      <c r="BR708" s="79">
        <v>1</v>
      </c>
      <c r="BS708" s="95" t="s">
        <v>464</v>
      </c>
      <c r="BT708" s="95" t="s">
        <v>464</v>
      </c>
      <c r="BU708" s="95" t="s">
        <v>1266</v>
      </c>
      <c r="BV708" s="95">
        <v>125</v>
      </c>
      <c r="BW708" s="95">
        <v>220</v>
      </c>
      <c r="BX708" s="95" t="s">
        <v>1287</v>
      </c>
      <c r="BY708" s="95">
        <f t="shared" si="197"/>
        <v>288</v>
      </c>
      <c r="BZ708" s="81">
        <v>44</v>
      </c>
      <c r="CA708">
        <f t="shared" si="198"/>
        <v>3.784189633918261</v>
      </c>
    </row>
    <row r="709" spans="1:79" x14ac:dyDescent="0.3">
      <c r="A709" s="2" t="s">
        <v>338</v>
      </c>
      <c r="B709" s="18" t="s">
        <v>1011</v>
      </c>
      <c r="C709" s="13"/>
      <c r="D709" s="2">
        <v>3.45</v>
      </c>
      <c r="E709" s="2" t="s">
        <v>319</v>
      </c>
      <c r="F709" s="9">
        <v>-1</v>
      </c>
      <c r="G709">
        <v>-1</v>
      </c>
      <c r="I709" s="2">
        <v>4</v>
      </c>
      <c r="J709" s="25">
        <v>0</v>
      </c>
      <c r="K709">
        <v>0</v>
      </c>
      <c r="L709">
        <v>0</v>
      </c>
      <c r="M709" s="2">
        <v>3.81</v>
      </c>
      <c r="N709" s="2">
        <v>3.81</v>
      </c>
      <c r="O709" s="2">
        <v>65.400000000000006</v>
      </c>
      <c r="P709" s="2" t="s">
        <v>519</v>
      </c>
      <c r="Q709" s="2"/>
      <c r="R709" s="25">
        <v>0</v>
      </c>
      <c r="U709">
        <v>0</v>
      </c>
      <c r="X709">
        <v>0</v>
      </c>
      <c r="AA709" s="2"/>
      <c r="AB709">
        <v>8</v>
      </c>
      <c r="AC709" s="55">
        <f t="shared" si="188"/>
        <v>949.3529400000001</v>
      </c>
      <c r="AD709" s="57">
        <v>0</v>
      </c>
      <c r="AE709" s="55">
        <v>0</v>
      </c>
      <c r="AF709" s="55">
        <v>0</v>
      </c>
      <c r="AG709" s="52">
        <f t="shared" si="195"/>
        <v>3.3707169011347876E-2</v>
      </c>
      <c r="AH709" s="52"/>
      <c r="AI709" s="52"/>
      <c r="AJ709" s="52"/>
      <c r="AK709" s="28">
        <v>1.428571428571429</v>
      </c>
      <c r="AL709" s="28">
        <v>1</v>
      </c>
      <c r="AM709" s="28">
        <v>5.7142857142857141E-2</v>
      </c>
      <c r="AN709" s="28">
        <v>0.1142857142857143</v>
      </c>
      <c r="AO709" s="28">
        <v>0.5494505494505495</v>
      </c>
      <c r="AP709" s="28">
        <v>0.38461538461538458</v>
      </c>
      <c r="AQ709" s="28">
        <v>2.197802197802198E-2</v>
      </c>
      <c r="AR709" s="28">
        <v>4.3956043956043953E-2</v>
      </c>
      <c r="AS709" s="25">
        <v>1.1399999999999999</v>
      </c>
      <c r="AT709" s="25">
        <v>3.44</v>
      </c>
      <c r="AU709" s="25">
        <v>2.2999999999999998</v>
      </c>
      <c r="AV709" s="25">
        <v>2.3965714285714288</v>
      </c>
      <c r="AW709">
        <v>2.3965714285714279</v>
      </c>
      <c r="AX709">
        <v>6.7792399198577131</v>
      </c>
      <c r="AY709" s="75"/>
      <c r="AZ709" s="75"/>
      <c r="BA709" s="75"/>
      <c r="BB709">
        <v>1.6853584505673942E-2</v>
      </c>
      <c r="BF709">
        <v>3.3707169011347883E-2</v>
      </c>
      <c r="BG709">
        <v>1.6853584505673942E-2</v>
      </c>
      <c r="BH709">
        <v>0</v>
      </c>
      <c r="BI709" s="79" t="s">
        <v>1264</v>
      </c>
      <c r="BJ709" s="79">
        <f t="shared" si="196"/>
        <v>1098</v>
      </c>
      <c r="BK709" s="79">
        <v>12</v>
      </c>
      <c r="BM709" s="79" t="s">
        <v>464</v>
      </c>
      <c r="BN709" s="79" t="s">
        <v>464</v>
      </c>
      <c r="BO709" s="79">
        <v>0</v>
      </c>
      <c r="BP709" s="79">
        <v>7.7</v>
      </c>
      <c r="BQ709" s="79">
        <v>0.5</v>
      </c>
      <c r="BR709" s="79">
        <v>1</v>
      </c>
      <c r="BS709" s="95" t="s">
        <v>464</v>
      </c>
      <c r="BT709" s="95" t="s">
        <v>464</v>
      </c>
      <c r="BU709" s="95" t="s">
        <v>1266</v>
      </c>
      <c r="BV709" s="95">
        <v>125</v>
      </c>
      <c r="BW709" s="95">
        <v>220</v>
      </c>
      <c r="BX709" s="95" t="s">
        <v>1287</v>
      </c>
      <c r="BY709" s="95">
        <f t="shared" si="197"/>
        <v>288</v>
      </c>
      <c r="BZ709" s="81">
        <v>44</v>
      </c>
      <c r="CA709">
        <f t="shared" si="198"/>
        <v>3.784189633918261</v>
      </c>
    </row>
    <row r="710" spans="1:79" x14ac:dyDescent="0.3">
      <c r="A710" s="2" t="s">
        <v>339</v>
      </c>
      <c r="B710" s="18" t="s">
        <v>1012</v>
      </c>
      <c r="C710" s="13"/>
      <c r="D710" s="2">
        <v>3.42</v>
      </c>
      <c r="E710" s="2" t="s">
        <v>319</v>
      </c>
      <c r="F710" s="9">
        <v>-1</v>
      </c>
      <c r="G710">
        <v>-1</v>
      </c>
      <c r="I710" s="2">
        <v>4</v>
      </c>
      <c r="J710" s="25">
        <v>0</v>
      </c>
      <c r="K710">
        <v>0</v>
      </c>
      <c r="L710">
        <v>0</v>
      </c>
      <c r="M710" s="2">
        <v>3.71</v>
      </c>
      <c r="N710" s="2">
        <v>3.71</v>
      </c>
      <c r="O710" s="2">
        <v>32</v>
      </c>
      <c r="P710" s="2" t="s">
        <v>519</v>
      </c>
      <c r="Q710" s="2"/>
      <c r="R710" s="25">
        <v>0</v>
      </c>
      <c r="U710">
        <v>0</v>
      </c>
      <c r="X710">
        <v>0</v>
      </c>
      <c r="AA710" s="2"/>
      <c r="AB710">
        <v>10</v>
      </c>
      <c r="AC710" s="55">
        <f t="shared" si="188"/>
        <v>440.45119999999997</v>
      </c>
      <c r="AD710" s="57">
        <v>0</v>
      </c>
      <c r="AE710" s="55">
        <v>0</v>
      </c>
      <c r="AF710" s="55">
        <v>0</v>
      </c>
      <c r="AG710" s="52">
        <f t="shared" si="195"/>
        <v>9.0815963266759184E-2</v>
      </c>
      <c r="AH710" s="52"/>
      <c r="AI710" s="52"/>
      <c r="AJ710" s="52"/>
      <c r="AK710" s="28">
        <v>1.615384615384615</v>
      </c>
      <c r="AL710" s="28">
        <v>1.6923076923076921</v>
      </c>
      <c r="AM710" s="28">
        <v>0.15384615384615391</v>
      </c>
      <c r="AN710" s="28">
        <v>0.30769230769230771</v>
      </c>
      <c r="AO710" s="28">
        <v>0.4285714285714286</v>
      </c>
      <c r="AP710" s="28">
        <v>0.44897959183673469</v>
      </c>
      <c r="AQ710" s="28">
        <v>4.0816326530612249E-2</v>
      </c>
      <c r="AR710" s="28">
        <v>8.1632653061224497E-2</v>
      </c>
      <c r="AS710" s="25">
        <v>1.1399999999999999</v>
      </c>
      <c r="AT710" s="25">
        <v>3.44</v>
      </c>
      <c r="AU710" s="25">
        <v>2.2999999999999998</v>
      </c>
      <c r="AV710" s="25">
        <v>2.571538461538462</v>
      </c>
      <c r="AW710">
        <v>2.571538461538462</v>
      </c>
      <c r="AX710">
        <v>6.623443246558077</v>
      </c>
      <c r="AY710" s="75"/>
      <c r="AZ710" s="75"/>
      <c r="BA710" s="75"/>
      <c r="BB710">
        <v>4.5407981633379592E-2</v>
      </c>
      <c r="BF710">
        <v>9.0815963266759184E-2</v>
      </c>
      <c r="BG710">
        <v>4.5407981633379592E-2</v>
      </c>
      <c r="BH710">
        <v>0</v>
      </c>
      <c r="BI710" s="79" t="s">
        <v>1264</v>
      </c>
      <c r="BJ710" s="79">
        <f t="shared" si="196"/>
        <v>1098</v>
      </c>
      <c r="BK710" s="79">
        <v>12</v>
      </c>
      <c r="BM710" s="79" t="s">
        <v>464</v>
      </c>
      <c r="BN710" s="79" t="s">
        <v>464</v>
      </c>
      <c r="BO710" s="79">
        <v>0</v>
      </c>
      <c r="BP710" s="79">
        <v>5</v>
      </c>
      <c r="BQ710" s="79">
        <v>0.5</v>
      </c>
      <c r="BR710" s="79">
        <v>1</v>
      </c>
      <c r="BS710" s="95" t="s">
        <v>464</v>
      </c>
      <c r="BT710" s="95" t="s">
        <v>464</v>
      </c>
      <c r="BU710" s="95" t="s">
        <v>1266</v>
      </c>
      <c r="BV710" s="95">
        <v>125</v>
      </c>
      <c r="BW710" s="95">
        <v>220</v>
      </c>
      <c r="BX710" s="95" t="s">
        <v>1287</v>
      </c>
      <c r="BY710" s="95">
        <f t="shared" si="197"/>
        <v>288</v>
      </c>
      <c r="BZ710" s="81">
        <v>520</v>
      </c>
      <c r="CA710">
        <f t="shared" si="198"/>
        <v>6.253828811575473</v>
      </c>
    </row>
    <row r="711" spans="1:79" x14ac:dyDescent="0.3">
      <c r="A711" s="2" t="s">
        <v>340</v>
      </c>
      <c r="B711" s="18" t="s">
        <v>1013</v>
      </c>
      <c r="C711" s="13"/>
      <c r="D711" s="2">
        <v>3.39</v>
      </c>
      <c r="E711" s="2" t="s">
        <v>319</v>
      </c>
      <c r="F711" s="9">
        <v>-1</v>
      </c>
      <c r="G711">
        <v>-1</v>
      </c>
      <c r="I711" s="2">
        <v>4</v>
      </c>
      <c r="J711" s="25">
        <v>0</v>
      </c>
      <c r="K711">
        <v>0</v>
      </c>
      <c r="L711">
        <v>0</v>
      </c>
      <c r="M711" s="2">
        <v>3.7</v>
      </c>
      <c r="N711" s="2">
        <v>3.7</v>
      </c>
      <c r="O711" s="2">
        <v>36.4</v>
      </c>
      <c r="P711" s="2" t="s">
        <v>519</v>
      </c>
      <c r="Q711" s="2"/>
      <c r="R711" s="25">
        <v>0</v>
      </c>
      <c r="U711">
        <v>0</v>
      </c>
      <c r="X711">
        <v>0</v>
      </c>
      <c r="AA711" s="2"/>
      <c r="AB711">
        <v>10</v>
      </c>
      <c r="AC711" s="55">
        <f t="shared" si="188"/>
        <v>498.31600000000003</v>
      </c>
      <c r="AD711" s="57">
        <v>0</v>
      </c>
      <c r="AE711" s="55">
        <v>0</v>
      </c>
      <c r="AF711" s="55">
        <v>0</v>
      </c>
      <c r="AG711" s="52">
        <f t="shared" si="195"/>
        <v>8.0270350540620802E-2</v>
      </c>
      <c r="AH711" s="52"/>
      <c r="AI711" s="52"/>
      <c r="AJ711" s="52"/>
      <c r="AK711" s="28">
        <v>1.5625</v>
      </c>
      <c r="AL711" s="28">
        <v>1.5</v>
      </c>
      <c r="AM711" s="28">
        <v>0.125</v>
      </c>
      <c r="AN711" s="28">
        <v>0.25</v>
      </c>
      <c r="AO711" s="28">
        <v>0.45454545454545447</v>
      </c>
      <c r="AP711" s="28">
        <v>0.43636363636363629</v>
      </c>
      <c r="AQ711" s="28">
        <v>3.6363636363636362E-2</v>
      </c>
      <c r="AR711" s="28">
        <v>7.2727272727272724E-2</v>
      </c>
      <c r="AS711" s="25">
        <v>1.1399999999999999</v>
      </c>
      <c r="AT711" s="25">
        <v>3.44</v>
      </c>
      <c r="AU711" s="25">
        <v>2.2999999999999998</v>
      </c>
      <c r="AV711" s="25">
        <v>2.5237500000000002</v>
      </c>
      <c r="AW711">
        <v>2.5237500000000002</v>
      </c>
      <c r="AX711">
        <v>6.6699372256848122</v>
      </c>
      <c r="AY711" s="75"/>
      <c r="AZ711" s="75"/>
      <c r="BA711" s="75"/>
      <c r="BB711">
        <v>4.0135175270310401E-2</v>
      </c>
      <c r="BF711">
        <v>8.0270350540620802E-2</v>
      </c>
      <c r="BG711">
        <v>4.0135175270310401E-2</v>
      </c>
      <c r="BH711">
        <v>0</v>
      </c>
      <c r="BI711" s="79" t="s">
        <v>1264</v>
      </c>
      <c r="BJ711" s="79">
        <f t="shared" si="196"/>
        <v>1098</v>
      </c>
      <c r="BK711" s="79">
        <v>12</v>
      </c>
      <c r="BM711" s="79" t="s">
        <v>464</v>
      </c>
      <c r="BN711" s="79" t="s">
        <v>464</v>
      </c>
      <c r="BO711" s="79">
        <v>0</v>
      </c>
      <c r="BQ711" s="79">
        <v>0.5</v>
      </c>
      <c r="BR711" s="79">
        <v>1</v>
      </c>
      <c r="BS711" s="95" t="s">
        <v>464</v>
      </c>
      <c r="BT711" s="95" t="s">
        <v>464</v>
      </c>
      <c r="BU711" s="95" t="s">
        <v>1266</v>
      </c>
      <c r="BV711" s="95">
        <v>125</v>
      </c>
      <c r="BW711" s="95">
        <v>220</v>
      </c>
      <c r="BX711" s="95" t="s">
        <v>1287</v>
      </c>
      <c r="BY711" s="95">
        <f t="shared" si="197"/>
        <v>288</v>
      </c>
      <c r="BZ711" s="81">
        <v>268</v>
      </c>
      <c r="CA711">
        <f t="shared" si="198"/>
        <v>5.5909869805108565</v>
      </c>
    </row>
    <row r="712" spans="1:79" x14ac:dyDescent="0.3">
      <c r="A712" s="2" t="s">
        <v>341</v>
      </c>
      <c r="B712" s="18" t="s">
        <v>1014</v>
      </c>
      <c r="C712" s="13"/>
      <c r="D712" s="2">
        <v>3.45</v>
      </c>
      <c r="E712" s="2" t="s">
        <v>319</v>
      </c>
      <c r="F712" s="9">
        <v>-1</v>
      </c>
      <c r="G712">
        <v>-1</v>
      </c>
      <c r="I712" s="2">
        <v>4</v>
      </c>
      <c r="J712" s="25">
        <v>0</v>
      </c>
      <c r="K712">
        <v>0</v>
      </c>
      <c r="L712">
        <v>0</v>
      </c>
      <c r="M712" s="2">
        <v>3.72</v>
      </c>
      <c r="N712" s="2">
        <v>3.72</v>
      </c>
      <c r="O712" s="2">
        <v>41.1</v>
      </c>
      <c r="P712" s="2" t="s">
        <v>519</v>
      </c>
      <c r="Q712" s="2"/>
      <c r="R712" s="25">
        <v>0</v>
      </c>
      <c r="U712">
        <v>0</v>
      </c>
      <c r="X712">
        <v>0</v>
      </c>
      <c r="AA712" s="2"/>
      <c r="AB712">
        <v>10</v>
      </c>
      <c r="AC712" s="55">
        <f t="shared" si="188"/>
        <v>568.75824000000011</v>
      </c>
      <c r="AD712" s="57">
        <v>0</v>
      </c>
      <c r="AE712" s="55">
        <v>0</v>
      </c>
      <c r="AF712" s="55">
        <v>0</v>
      </c>
      <c r="AG712" s="52">
        <f t="shared" si="195"/>
        <v>7.0328651414351365E-2</v>
      </c>
      <c r="AH712" s="52"/>
      <c r="AI712" s="52"/>
      <c r="AJ712" s="52"/>
      <c r="AK712" s="28">
        <v>1.5263157894736841</v>
      </c>
      <c r="AL712" s="28">
        <v>1.368421052631579</v>
      </c>
      <c r="AM712" s="28">
        <v>0.10526315789473679</v>
      </c>
      <c r="AN712" s="28">
        <v>0.2105263157894737</v>
      </c>
      <c r="AO712" s="28">
        <v>0.47540983606557369</v>
      </c>
      <c r="AP712" s="28">
        <v>0.42622950819672129</v>
      </c>
      <c r="AQ712" s="28">
        <v>3.2786885245901627E-2</v>
      </c>
      <c r="AR712" s="28">
        <v>6.5573770491803268E-2</v>
      </c>
      <c r="AS712" s="25">
        <v>1.1399999999999999</v>
      </c>
      <c r="AT712" s="25">
        <v>3.44</v>
      </c>
      <c r="AU712" s="25">
        <v>2.2999999999999998</v>
      </c>
      <c r="AV712" s="25">
        <v>2.4910526315789472</v>
      </c>
      <c r="AW712">
        <v>2.4910526315789481</v>
      </c>
      <c r="AX712">
        <v>6.7017488956136306</v>
      </c>
      <c r="AY712" s="75"/>
      <c r="AZ712" s="75"/>
      <c r="BA712" s="75"/>
      <c r="BB712">
        <v>3.5164325707175682E-2</v>
      </c>
      <c r="BF712">
        <v>7.0328651414351365E-2</v>
      </c>
      <c r="BG712">
        <v>3.5164325707175682E-2</v>
      </c>
      <c r="BH712">
        <v>0</v>
      </c>
      <c r="BI712" s="79" t="s">
        <v>1264</v>
      </c>
      <c r="BJ712" s="79">
        <f t="shared" si="196"/>
        <v>1098</v>
      </c>
      <c r="BK712" s="79">
        <v>12</v>
      </c>
      <c r="BM712" s="79" t="s">
        <v>464</v>
      </c>
      <c r="BN712" s="79" t="s">
        <v>464</v>
      </c>
      <c r="BO712" s="79">
        <v>0</v>
      </c>
      <c r="BQ712" s="79">
        <v>0.5</v>
      </c>
      <c r="BR712" s="79">
        <v>1</v>
      </c>
      <c r="BS712" s="95" t="s">
        <v>464</v>
      </c>
      <c r="BT712" s="95" t="s">
        <v>464</v>
      </c>
      <c r="BU712" s="95" t="s">
        <v>1266</v>
      </c>
      <c r="BV712" s="95">
        <v>125</v>
      </c>
      <c r="BW712" s="95">
        <v>220</v>
      </c>
      <c r="BX712" s="95" t="s">
        <v>1287</v>
      </c>
      <c r="BY712" s="95">
        <f t="shared" si="197"/>
        <v>288</v>
      </c>
      <c r="BZ712" s="81">
        <v>131.99999999999997</v>
      </c>
      <c r="CA712">
        <f t="shared" si="198"/>
        <v>4.8828019225863706</v>
      </c>
    </row>
    <row r="713" spans="1:79" x14ac:dyDescent="0.3">
      <c r="A713" s="2" t="s">
        <v>342</v>
      </c>
      <c r="B713" s="18" t="s">
        <v>1015</v>
      </c>
      <c r="C713" s="13"/>
      <c r="D713" s="2">
        <v>3.45</v>
      </c>
      <c r="E713" s="2" t="s">
        <v>319</v>
      </c>
      <c r="F713" s="9">
        <v>-1</v>
      </c>
      <c r="G713">
        <v>-1</v>
      </c>
      <c r="I713" s="2">
        <v>4</v>
      </c>
      <c r="J713" s="25">
        <v>0</v>
      </c>
      <c r="K713">
        <v>0</v>
      </c>
      <c r="L713">
        <v>0</v>
      </c>
      <c r="M713" s="2">
        <v>3.71</v>
      </c>
      <c r="N713" s="2">
        <v>3.71</v>
      </c>
      <c r="O713" s="2">
        <v>44.5</v>
      </c>
      <c r="P713" s="2" t="s">
        <v>519</v>
      </c>
      <c r="Q713" s="2"/>
      <c r="R713" s="25">
        <v>0</v>
      </c>
      <c r="U713">
        <v>0</v>
      </c>
      <c r="X713">
        <v>0</v>
      </c>
      <c r="AA713" s="2"/>
      <c r="AB713">
        <v>10</v>
      </c>
      <c r="AC713" s="55">
        <f t="shared" si="188"/>
        <v>612.50244999999995</v>
      </c>
      <c r="AD713" s="57">
        <v>0</v>
      </c>
      <c r="AE713" s="55">
        <v>0</v>
      </c>
      <c r="AF713" s="55">
        <v>0</v>
      </c>
      <c r="AG713" s="52">
        <f t="shared" si="195"/>
        <v>6.5305861225534695E-2</v>
      </c>
      <c r="AH713" s="52"/>
      <c r="AI713" s="52"/>
      <c r="AJ713" s="52"/>
      <c r="AK713" s="28">
        <v>1.5</v>
      </c>
      <c r="AL713" s="28">
        <v>1.2727272727272729</v>
      </c>
      <c r="AM713" s="28">
        <v>9.0909090909090912E-2</v>
      </c>
      <c r="AN713" s="28">
        <v>0.1818181818181818</v>
      </c>
      <c r="AO713" s="28">
        <v>0.49253731343283591</v>
      </c>
      <c r="AP713" s="28">
        <v>0.41791044776119401</v>
      </c>
      <c r="AQ713" s="28">
        <v>2.9850746268656719E-2</v>
      </c>
      <c r="AR713" s="28">
        <v>5.9701492537313439E-2</v>
      </c>
      <c r="AS713" s="25">
        <v>1.1399999999999999</v>
      </c>
      <c r="AT713" s="25">
        <v>3.44</v>
      </c>
      <c r="AU713" s="25">
        <v>2.2999999999999998</v>
      </c>
      <c r="AV713" s="25">
        <v>2.4672727272727282</v>
      </c>
      <c r="AW713">
        <v>2.4672727272727268</v>
      </c>
      <c r="AX713">
        <v>6.7248846555618629</v>
      </c>
      <c r="AY713" s="75"/>
      <c r="AZ713" s="75"/>
      <c r="BA713" s="75"/>
      <c r="BB713">
        <v>3.2652930612767347E-2</v>
      </c>
      <c r="BF713">
        <v>6.5305861225534695E-2</v>
      </c>
      <c r="BG713">
        <v>3.2652930612767347E-2</v>
      </c>
      <c r="BH713">
        <v>0</v>
      </c>
      <c r="BI713" s="79" t="s">
        <v>1264</v>
      </c>
      <c r="BJ713" s="79">
        <f t="shared" si="196"/>
        <v>1098</v>
      </c>
      <c r="BK713" s="79">
        <v>12</v>
      </c>
      <c r="BM713" s="79" t="s">
        <v>464</v>
      </c>
      <c r="BN713" s="79" t="s">
        <v>464</v>
      </c>
      <c r="BO713" s="79">
        <v>0</v>
      </c>
      <c r="BP713" s="79">
        <v>4</v>
      </c>
      <c r="BQ713" s="79">
        <v>0.5</v>
      </c>
      <c r="BR713" s="79">
        <v>1</v>
      </c>
      <c r="BS713" s="95" t="s">
        <v>464</v>
      </c>
      <c r="BT713" s="95" t="s">
        <v>464</v>
      </c>
      <c r="BU713" s="95" t="s">
        <v>1266</v>
      </c>
      <c r="BV713" s="95">
        <v>125</v>
      </c>
      <c r="BW713" s="95">
        <v>220</v>
      </c>
      <c r="BX713" s="95" t="s">
        <v>1287</v>
      </c>
      <c r="BY713" s="95">
        <f t="shared" si="197"/>
        <v>288</v>
      </c>
      <c r="BZ713" s="81">
        <v>120</v>
      </c>
      <c r="CA713">
        <f t="shared" si="198"/>
        <v>4.7874917427820458</v>
      </c>
    </row>
    <row r="714" spans="1:79" x14ac:dyDescent="0.3">
      <c r="A714" s="2" t="s">
        <v>343</v>
      </c>
      <c r="B714" s="18" t="s">
        <v>1016</v>
      </c>
      <c r="C714" s="13"/>
      <c r="D714" s="2">
        <v>3.41</v>
      </c>
      <c r="E714" s="2" t="s">
        <v>319</v>
      </c>
      <c r="F714" s="9">
        <v>-1</v>
      </c>
      <c r="G714">
        <v>-1</v>
      </c>
      <c r="I714" s="2">
        <v>4</v>
      </c>
      <c r="J714" s="25">
        <v>0</v>
      </c>
      <c r="K714">
        <v>0</v>
      </c>
      <c r="L714">
        <v>0</v>
      </c>
      <c r="M714" s="2">
        <v>3.71</v>
      </c>
      <c r="N714" s="2">
        <v>3.71</v>
      </c>
      <c r="O714" s="2">
        <v>54.9</v>
      </c>
      <c r="P714" s="2" t="s">
        <v>519</v>
      </c>
      <c r="Q714" s="2"/>
      <c r="R714" s="25">
        <v>0</v>
      </c>
      <c r="S714" s="25"/>
      <c r="T714" s="25"/>
      <c r="U714">
        <v>0</v>
      </c>
      <c r="X714">
        <v>0</v>
      </c>
      <c r="AA714" s="2"/>
      <c r="AB714">
        <v>10</v>
      </c>
      <c r="AC714" s="55">
        <f t="shared" si="188"/>
        <v>755.64908999999989</v>
      </c>
      <c r="AD714" s="57">
        <v>0</v>
      </c>
      <c r="AE714" s="55">
        <v>0</v>
      </c>
      <c r="AF714" s="55">
        <v>0</v>
      </c>
      <c r="AG714" s="52">
        <f t="shared" si="195"/>
        <v>5.2934623397746704E-2</v>
      </c>
      <c r="AH714" s="51"/>
      <c r="AI714" s="52"/>
      <c r="AJ714" s="52"/>
      <c r="AK714" s="28">
        <v>1.464285714285714</v>
      </c>
      <c r="AL714" s="28">
        <v>1.142857142857143</v>
      </c>
      <c r="AM714" s="28">
        <v>7.1428571428571425E-2</v>
      </c>
      <c r="AN714" s="28">
        <v>0.14285714285714279</v>
      </c>
      <c r="AO714" s="28">
        <v>0.51898734177215178</v>
      </c>
      <c r="AP714" s="28">
        <v>0.40506329113924039</v>
      </c>
      <c r="AQ714" s="28">
        <v>2.5316455696202531E-2</v>
      </c>
      <c r="AR714" s="28">
        <v>5.0632911392405063E-2</v>
      </c>
      <c r="AS714" s="25">
        <v>1.1399999999999999</v>
      </c>
      <c r="AT714" s="25">
        <v>3.44</v>
      </c>
      <c r="AU714" s="25">
        <v>2.2999999999999998</v>
      </c>
      <c r="AV714" s="25">
        <v>2.4350000000000001</v>
      </c>
      <c r="AW714">
        <v>2.4350000000000001</v>
      </c>
      <c r="AX714">
        <v>6.7562831869201787</v>
      </c>
      <c r="AY714" s="75"/>
      <c r="AZ714" s="75"/>
      <c r="BA714" s="75"/>
      <c r="BB714">
        <v>2.6467311698873348E-2</v>
      </c>
      <c r="BF714">
        <v>5.2934623397746697E-2</v>
      </c>
      <c r="BG714">
        <v>2.6467311698873348E-2</v>
      </c>
      <c r="BH714">
        <v>0</v>
      </c>
      <c r="BI714" s="79" t="s">
        <v>1264</v>
      </c>
      <c r="BJ714" s="79">
        <f t="shared" si="196"/>
        <v>1098</v>
      </c>
      <c r="BK714" s="79">
        <v>12</v>
      </c>
      <c r="BM714" s="79" t="s">
        <v>464</v>
      </c>
      <c r="BN714" s="79" t="s">
        <v>464</v>
      </c>
      <c r="BO714" s="79">
        <v>0</v>
      </c>
      <c r="BQ714" s="79">
        <v>0.5</v>
      </c>
      <c r="BR714" s="79">
        <v>1</v>
      </c>
      <c r="BS714" s="95" t="s">
        <v>464</v>
      </c>
      <c r="BT714" s="95" t="s">
        <v>464</v>
      </c>
      <c r="BU714" s="95" t="s">
        <v>1266</v>
      </c>
      <c r="BV714" s="95">
        <v>125</v>
      </c>
      <c r="BW714" s="95">
        <v>220</v>
      </c>
      <c r="BX714" s="95" t="s">
        <v>1287</v>
      </c>
      <c r="BY714" s="95">
        <f t="shared" si="197"/>
        <v>288</v>
      </c>
      <c r="BZ714" s="81">
        <v>60</v>
      </c>
      <c r="CA714">
        <f t="shared" si="198"/>
        <v>4.0943445622221004</v>
      </c>
    </row>
    <row r="715" spans="1:79" x14ac:dyDescent="0.3">
      <c r="A715" s="2" t="s">
        <v>344</v>
      </c>
      <c r="B715" s="18" t="s">
        <v>1017</v>
      </c>
      <c r="C715" s="13"/>
      <c r="D715" s="2">
        <v>3.41</v>
      </c>
      <c r="E715" s="2" t="s">
        <v>319</v>
      </c>
      <c r="F715" s="9">
        <v>-1</v>
      </c>
      <c r="G715">
        <v>-1</v>
      </c>
      <c r="I715" s="2">
        <v>4</v>
      </c>
      <c r="J715" s="25">
        <v>0</v>
      </c>
      <c r="K715">
        <v>0</v>
      </c>
      <c r="L715">
        <v>0</v>
      </c>
      <c r="M715" s="2">
        <v>3.71</v>
      </c>
      <c r="N715" s="2">
        <v>3.71</v>
      </c>
      <c r="O715" s="2">
        <v>58</v>
      </c>
      <c r="P715" s="2" t="s">
        <v>519</v>
      </c>
      <c r="Q715" s="2"/>
      <c r="R715" s="25">
        <v>0</v>
      </c>
      <c r="S715" s="25"/>
      <c r="T715" s="25"/>
      <c r="U715">
        <v>0</v>
      </c>
      <c r="X715">
        <v>0</v>
      </c>
      <c r="AA715" s="2"/>
      <c r="AB715">
        <v>10</v>
      </c>
      <c r="AC715" s="55">
        <f t="shared" si="188"/>
        <v>798.31779999999992</v>
      </c>
      <c r="AD715" s="57">
        <v>0</v>
      </c>
      <c r="AE715" s="55">
        <v>0</v>
      </c>
      <c r="AF715" s="55">
        <v>0</v>
      </c>
      <c r="AG715" s="52">
        <f t="shared" si="195"/>
        <v>5.010535904372921E-2</v>
      </c>
      <c r="AH715" s="51"/>
      <c r="AI715" s="52"/>
      <c r="AJ715" s="52"/>
      <c r="AK715" s="28">
        <v>1.4411764705882351</v>
      </c>
      <c r="AL715" s="28">
        <v>1.0588235294117649</v>
      </c>
      <c r="AM715" s="28">
        <v>5.8823529411764712E-2</v>
      </c>
      <c r="AN715" s="28">
        <v>0.1176470588235294</v>
      </c>
      <c r="AO715" s="28">
        <v>0.53846153846153855</v>
      </c>
      <c r="AP715" s="28">
        <v>0.39560439560439559</v>
      </c>
      <c r="AQ715" s="28">
        <v>2.197802197802198E-2</v>
      </c>
      <c r="AR715" s="28">
        <v>4.3956043956043959E-2</v>
      </c>
      <c r="AS715" s="25">
        <v>1.1399999999999999</v>
      </c>
      <c r="AT715" s="25">
        <v>3.44</v>
      </c>
      <c r="AU715" s="25">
        <v>2.2999999999999998</v>
      </c>
      <c r="AV715" s="25">
        <v>2.4141176470588239</v>
      </c>
      <c r="AW715">
        <v>2.4141176470588239</v>
      </c>
      <c r="AX715">
        <v>6.776599883681441</v>
      </c>
      <c r="AY715" s="75"/>
      <c r="AZ715" s="75"/>
      <c r="BA715" s="75"/>
      <c r="BB715">
        <v>2.5052679521864601E-2</v>
      </c>
      <c r="BF715">
        <v>5.010535904372921E-2</v>
      </c>
      <c r="BG715">
        <v>2.5052679521864601E-2</v>
      </c>
      <c r="BH715">
        <v>0</v>
      </c>
      <c r="BI715" s="79" t="s">
        <v>1264</v>
      </c>
      <c r="BJ715" s="79">
        <f t="shared" si="196"/>
        <v>1098</v>
      </c>
      <c r="BK715" s="79">
        <v>12</v>
      </c>
      <c r="BM715" s="79" t="s">
        <v>464</v>
      </c>
      <c r="BN715" s="79" t="s">
        <v>464</v>
      </c>
      <c r="BO715" s="79">
        <v>0</v>
      </c>
      <c r="BP715" s="79">
        <v>15</v>
      </c>
      <c r="BQ715" s="79">
        <v>0.5</v>
      </c>
      <c r="BR715" s="79">
        <v>1</v>
      </c>
      <c r="BS715" s="95" t="s">
        <v>464</v>
      </c>
      <c r="BT715" s="95" t="s">
        <v>464</v>
      </c>
      <c r="BU715" s="95" t="s">
        <v>1266</v>
      </c>
      <c r="BV715" s="95">
        <v>125</v>
      </c>
      <c r="BW715" s="95">
        <v>220</v>
      </c>
      <c r="BX715" s="95" t="s">
        <v>1287</v>
      </c>
      <c r="BY715" s="95">
        <f t="shared" si="197"/>
        <v>288</v>
      </c>
      <c r="BZ715" s="81">
        <v>372</v>
      </c>
      <c r="CA715">
        <f t="shared" si="198"/>
        <v>5.9188938542731462</v>
      </c>
    </row>
    <row r="716" spans="1:79" x14ac:dyDescent="0.3">
      <c r="A716" s="2" t="s">
        <v>318</v>
      </c>
      <c r="B716" s="13" t="s">
        <v>832</v>
      </c>
      <c r="C716" s="13"/>
      <c r="D716" s="2">
        <v>3.45</v>
      </c>
      <c r="E716" s="2" t="s">
        <v>319</v>
      </c>
      <c r="F716" s="9">
        <v>-1</v>
      </c>
      <c r="G716">
        <v>-1</v>
      </c>
      <c r="H716" t="s">
        <v>1173</v>
      </c>
      <c r="I716" s="2">
        <v>2</v>
      </c>
      <c r="J716" s="25">
        <v>0</v>
      </c>
      <c r="K716">
        <v>0</v>
      </c>
      <c r="L716">
        <v>2</v>
      </c>
      <c r="M716" s="71">
        <v>3.71</v>
      </c>
      <c r="N716" s="71">
        <v>3.71</v>
      </c>
      <c r="O716" s="71">
        <v>12.2</v>
      </c>
      <c r="P716" s="2" t="s">
        <v>519</v>
      </c>
      <c r="Q716" s="2"/>
      <c r="R716" s="25">
        <v>0</v>
      </c>
      <c r="S716" s="25"/>
      <c r="T716" s="25"/>
      <c r="U716">
        <v>0</v>
      </c>
      <c r="X716">
        <v>3.72</v>
      </c>
      <c r="Y716">
        <v>3.72</v>
      </c>
      <c r="Z716">
        <v>12.3012</v>
      </c>
      <c r="AA716" s="2"/>
      <c r="AB716">
        <v>8</v>
      </c>
      <c r="AC716" s="55">
        <f t="shared" ref="AC716:AC741" si="199">M716*N716*O716</f>
        <v>167.92201999999997</v>
      </c>
      <c r="AD716" s="57">
        <v>0</v>
      </c>
      <c r="AE716" s="55">
        <v>0</v>
      </c>
      <c r="AF716" s="55">
        <v>170.2</v>
      </c>
      <c r="AG716" s="52">
        <f t="shared" ref="AG716:AG741" si="200">I716*AB716/AC716</f>
        <v>9.5282322115944076E-2</v>
      </c>
      <c r="AH716" s="51"/>
      <c r="AI716" s="52"/>
      <c r="AJ716" s="67">
        <f>L716*AB716/AF716</f>
        <v>9.400705052878966E-2</v>
      </c>
      <c r="AK716" s="28">
        <v>1.857142857142857</v>
      </c>
      <c r="AL716" s="28">
        <v>2.285714285714286</v>
      </c>
      <c r="AM716" s="28">
        <v>0.42857142857142849</v>
      </c>
      <c r="AN716" s="28">
        <v>0</v>
      </c>
      <c r="AO716" s="28">
        <v>0.40625000000000011</v>
      </c>
      <c r="AP716" s="28">
        <v>0.5</v>
      </c>
      <c r="AQ716" s="28">
        <v>9.375E-2</v>
      </c>
      <c r="AR716" s="28">
        <v>0</v>
      </c>
      <c r="AS716" s="25">
        <v>1.1000000000000001</v>
      </c>
      <c r="AT716" s="25">
        <v>3.44</v>
      </c>
      <c r="AU716" s="25">
        <v>2.34</v>
      </c>
      <c r="AV716" s="25">
        <v>2.657142857142857</v>
      </c>
      <c r="AW716">
        <v>2.657142857142857</v>
      </c>
      <c r="AX716">
        <v>6.2648417856930001</v>
      </c>
      <c r="AY716" s="75"/>
      <c r="AZ716" s="75"/>
      <c r="BA716" s="75">
        <v>0.51949166816826697</v>
      </c>
      <c r="BB716">
        <v>4.7641161057972038E-2</v>
      </c>
      <c r="BE716">
        <v>4.700352526439483E-2</v>
      </c>
      <c r="BF716">
        <v>9.4644686322366861E-2</v>
      </c>
      <c r="BG716">
        <v>4.7322343161183431E-2</v>
      </c>
      <c r="BH716">
        <v>0.51949166816826697</v>
      </c>
      <c r="BI716" s="79" t="s">
        <v>1264</v>
      </c>
      <c r="BJ716" s="79">
        <f t="shared" si="196"/>
        <v>1098</v>
      </c>
      <c r="BK716" s="79">
        <v>12</v>
      </c>
      <c r="BM716" s="79" t="s">
        <v>1268</v>
      </c>
      <c r="BN716" s="79" t="s">
        <v>863</v>
      </c>
      <c r="BO716" s="79">
        <v>1</v>
      </c>
      <c r="BP716" s="79">
        <v>9.6999999999999993</v>
      </c>
      <c r="BQ716" s="79">
        <v>0.5</v>
      </c>
      <c r="BR716" s="79">
        <v>1</v>
      </c>
      <c r="BS716" s="95" t="s">
        <v>464</v>
      </c>
      <c r="BT716" s="95" t="s">
        <v>464</v>
      </c>
      <c r="BU716" s="95" t="s">
        <v>1266</v>
      </c>
      <c r="BV716" s="95">
        <v>125</v>
      </c>
      <c r="BW716" s="95">
        <v>220</v>
      </c>
      <c r="BX716" s="95" t="s">
        <v>1287</v>
      </c>
      <c r="BY716" s="95">
        <f>273+15</f>
        <v>288</v>
      </c>
      <c r="BZ716" s="81">
        <v>560</v>
      </c>
      <c r="CA716">
        <f t="shared" si="198"/>
        <v>6.3279367837291947</v>
      </c>
    </row>
    <row r="717" spans="1:79" x14ac:dyDescent="0.3">
      <c r="A717" s="2" t="s">
        <v>320</v>
      </c>
      <c r="B717" s="18" t="s">
        <v>994</v>
      </c>
      <c r="C717" s="13"/>
      <c r="D717" s="2">
        <v>3.58</v>
      </c>
      <c r="E717" s="2" t="s">
        <v>319</v>
      </c>
      <c r="F717" s="9">
        <v>-1</v>
      </c>
      <c r="G717">
        <v>-1</v>
      </c>
      <c r="I717" s="2">
        <v>4</v>
      </c>
      <c r="J717" s="25">
        <v>0</v>
      </c>
      <c r="K717">
        <v>0</v>
      </c>
      <c r="L717">
        <v>0</v>
      </c>
      <c r="M717" s="2">
        <v>3.77</v>
      </c>
      <c r="N717" s="2">
        <v>3.77</v>
      </c>
      <c r="O717" s="2">
        <v>33.299999999999997</v>
      </c>
      <c r="P717" s="2" t="s">
        <v>519</v>
      </c>
      <c r="Q717" s="2"/>
      <c r="R717" s="25">
        <v>0</v>
      </c>
      <c r="S717" s="25"/>
      <c r="T717" s="25"/>
      <c r="U717">
        <v>0</v>
      </c>
      <c r="X717">
        <v>0</v>
      </c>
      <c r="AA717" s="2"/>
      <c r="AB717">
        <v>8</v>
      </c>
      <c r="AC717" s="55">
        <f t="shared" si="199"/>
        <v>473.28956999999991</v>
      </c>
      <c r="AD717" s="57">
        <v>0</v>
      </c>
      <c r="AE717" s="55">
        <v>0</v>
      </c>
      <c r="AF717" s="55">
        <v>0</v>
      </c>
      <c r="AG717" s="52">
        <f t="shared" si="200"/>
        <v>6.7611885045343392E-2</v>
      </c>
      <c r="AH717" s="51"/>
      <c r="AI717" s="52"/>
      <c r="AJ717" s="52"/>
      <c r="AK717" s="28">
        <v>1.571428571428571</v>
      </c>
      <c r="AL717" s="28">
        <v>1.5</v>
      </c>
      <c r="AM717" s="28">
        <v>0.2142857142857143</v>
      </c>
      <c r="AN717" s="28">
        <v>0</v>
      </c>
      <c r="AO717" s="28">
        <v>0.47826086956521741</v>
      </c>
      <c r="AP717" s="28">
        <v>0.45652173913043481</v>
      </c>
      <c r="AQ717" s="28">
        <v>6.5217391304347824E-2</v>
      </c>
      <c r="AR717" s="28">
        <v>0</v>
      </c>
      <c r="AS717" s="25">
        <v>1.1000000000000001</v>
      </c>
      <c r="AT717" s="25">
        <v>3.44</v>
      </c>
      <c r="AU717" s="25">
        <v>2.34</v>
      </c>
      <c r="AV717" s="25">
        <v>2.5135714285714279</v>
      </c>
      <c r="AW717">
        <v>2.5135714285714279</v>
      </c>
      <c r="AX717">
        <v>6.6592671289361416</v>
      </c>
      <c r="AY717" s="75"/>
      <c r="AZ717" s="75"/>
      <c r="BA717" s="75"/>
      <c r="BB717">
        <v>3.3805942522671703E-2</v>
      </c>
      <c r="BF717">
        <v>6.7611885045343392E-2</v>
      </c>
      <c r="BG717">
        <v>3.3805942522671703E-2</v>
      </c>
      <c r="BH717">
        <v>0</v>
      </c>
      <c r="BI717" s="79" t="s">
        <v>1264</v>
      </c>
      <c r="BJ717" s="79">
        <f t="shared" si="196"/>
        <v>1098</v>
      </c>
      <c r="BK717" s="79">
        <v>12</v>
      </c>
      <c r="BM717" s="79" t="s">
        <v>1268</v>
      </c>
      <c r="BN717" s="79" t="s">
        <v>863</v>
      </c>
      <c r="BO717" s="79">
        <v>1</v>
      </c>
      <c r="BP717" s="79">
        <v>4</v>
      </c>
      <c r="BQ717" s="79">
        <v>0.5</v>
      </c>
      <c r="BR717" s="79">
        <v>1</v>
      </c>
      <c r="BS717" s="95" t="s">
        <v>464</v>
      </c>
      <c r="BT717" s="95" t="s">
        <v>464</v>
      </c>
      <c r="BU717" s="95" t="s">
        <v>1266</v>
      </c>
      <c r="BV717" s="95">
        <v>125</v>
      </c>
      <c r="BW717" s="95">
        <v>220</v>
      </c>
      <c r="BX717" s="95" t="s">
        <v>1287</v>
      </c>
      <c r="BY717" s="95">
        <f t="shared" si="197"/>
        <v>288</v>
      </c>
      <c r="BZ717" s="81">
        <v>1920</v>
      </c>
      <c r="CA717">
        <f t="shared" si="198"/>
        <v>7.5600804650218274</v>
      </c>
    </row>
    <row r="718" spans="1:79" x14ac:dyDescent="0.3">
      <c r="A718" s="2" t="s">
        <v>321</v>
      </c>
      <c r="B718" s="18" t="s">
        <v>995</v>
      </c>
      <c r="C718" s="13"/>
      <c r="D718" s="2">
        <v>3.48</v>
      </c>
      <c r="E718" s="2" t="s">
        <v>319</v>
      </c>
      <c r="F718" s="9">
        <v>-1</v>
      </c>
      <c r="G718">
        <v>-1</v>
      </c>
      <c r="I718" s="2">
        <v>4</v>
      </c>
      <c r="J718" s="25">
        <v>0</v>
      </c>
      <c r="K718">
        <v>0</v>
      </c>
      <c r="L718">
        <v>0</v>
      </c>
      <c r="M718" s="2">
        <v>3.75</v>
      </c>
      <c r="N718" s="2">
        <v>3.75</v>
      </c>
      <c r="O718" s="2">
        <v>37.299999999999997</v>
      </c>
      <c r="P718" s="2" t="s">
        <v>519</v>
      </c>
      <c r="Q718" s="2"/>
      <c r="R718" s="25">
        <v>0</v>
      </c>
      <c r="S718" s="25"/>
      <c r="T718" s="25"/>
      <c r="U718">
        <v>0</v>
      </c>
      <c r="X718">
        <v>0</v>
      </c>
      <c r="AA718" s="2"/>
      <c r="AB718">
        <v>8</v>
      </c>
      <c r="AC718" s="55">
        <f t="shared" si="199"/>
        <v>524.53125</v>
      </c>
      <c r="AD718" s="57">
        <v>0</v>
      </c>
      <c r="AE718" s="55">
        <v>0</v>
      </c>
      <c r="AF718" s="55">
        <v>0</v>
      </c>
      <c r="AG718" s="52">
        <f t="shared" si="200"/>
        <v>6.1006851355376826E-2</v>
      </c>
      <c r="AH718" s="51"/>
      <c r="AI718" s="52"/>
      <c r="AJ718" s="52"/>
      <c r="AK718" s="28">
        <v>1.529411764705882</v>
      </c>
      <c r="AL718" s="28">
        <v>1.3529411764705881</v>
      </c>
      <c r="AM718" s="28">
        <v>0.1764705882352941</v>
      </c>
      <c r="AN718" s="28">
        <v>0</v>
      </c>
      <c r="AO718" s="28">
        <v>0.5</v>
      </c>
      <c r="AP718" s="28">
        <v>0.44230769230769229</v>
      </c>
      <c r="AQ718" s="28">
        <v>5.7692307692307702E-2</v>
      </c>
      <c r="AR718" s="28">
        <v>0</v>
      </c>
      <c r="AS718" s="25">
        <v>1.1000000000000001</v>
      </c>
      <c r="AT718" s="25">
        <v>3.44</v>
      </c>
      <c r="AU718" s="25">
        <v>2.34</v>
      </c>
      <c r="AV718" s="25">
        <v>2.4788235294117649</v>
      </c>
      <c r="AW718">
        <v>2.4788235294117649</v>
      </c>
      <c r="AX718">
        <v>6.6967043065181171</v>
      </c>
      <c r="AY718" s="75"/>
      <c r="AZ718" s="75"/>
      <c r="BA718" s="75"/>
      <c r="BB718">
        <v>3.050342567768841E-2</v>
      </c>
      <c r="BF718">
        <v>6.1006851355376833E-2</v>
      </c>
      <c r="BG718">
        <v>3.050342567768841E-2</v>
      </c>
      <c r="BH718">
        <v>0</v>
      </c>
      <c r="BI718" s="79" t="s">
        <v>1264</v>
      </c>
      <c r="BJ718" s="79">
        <f t="shared" si="196"/>
        <v>1098</v>
      </c>
      <c r="BK718" s="79">
        <v>12</v>
      </c>
      <c r="BM718" s="79" t="s">
        <v>1268</v>
      </c>
      <c r="BN718" s="79" t="s">
        <v>863</v>
      </c>
      <c r="BO718" s="79">
        <v>1</v>
      </c>
      <c r="BQ718" s="79">
        <v>0.5</v>
      </c>
      <c r="BR718" s="79">
        <v>1</v>
      </c>
      <c r="BS718" s="95" t="s">
        <v>464</v>
      </c>
      <c r="BT718" s="95" t="s">
        <v>464</v>
      </c>
      <c r="BU718" s="95" t="s">
        <v>1266</v>
      </c>
      <c r="BV718" s="95">
        <v>125</v>
      </c>
      <c r="BW718" s="95">
        <v>220</v>
      </c>
      <c r="BX718" s="95" t="s">
        <v>1287</v>
      </c>
      <c r="BY718" s="95">
        <f t="shared" si="197"/>
        <v>288</v>
      </c>
      <c r="BZ718" s="81">
        <v>3920</v>
      </c>
      <c r="CA718">
        <f t="shared" si="198"/>
        <v>8.2738469327845081</v>
      </c>
    </row>
    <row r="719" spans="1:79" x14ac:dyDescent="0.3">
      <c r="A719" s="2" t="s">
        <v>322</v>
      </c>
      <c r="B719" s="18" t="s">
        <v>996</v>
      </c>
      <c r="C719" s="13"/>
      <c r="D719" s="2">
        <v>3.5</v>
      </c>
      <c r="E719" s="2" t="s">
        <v>319</v>
      </c>
      <c r="F719" s="9">
        <v>-1</v>
      </c>
      <c r="G719">
        <v>-1</v>
      </c>
      <c r="I719" s="2">
        <v>4</v>
      </c>
      <c r="J719" s="25">
        <v>0</v>
      </c>
      <c r="K719">
        <v>0</v>
      </c>
      <c r="L719">
        <v>0</v>
      </c>
      <c r="M719" s="2">
        <v>3.76</v>
      </c>
      <c r="N719" s="2">
        <v>3.76</v>
      </c>
      <c r="O719" s="2">
        <v>41.2</v>
      </c>
      <c r="P719" s="2" t="s">
        <v>519</v>
      </c>
      <c r="Q719" s="2"/>
      <c r="R719" s="25">
        <v>0</v>
      </c>
      <c r="S719" s="25"/>
      <c r="T719" s="25"/>
      <c r="U719">
        <v>0</v>
      </c>
      <c r="X719">
        <v>0</v>
      </c>
      <c r="AA719" s="2"/>
      <c r="AB719">
        <v>8</v>
      </c>
      <c r="AC719" s="55">
        <f t="shared" si="199"/>
        <v>582.46911999999998</v>
      </c>
      <c r="AD719" s="57">
        <v>0</v>
      </c>
      <c r="AE719" s="55">
        <v>0</v>
      </c>
      <c r="AF719" s="55">
        <v>0</v>
      </c>
      <c r="AG719" s="52">
        <f t="shared" si="200"/>
        <v>5.4938534767302344E-2</v>
      </c>
      <c r="AH719" s="51"/>
      <c r="AI719" s="52"/>
      <c r="AJ719" s="52"/>
      <c r="AK719" s="28">
        <v>1.5</v>
      </c>
      <c r="AL719" s="28">
        <v>1.25</v>
      </c>
      <c r="AM719" s="28">
        <v>0.15</v>
      </c>
      <c r="AN719" s="28">
        <v>0</v>
      </c>
      <c r="AO719" s="28">
        <v>0.51724137931034486</v>
      </c>
      <c r="AP719" s="28">
        <v>0.43103448275862072</v>
      </c>
      <c r="AQ719" s="28">
        <v>5.1724137931034482E-2</v>
      </c>
      <c r="AR719" s="28">
        <v>0</v>
      </c>
      <c r="AS719" s="25">
        <v>1.1000000000000001</v>
      </c>
      <c r="AT719" s="25">
        <v>3.44</v>
      </c>
      <c r="AU719" s="25">
        <v>2.34</v>
      </c>
      <c r="AV719" s="25">
        <v>2.4544999999999999</v>
      </c>
      <c r="AW719">
        <v>2.4544999999999999</v>
      </c>
      <c r="AX719">
        <v>6.7229103308255</v>
      </c>
      <c r="AY719" s="75"/>
      <c r="AZ719" s="75"/>
      <c r="BA719" s="75"/>
      <c r="BB719">
        <v>2.7469267383651168E-2</v>
      </c>
      <c r="BF719">
        <v>5.4938534767302337E-2</v>
      </c>
      <c r="BG719">
        <v>2.7469267383651168E-2</v>
      </c>
      <c r="BH719">
        <v>0</v>
      </c>
      <c r="BI719" s="79" t="s">
        <v>1264</v>
      </c>
      <c r="BJ719" s="79">
        <f t="shared" si="196"/>
        <v>1098</v>
      </c>
      <c r="BK719" s="79">
        <v>12</v>
      </c>
      <c r="BM719" s="79" t="s">
        <v>1268</v>
      </c>
      <c r="BN719" s="79" t="s">
        <v>863</v>
      </c>
      <c r="BO719" s="79">
        <v>1</v>
      </c>
      <c r="BQ719" s="79">
        <v>0.5</v>
      </c>
      <c r="BR719" s="79">
        <v>1</v>
      </c>
      <c r="BS719" s="95" t="s">
        <v>464</v>
      </c>
      <c r="BT719" s="95" t="s">
        <v>464</v>
      </c>
      <c r="BU719" s="95" t="s">
        <v>1266</v>
      </c>
      <c r="BV719" s="95">
        <v>125</v>
      </c>
      <c r="BW719" s="95">
        <v>220</v>
      </c>
      <c r="BX719" s="95" t="s">
        <v>1287</v>
      </c>
      <c r="BY719" s="95">
        <f t="shared" si="197"/>
        <v>288</v>
      </c>
      <c r="BZ719" s="81">
        <v>2800</v>
      </c>
      <c r="CA719">
        <f t="shared" si="198"/>
        <v>7.9373746961632952</v>
      </c>
    </row>
    <row r="720" spans="1:79" x14ac:dyDescent="0.3">
      <c r="A720" s="2" t="s">
        <v>323</v>
      </c>
      <c r="B720" s="18" t="s">
        <v>997</v>
      </c>
      <c r="C720" s="13"/>
      <c r="D720" s="2">
        <v>3.61</v>
      </c>
      <c r="E720" s="2" t="s">
        <v>319</v>
      </c>
      <c r="F720" s="9">
        <v>-1</v>
      </c>
      <c r="G720">
        <v>-1</v>
      </c>
      <c r="I720" s="2">
        <v>4</v>
      </c>
      <c r="J720" s="25">
        <v>0</v>
      </c>
      <c r="K720">
        <v>0</v>
      </c>
      <c r="L720">
        <v>0</v>
      </c>
      <c r="M720" s="2">
        <v>3.76</v>
      </c>
      <c r="N720" s="2">
        <v>3.76</v>
      </c>
      <c r="O720" s="2">
        <v>47.8</v>
      </c>
      <c r="P720" s="2" t="s">
        <v>519</v>
      </c>
      <c r="Q720" s="2"/>
      <c r="R720" s="25">
        <v>0</v>
      </c>
      <c r="S720" s="25"/>
      <c r="T720" s="25"/>
      <c r="U720">
        <v>0</v>
      </c>
      <c r="X720">
        <v>0</v>
      </c>
      <c r="AA720" s="2"/>
      <c r="AB720">
        <v>8</v>
      </c>
      <c r="AC720" s="55">
        <f t="shared" si="199"/>
        <v>675.77727999999991</v>
      </c>
      <c r="AD720" s="57">
        <v>0</v>
      </c>
      <c r="AE720" s="55">
        <v>0</v>
      </c>
      <c r="AF720" s="55">
        <v>0</v>
      </c>
      <c r="AG720" s="52">
        <f t="shared" si="200"/>
        <v>4.7352879339181107E-2</v>
      </c>
      <c r="AH720" s="51"/>
      <c r="AI720" s="52"/>
      <c r="AJ720" s="52"/>
      <c r="AK720" s="28">
        <v>1.4782608695652171</v>
      </c>
      <c r="AL720" s="28">
        <v>1.173913043478261</v>
      </c>
      <c r="AM720" s="28">
        <v>0.13043478260869559</v>
      </c>
      <c r="AN720" s="28">
        <v>0</v>
      </c>
      <c r="AO720" s="28">
        <v>0.53125</v>
      </c>
      <c r="AP720" s="28">
        <v>0.42187500000000011</v>
      </c>
      <c r="AQ720" s="28">
        <v>4.6875E-2</v>
      </c>
      <c r="AR720" s="28">
        <v>0</v>
      </c>
      <c r="AS720" s="25">
        <v>1.1000000000000001</v>
      </c>
      <c r="AT720" s="25">
        <v>3.44</v>
      </c>
      <c r="AU720" s="25">
        <v>2.34</v>
      </c>
      <c r="AV720" s="25">
        <v>2.436521739130435</v>
      </c>
      <c r="AW720">
        <v>2.436521739130435</v>
      </c>
      <c r="AX720">
        <v>6.7422800009657378</v>
      </c>
      <c r="AY720" s="75"/>
      <c r="AZ720" s="75"/>
      <c r="BA720" s="75"/>
      <c r="BB720">
        <v>2.367643966959055E-2</v>
      </c>
      <c r="BF720">
        <v>4.7352879339181107E-2</v>
      </c>
      <c r="BG720">
        <v>2.367643966959055E-2</v>
      </c>
      <c r="BH720">
        <v>0</v>
      </c>
      <c r="BI720" s="79" t="s">
        <v>1264</v>
      </c>
      <c r="BJ720" s="79">
        <f t="shared" si="196"/>
        <v>1098</v>
      </c>
      <c r="BK720" s="79">
        <v>12</v>
      </c>
      <c r="BM720" s="79" t="s">
        <v>1268</v>
      </c>
      <c r="BN720" s="79" t="s">
        <v>863</v>
      </c>
      <c r="BO720" s="79">
        <v>1</v>
      </c>
      <c r="BP720" s="79">
        <v>2.6</v>
      </c>
      <c r="BQ720" s="79">
        <v>0.5</v>
      </c>
      <c r="BR720" s="79">
        <v>1</v>
      </c>
      <c r="BS720" s="95" t="s">
        <v>464</v>
      </c>
      <c r="BT720" s="95" t="s">
        <v>464</v>
      </c>
      <c r="BU720" s="95" t="s">
        <v>1266</v>
      </c>
      <c r="BV720" s="95">
        <v>125</v>
      </c>
      <c r="BW720" s="95">
        <v>220</v>
      </c>
      <c r="BX720" s="95" t="s">
        <v>1287</v>
      </c>
      <c r="BY720" s="95">
        <f t="shared" si="197"/>
        <v>288</v>
      </c>
      <c r="BZ720" s="81">
        <v>2280</v>
      </c>
      <c r="CA720">
        <f t="shared" si="198"/>
        <v>7.7319307219484861</v>
      </c>
    </row>
    <row r="721" spans="1:79" x14ac:dyDescent="0.3">
      <c r="A721" s="2" t="s">
        <v>324</v>
      </c>
      <c r="B721" s="18" t="s">
        <v>999</v>
      </c>
      <c r="C721" s="13"/>
      <c r="D721" s="2">
        <v>3.47</v>
      </c>
      <c r="E721" s="2" t="s">
        <v>319</v>
      </c>
      <c r="F721" s="9">
        <v>-1</v>
      </c>
      <c r="G721">
        <v>-1</v>
      </c>
      <c r="I721" s="2">
        <v>4</v>
      </c>
      <c r="J721" s="25">
        <v>0</v>
      </c>
      <c r="K721">
        <v>0</v>
      </c>
      <c r="L721">
        <v>0</v>
      </c>
      <c r="M721" s="2">
        <v>3.76</v>
      </c>
      <c r="N721" s="2">
        <v>3.76</v>
      </c>
      <c r="O721" s="2">
        <v>54.9</v>
      </c>
      <c r="P721" s="2" t="s">
        <v>519</v>
      </c>
      <c r="Q721" s="2"/>
      <c r="R721" s="25">
        <v>0</v>
      </c>
      <c r="S721" s="25"/>
      <c r="T721" s="25"/>
      <c r="U721">
        <v>0</v>
      </c>
      <c r="X721">
        <v>0</v>
      </c>
      <c r="AA721" s="2"/>
      <c r="AB721">
        <v>8</v>
      </c>
      <c r="AC721" s="55">
        <f t="shared" si="199"/>
        <v>776.15423999999996</v>
      </c>
      <c r="AD721" s="57">
        <v>0</v>
      </c>
      <c r="AE721" s="55">
        <v>0</v>
      </c>
      <c r="AF721" s="55">
        <v>0</v>
      </c>
      <c r="AG721" s="52">
        <f t="shared" si="200"/>
        <v>4.1228918623185E-2</v>
      </c>
      <c r="AH721" s="51"/>
      <c r="AI721" s="52"/>
      <c r="AJ721" s="52"/>
      <c r="AK721" s="28">
        <v>1.448275862068966</v>
      </c>
      <c r="AL721" s="28">
        <v>1.068965517241379</v>
      </c>
      <c r="AM721" s="28">
        <v>0.10344827586206901</v>
      </c>
      <c r="AN721" s="28">
        <v>0</v>
      </c>
      <c r="AO721" s="28">
        <v>0.55263157894736847</v>
      </c>
      <c r="AP721" s="28">
        <v>0.40789473684210531</v>
      </c>
      <c r="AQ721" s="28">
        <v>3.9473684210526307E-2</v>
      </c>
      <c r="AR721" s="28">
        <v>0</v>
      </c>
      <c r="AS721" s="25">
        <v>1.1000000000000001</v>
      </c>
      <c r="AT721" s="25">
        <v>3.44</v>
      </c>
      <c r="AU721" s="25">
        <v>2.34</v>
      </c>
      <c r="AV721" s="25">
        <v>2.411724137931035</v>
      </c>
      <c r="AW721">
        <v>2.4117241379310341</v>
      </c>
      <c r="AX721">
        <v>6.7689967873660688</v>
      </c>
      <c r="AY721" s="75"/>
      <c r="AZ721" s="75"/>
      <c r="BA721" s="75"/>
      <c r="BB721">
        <v>2.06144593115925E-2</v>
      </c>
      <c r="BF721">
        <v>4.1228918623185E-2</v>
      </c>
      <c r="BG721">
        <v>2.06144593115925E-2</v>
      </c>
      <c r="BH721">
        <v>0</v>
      </c>
      <c r="BI721" s="79" t="s">
        <v>1264</v>
      </c>
      <c r="BJ721" s="79">
        <f t="shared" si="196"/>
        <v>1098</v>
      </c>
      <c r="BK721" s="79">
        <v>12</v>
      </c>
      <c r="BM721" s="79" t="s">
        <v>1268</v>
      </c>
      <c r="BN721" s="79" t="s">
        <v>863</v>
      </c>
      <c r="BO721" s="79">
        <v>1</v>
      </c>
      <c r="BQ721" s="79">
        <v>0.5</v>
      </c>
      <c r="BR721" s="79">
        <v>1</v>
      </c>
      <c r="BS721" s="95" t="s">
        <v>464</v>
      </c>
      <c r="BT721" s="95" t="s">
        <v>464</v>
      </c>
      <c r="BU721" s="95" t="s">
        <v>1266</v>
      </c>
      <c r="BV721" s="95">
        <v>125</v>
      </c>
      <c r="BW721" s="95">
        <v>220</v>
      </c>
      <c r="BX721" s="95" t="s">
        <v>1287</v>
      </c>
      <c r="BY721" s="95">
        <f t="shared" si="197"/>
        <v>288</v>
      </c>
      <c r="BZ721" s="81">
        <v>3640</v>
      </c>
      <c r="CA721">
        <f t="shared" si="198"/>
        <v>8.1997389606307856</v>
      </c>
    </row>
    <row r="722" spans="1:79" x14ac:dyDescent="0.3">
      <c r="A722" s="2" t="s">
        <v>325</v>
      </c>
      <c r="B722" s="18" t="s">
        <v>998</v>
      </c>
      <c r="C722" s="13"/>
      <c r="D722" s="2">
        <v>3.49</v>
      </c>
      <c r="E722" s="2" t="s">
        <v>319</v>
      </c>
      <c r="F722" s="9">
        <v>-1</v>
      </c>
      <c r="G722">
        <v>-1</v>
      </c>
      <c r="I722" s="2">
        <v>4</v>
      </c>
      <c r="J722" s="25">
        <v>0</v>
      </c>
      <c r="K722">
        <v>0</v>
      </c>
      <c r="L722">
        <v>0</v>
      </c>
      <c r="M722" s="2">
        <v>3.78</v>
      </c>
      <c r="N722" s="2">
        <v>3.78</v>
      </c>
      <c r="O722" s="2">
        <v>66.3</v>
      </c>
      <c r="P722" s="2" t="s">
        <v>519</v>
      </c>
      <c r="Q722" s="2"/>
      <c r="R722" s="25">
        <v>0</v>
      </c>
      <c r="S722" s="25"/>
      <c r="T722" s="25"/>
      <c r="U722">
        <v>0</v>
      </c>
      <c r="X722">
        <v>0</v>
      </c>
      <c r="AA722" s="2"/>
      <c r="AB722">
        <v>8</v>
      </c>
      <c r="AC722" s="55">
        <f t="shared" si="199"/>
        <v>947.32091999999989</v>
      </c>
      <c r="AD722" s="57">
        <v>0</v>
      </c>
      <c r="AE722" s="55">
        <v>0</v>
      </c>
      <c r="AF722" s="55">
        <v>0</v>
      </c>
      <c r="AG722" s="52">
        <f t="shared" si="200"/>
        <v>3.3779471480477816E-2</v>
      </c>
      <c r="AH722" s="51"/>
      <c r="AI722" s="52"/>
      <c r="AJ722" s="52"/>
      <c r="AK722" s="28">
        <v>1.428571428571429</v>
      </c>
      <c r="AL722" s="28">
        <v>1</v>
      </c>
      <c r="AM722" s="28">
        <v>8.5714285714285715E-2</v>
      </c>
      <c r="AN722" s="28">
        <v>0</v>
      </c>
      <c r="AO722" s="28">
        <v>0.56818181818181823</v>
      </c>
      <c r="AP722" s="28">
        <v>0.39772727272727282</v>
      </c>
      <c r="AQ722" s="28">
        <v>3.4090909090909102E-2</v>
      </c>
      <c r="AR722" s="28">
        <v>0</v>
      </c>
      <c r="AS722" s="25">
        <v>1.1000000000000001</v>
      </c>
      <c r="AT722" s="25">
        <v>3.44</v>
      </c>
      <c r="AU722" s="25">
        <v>2.34</v>
      </c>
      <c r="AV722" s="25">
        <v>2.3954285714285719</v>
      </c>
      <c r="AW722">
        <v>2.395428571428571</v>
      </c>
      <c r="AX722">
        <v>6.7865535327148558</v>
      </c>
      <c r="AY722" s="75"/>
      <c r="AZ722" s="75"/>
      <c r="BA722" s="75"/>
      <c r="BB722">
        <v>1.6889735740238911E-2</v>
      </c>
      <c r="BF722">
        <v>3.3779471480477823E-2</v>
      </c>
      <c r="BG722">
        <v>1.6889735740238911E-2</v>
      </c>
      <c r="BH722">
        <v>0</v>
      </c>
      <c r="BI722" s="79" t="s">
        <v>1264</v>
      </c>
      <c r="BJ722" s="79">
        <f t="shared" si="196"/>
        <v>1098</v>
      </c>
      <c r="BK722" s="79">
        <v>12</v>
      </c>
      <c r="BM722" s="79" t="s">
        <v>1268</v>
      </c>
      <c r="BN722" s="79" t="s">
        <v>863</v>
      </c>
      <c r="BO722" s="79">
        <v>1</v>
      </c>
      <c r="BP722" s="79">
        <v>15</v>
      </c>
      <c r="BQ722" s="79">
        <v>0.5</v>
      </c>
      <c r="BR722" s="79">
        <v>1</v>
      </c>
      <c r="BS722" s="95" t="s">
        <v>464</v>
      </c>
      <c r="BT722" s="95" t="s">
        <v>464</v>
      </c>
      <c r="BU722" s="95" t="s">
        <v>1266</v>
      </c>
      <c r="BV722" s="95">
        <v>125</v>
      </c>
      <c r="BW722" s="95">
        <v>220</v>
      </c>
      <c r="BX722" s="95" t="s">
        <v>1287</v>
      </c>
      <c r="BY722" s="95">
        <f t="shared" si="197"/>
        <v>288</v>
      </c>
      <c r="BZ722" s="81">
        <v>2880</v>
      </c>
      <c r="CA722">
        <f t="shared" si="198"/>
        <v>7.965545573129992</v>
      </c>
    </row>
    <row r="723" spans="1:79" x14ac:dyDescent="0.3">
      <c r="A723" s="2" t="s">
        <v>326</v>
      </c>
      <c r="B723" s="18" t="s">
        <v>1005</v>
      </c>
      <c r="C723" s="13"/>
      <c r="D723" s="2">
        <v>3.47</v>
      </c>
      <c r="E723" s="2" t="s">
        <v>319</v>
      </c>
      <c r="F723" s="9">
        <v>-1</v>
      </c>
      <c r="G723">
        <v>-1</v>
      </c>
      <c r="I723" s="2">
        <v>4</v>
      </c>
      <c r="J723" s="25">
        <v>0</v>
      </c>
      <c r="K723">
        <v>0</v>
      </c>
      <c r="L723">
        <v>0</v>
      </c>
      <c r="M723" s="2">
        <v>3.72</v>
      </c>
      <c r="N723" s="2">
        <v>3.72</v>
      </c>
      <c r="O723" s="2">
        <v>32.299999999999997</v>
      </c>
      <c r="P723" s="2" t="s">
        <v>519</v>
      </c>
      <c r="Q723" s="2"/>
      <c r="R723" s="25">
        <v>0</v>
      </c>
      <c r="S723" s="25"/>
      <c r="T723" s="25"/>
      <c r="U723">
        <v>0</v>
      </c>
      <c r="X723">
        <v>0</v>
      </c>
      <c r="AA723" s="2"/>
      <c r="AB723">
        <v>10</v>
      </c>
      <c r="AC723" s="55">
        <f t="shared" si="199"/>
        <v>446.98032000000001</v>
      </c>
      <c r="AD723" s="57">
        <v>0</v>
      </c>
      <c r="AE723" s="55">
        <v>0</v>
      </c>
      <c r="AF723" s="55">
        <v>0</v>
      </c>
      <c r="AG723" s="52">
        <f t="shared" si="200"/>
        <v>8.9489398548911497E-2</v>
      </c>
      <c r="AH723" s="51"/>
      <c r="AI723" s="52"/>
      <c r="AJ723" s="52"/>
      <c r="AK723" s="28">
        <v>1.615384615384615</v>
      </c>
      <c r="AL723" s="28">
        <v>1.6923076923076921</v>
      </c>
      <c r="AM723" s="28">
        <v>0.23076923076923081</v>
      </c>
      <c r="AN723" s="28">
        <v>0</v>
      </c>
      <c r="AO723" s="28">
        <v>0.45652173913043481</v>
      </c>
      <c r="AP723" s="28">
        <v>0.47826086956521741</v>
      </c>
      <c r="AQ723" s="28">
        <v>6.5217391304347838E-2</v>
      </c>
      <c r="AR723" s="28">
        <v>0</v>
      </c>
      <c r="AS723" s="25">
        <v>1.1000000000000001</v>
      </c>
      <c r="AT723" s="25">
        <v>3.44</v>
      </c>
      <c r="AU723" s="25">
        <v>2.34</v>
      </c>
      <c r="AV723" s="25">
        <v>2.568461538461539</v>
      </c>
      <c r="AW723">
        <v>2.568461538461539</v>
      </c>
      <c r="AX723">
        <v>6.6431337427119228</v>
      </c>
      <c r="AY723" s="75"/>
      <c r="AZ723" s="75"/>
      <c r="BA723" s="75"/>
      <c r="BB723">
        <v>4.4744699274455749E-2</v>
      </c>
      <c r="BF723">
        <v>8.9489398548911497E-2</v>
      </c>
      <c r="BG723">
        <v>4.4744699274455749E-2</v>
      </c>
      <c r="BH723">
        <v>0</v>
      </c>
      <c r="BI723" s="79" t="s">
        <v>1264</v>
      </c>
      <c r="BJ723" s="79">
        <f t="shared" si="196"/>
        <v>1098</v>
      </c>
      <c r="BK723" s="79">
        <v>12</v>
      </c>
      <c r="BM723" s="79" t="s">
        <v>1268</v>
      </c>
      <c r="BN723" s="79" t="s">
        <v>863</v>
      </c>
      <c r="BO723" s="79">
        <v>1</v>
      </c>
      <c r="BP723" s="79">
        <v>17</v>
      </c>
      <c r="BQ723" s="79">
        <v>0.5</v>
      </c>
      <c r="BR723" s="79">
        <v>1</v>
      </c>
      <c r="BS723" s="95" t="s">
        <v>464</v>
      </c>
      <c r="BT723" s="95" t="s">
        <v>464</v>
      </c>
      <c r="BU723" s="95" t="s">
        <v>1266</v>
      </c>
      <c r="BV723" s="95">
        <v>125</v>
      </c>
      <c r="BW723" s="95">
        <v>220</v>
      </c>
      <c r="BX723" s="95" t="s">
        <v>1287</v>
      </c>
      <c r="BY723" s="95">
        <f t="shared" si="197"/>
        <v>288</v>
      </c>
      <c r="BZ723" s="81">
        <v>4000</v>
      </c>
      <c r="CA723">
        <f t="shared" si="198"/>
        <v>8.2940496401020276</v>
      </c>
    </row>
    <row r="724" spans="1:79" x14ac:dyDescent="0.3">
      <c r="A724" s="2" t="s">
        <v>327</v>
      </c>
      <c r="B724" s="18" t="s">
        <v>1004</v>
      </c>
      <c r="C724" s="13"/>
      <c r="D724" s="2">
        <v>3.47</v>
      </c>
      <c r="E724" s="2" t="s">
        <v>319</v>
      </c>
      <c r="F724" s="9">
        <v>-1</v>
      </c>
      <c r="G724">
        <v>-1</v>
      </c>
      <c r="I724" s="2">
        <v>4</v>
      </c>
      <c r="J724" s="25">
        <v>0</v>
      </c>
      <c r="K724">
        <v>0</v>
      </c>
      <c r="L724">
        <v>0</v>
      </c>
      <c r="M724" s="2">
        <v>3.72</v>
      </c>
      <c r="N724" s="2">
        <v>3.72</v>
      </c>
      <c r="O724" s="2">
        <v>36.6</v>
      </c>
      <c r="P724" s="2" t="s">
        <v>519</v>
      </c>
      <c r="Q724" s="2"/>
      <c r="R724" s="25">
        <v>0</v>
      </c>
      <c r="U724">
        <v>0</v>
      </c>
      <c r="X724">
        <v>0</v>
      </c>
      <c r="AA724" s="2"/>
      <c r="AB724">
        <v>10</v>
      </c>
      <c r="AC724" s="55">
        <f t="shared" si="199"/>
        <v>506.4854400000001</v>
      </c>
      <c r="AD724" s="57">
        <v>0</v>
      </c>
      <c r="AE724" s="55">
        <v>0</v>
      </c>
      <c r="AF724" s="55">
        <v>0</v>
      </c>
      <c r="AG724" s="52">
        <f t="shared" si="200"/>
        <v>7.8975616752181454E-2</v>
      </c>
      <c r="AH724" s="52"/>
      <c r="AI724" s="52"/>
      <c r="AJ724" s="52"/>
      <c r="AK724" s="28">
        <v>1.5625</v>
      </c>
      <c r="AL724" s="28">
        <v>1.5</v>
      </c>
      <c r="AM724" s="28">
        <v>0.1875</v>
      </c>
      <c r="AN724" s="28">
        <v>0</v>
      </c>
      <c r="AO724" s="28">
        <v>0.48076923076923078</v>
      </c>
      <c r="AP724" s="28">
        <v>0.46153846153846162</v>
      </c>
      <c r="AQ724" s="28">
        <v>5.7692307692307702E-2</v>
      </c>
      <c r="AR724" s="28">
        <v>0</v>
      </c>
      <c r="AS724" s="25">
        <v>1.1000000000000001</v>
      </c>
      <c r="AT724" s="25">
        <v>3.44</v>
      </c>
      <c r="AU724" s="25">
        <v>2.34</v>
      </c>
      <c r="AV724" s="25">
        <v>2.5212500000000002</v>
      </c>
      <c r="AW724">
        <v>2.5212500000000002</v>
      </c>
      <c r="AX724">
        <v>6.6859357538098134</v>
      </c>
      <c r="AY724" s="75"/>
      <c r="AZ724" s="75"/>
      <c r="BA724" s="75"/>
      <c r="BB724">
        <v>3.9487808376090727E-2</v>
      </c>
      <c r="BF724">
        <v>7.8975616752181454E-2</v>
      </c>
      <c r="BG724">
        <v>3.9487808376090727E-2</v>
      </c>
      <c r="BH724">
        <v>0</v>
      </c>
      <c r="BI724" s="79" t="s">
        <v>1264</v>
      </c>
      <c r="BJ724" s="79">
        <f t="shared" si="196"/>
        <v>1098</v>
      </c>
      <c r="BK724" s="79">
        <v>12</v>
      </c>
      <c r="BM724" s="79" t="s">
        <v>1268</v>
      </c>
      <c r="BN724" s="79" t="s">
        <v>863</v>
      </c>
      <c r="BO724" s="79">
        <v>1</v>
      </c>
      <c r="BQ724" s="79">
        <v>0.5</v>
      </c>
      <c r="BR724" s="79">
        <v>1</v>
      </c>
      <c r="BS724" s="95" t="s">
        <v>464</v>
      </c>
      <c r="BT724" s="95" t="s">
        <v>464</v>
      </c>
      <c r="BU724" s="95" t="s">
        <v>1266</v>
      </c>
      <c r="BV724" s="95">
        <v>125</v>
      </c>
      <c r="BW724" s="95">
        <v>220</v>
      </c>
      <c r="BX724" s="95" t="s">
        <v>1287</v>
      </c>
      <c r="BY724" s="95">
        <f t="shared" si="197"/>
        <v>288</v>
      </c>
      <c r="BZ724" s="81">
        <v>1520</v>
      </c>
      <c r="CA724">
        <f t="shared" si="198"/>
        <v>7.3264656138403224</v>
      </c>
    </row>
    <row r="725" spans="1:79" x14ac:dyDescent="0.3">
      <c r="A725" s="2" t="s">
        <v>328</v>
      </c>
      <c r="B725" s="18" t="s">
        <v>1003</v>
      </c>
      <c r="C725" s="13"/>
      <c r="D725" s="2">
        <v>3.45</v>
      </c>
      <c r="E725" s="2" t="s">
        <v>319</v>
      </c>
      <c r="F725" s="9">
        <v>-1</v>
      </c>
      <c r="G725">
        <v>-1</v>
      </c>
      <c r="I725" s="2">
        <v>4</v>
      </c>
      <c r="J725" s="25">
        <v>0</v>
      </c>
      <c r="K725">
        <v>0</v>
      </c>
      <c r="L725">
        <v>0</v>
      </c>
      <c r="M725" s="2">
        <v>3.73</v>
      </c>
      <c r="N725" s="2">
        <v>3.73</v>
      </c>
      <c r="O725" s="2">
        <v>41.6</v>
      </c>
      <c r="P725" s="2" t="s">
        <v>519</v>
      </c>
      <c r="Q725" s="2"/>
      <c r="R725" s="25">
        <v>0</v>
      </c>
      <c r="U725">
        <v>0</v>
      </c>
      <c r="X725">
        <v>0</v>
      </c>
      <c r="AA725" s="2"/>
      <c r="AB725">
        <v>10</v>
      </c>
      <c r="AC725" s="55">
        <f t="shared" si="199"/>
        <v>578.77664000000004</v>
      </c>
      <c r="AD725" s="57">
        <v>0</v>
      </c>
      <c r="AE725" s="55">
        <v>0</v>
      </c>
      <c r="AF725" s="55">
        <v>0</v>
      </c>
      <c r="AG725" s="52">
        <f t="shared" si="200"/>
        <v>6.9111289633251263E-2</v>
      </c>
      <c r="AH725" s="52"/>
      <c r="AI725" s="52"/>
      <c r="AJ725" s="52"/>
      <c r="AK725" s="28">
        <v>1.5263157894736841</v>
      </c>
      <c r="AL725" s="28">
        <v>1.368421052631579</v>
      </c>
      <c r="AM725" s="28">
        <v>0.15789473684210531</v>
      </c>
      <c r="AN725" s="28">
        <v>0</v>
      </c>
      <c r="AO725" s="28">
        <v>0.5</v>
      </c>
      <c r="AP725" s="28">
        <v>0.44827586206896552</v>
      </c>
      <c r="AQ725" s="28">
        <v>5.1724137931034482E-2</v>
      </c>
      <c r="AR725" s="28">
        <v>0</v>
      </c>
      <c r="AS725" s="25">
        <v>1.1000000000000001</v>
      </c>
      <c r="AT725" s="25">
        <v>3.44</v>
      </c>
      <c r="AU725" s="25">
        <v>2.34</v>
      </c>
      <c r="AV725" s="25">
        <v>2.4889473684210528</v>
      </c>
      <c r="AW725">
        <v>2.4889473684210528</v>
      </c>
      <c r="AX725">
        <v>6.7152213403504719</v>
      </c>
      <c r="AY725" s="75"/>
      <c r="AZ725" s="75"/>
      <c r="BA725" s="75"/>
      <c r="BB725">
        <v>3.4555644816625632E-2</v>
      </c>
      <c r="BF725">
        <v>6.9111289633251263E-2</v>
      </c>
      <c r="BG725">
        <v>3.4555644816625632E-2</v>
      </c>
      <c r="BH725">
        <v>0</v>
      </c>
      <c r="BI725" s="79" t="s">
        <v>1264</v>
      </c>
      <c r="BJ725" s="79">
        <f t="shared" si="196"/>
        <v>1098</v>
      </c>
      <c r="BK725" s="79">
        <v>12</v>
      </c>
      <c r="BM725" s="79" t="s">
        <v>1268</v>
      </c>
      <c r="BN725" s="79" t="s">
        <v>863</v>
      </c>
      <c r="BO725" s="79">
        <v>1</v>
      </c>
      <c r="BQ725" s="79">
        <v>0.5</v>
      </c>
      <c r="BR725" s="79">
        <v>1</v>
      </c>
      <c r="BS725" s="95" t="s">
        <v>464</v>
      </c>
      <c r="BT725" s="95" t="s">
        <v>464</v>
      </c>
      <c r="BU725" s="95" t="s">
        <v>1266</v>
      </c>
      <c r="BV725" s="95">
        <v>125</v>
      </c>
      <c r="BW725" s="95">
        <v>220</v>
      </c>
      <c r="BX725" s="95" t="s">
        <v>1287</v>
      </c>
      <c r="BY725" s="95">
        <f t="shared" si="197"/>
        <v>288</v>
      </c>
      <c r="BZ725" s="81">
        <v>2360</v>
      </c>
      <c r="CA725">
        <f t="shared" si="198"/>
        <v>7.7664168980196555</v>
      </c>
    </row>
    <row r="726" spans="1:79" x14ac:dyDescent="0.3">
      <c r="A726" s="2" t="s">
        <v>329</v>
      </c>
      <c r="B726" s="18" t="s">
        <v>1002</v>
      </c>
      <c r="C726" s="13"/>
      <c r="D726" s="2">
        <v>3.45</v>
      </c>
      <c r="E726" s="2" t="s">
        <v>319</v>
      </c>
      <c r="F726" s="9">
        <v>-1</v>
      </c>
      <c r="G726">
        <v>-1</v>
      </c>
      <c r="I726" s="2">
        <v>4</v>
      </c>
      <c r="J726" s="25">
        <v>0</v>
      </c>
      <c r="K726">
        <v>0</v>
      </c>
      <c r="L726">
        <v>0</v>
      </c>
      <c r="M726" s="2">
        <v>3.73</v>
      </c>
      <c r="N726" s="2">
        <v>3.73</v>
      </c>
      <c r="O726" s="2">
        <v>45.6</v>
      </c>
      <c r="P726" s="2" t="s">
        <v>519</v>
      </c>
      <c r="Q726" s="2"/>
      <c r="R726" s="25">
        <v>0</v>
      </c>
      <c r="U726">
        <v>0</v>
      </c>
      <c r="X726">
        <v>0</v>
      </c>
      <c r="AA726" s="2"/>
      <c r="AB726">
        <v>10</v>
      </c>
      <c r="AC726" s="55">
        <f t="shared" si="199"/>
        <v>634.42824000000007</v>
      </c>
      <c r="AD726" s="57">
        <v>0</v>
      </c>
      <c r="AE726" s="55">
        <v>0</v>
      </c>
      <c r="AF726" s="55">
        <v>0</v>
      </c>
      <c r="AG726" s="52">
        <f t="shared" si="200"/>
        <v>6.3048895805773081E-2</v>
      </c>
      <c r="AH726" s="52"/>
      <c r="AI726" s="52"/>
      <c r="AJ726" s="52"/>
      <c r="AK726" s="28">
        <v>1.5</v>
      </c>
      <c r="AL726" s="28">
        <v>1.2727272727272729</v>
      </c>
      <c r="AM726" s="28">
        <v>0.13636363636363641</v>
      </c>
      <c r="AN726" s="28">
        <v>0</v>
      </c>
      <c r="AO726" s="28">
        <v>0.515625</v>
      </c>
      <c r="AP726" s="28">
        <v>0.4375</v>
      </c>
      <c r="AQ726" s="28">
        <v>4.6874999999999993E-2</v>
      </c>
      <c r="AR726" s="28">
        <v>0</v>
      </c>
      <c r="AS726" s="25">
        <v>1.1000000000000001</v>
      </c>
      <c r="AT726" s="25">
        <v>3.44</v>
      </c>
      <c r="AU726" s="25">
        <v>2.34</v>
      </c>
      <c r="AV726" s="25">
        <v>2.4654545454545449</v>
      </c>
      <c r="AW726">
        <v>2.4654545454545449</v>
      </c>
      <c r="AX726">
        <v>6.7365199487436813</v>
      </c>
      <c r="AY726" s="75"/>
      <c r="AZ726" s="75"/>
      <c r="BA726" s="75"/>
      <c r="BB726">
        <v>3.152444790288654E-2</v>
      </c>
      <c r="BF726">
        <v>6.3048895805773081E-2</v>
      </c>
      <c r="BG726">
        <v>3.152444790288654E-2</v>
      </c>
      <c r="BH726">
        <v>0</v>
      </c>
      <c r="BI726" s="79" t="s">
        <v>1264</v>
      </c>
      <c r="BJ726" s="79">
        <f t="shared" si="196"/>
        <v>1098</v>
      </c>
      <c r="BK726" s="79">
        <v>12</v>
      </c>
      <c r="BM726" s="79" t="s">
        <v>1268</v>
      </c>
      <c r="BN726" s="79" t="s">
        <v>863</v>
      </c>
      <c r="BO726" s="79">
        <v>1</v>
      </c>
      <c r="BP726" s="79">
        <v>1.6</v>
      </c>
      <c r="BQ726" s="79">
        <v>0.5</v>
      </c>
      <c r="BR726" s="79">
        <v>1</v>
      </c>
      <c r="BS726" s="95" t="s">
        <v>464</v>
      </c>
      <c r="BT726" s="95" t="s">
        <v>464</v>
      </c>
      <c r="BU726" s="95" t="s">
        <v>1266</v>
      </c>
      <c r="BV726" s="95">
        <v>125</v>
      </c>
      <c r="BW726" s="95">
        <v>220</v>
      </c>
      <c r="BX726" s="95" t="s">
        <v>1287</v>
      </c>
      <c r="BY726" s="95">
        <f t="shared" si="197"/>
        <v>288</v>
      </c>
      <c r="BZ726" s="81">
        <v>2120</v>
      </c>
      <c r="CA726">
        <f t="shared" si="198"/>
        <v>7.6591713676660582</v>
      </c>
    </row>
    <row r="727" spans="1:79" x14ac:dyDescent="0.3">
      <c r="A727" s="2" t="s">
        <v>330</v>
      </c>
      <c r="B727" s="18" t="s">
        <v>1001</v>
      </c>
      <c r="C727" s="13"/>
      <c r="D727" s="2">
        <v>3.46</v>
      </c>
      <c r="E727" s="2" t="s">
        <v>319</v>
      </c>
      <c r="F727" s="9">
        <v>-1</v>
      </c>
      <c r="G727">
        <v>-1</v>
      </c>
      <c r="I727" s="2">
        <v>4</v>
      </c>
      <c r="J727" s="25">
        <v>0</v>
      </c>
      <c r="K727">
        <v>0</v>
      </c>
      <c r="L727">
        <v>0</v>
      </c>
      <c r="M727" s="2">
        <v>3.74</v>
      </c>
      <c r="N727" s="2">
        <v>3.74</v>
      </c>
      <c r="O727" s="2">
        <v>55.4</v>
      </c>
      <c r="P727" s="2" t="s">
        <v>519</v>
      </c>
      <c r="Q727" s="2"/>
      <c r="R727" s="25">
        <v>0</v>
      </c>
      <c r="U727">
        <v>0</v>
      </c>
      <c r="X727">
        <v>0</v>
      </c>
      <c r="AA727" s="2"/>
      <c r="AB727">
        <v>10</v>
      </c>
      <c r="AC727" s="55">
        <f t="shared" si="199"/>
        <v>774.91304000000014</v>
      </c>
      <c r="AD727" s="57">
        <v>0</v>
      </c>
      <c r="AE727" s="55">
        <v>0</v>
      </c>
      <c r="AF727" s="55">
        <v>0</v>
      </c>
      <c r="AG727" s="52">
        <f t="shared" si="200"/>
        <v>5.1618695176429079E-2</v>
      </c>
      <c r="AH727" s="52"/>
      <c r="AI727" s="52"/>
      <c r="AJ727" s="52"/>
      <c r="AK727" s="28">
        <v>1.464285714285714</v>
      </c>
      <c r="AL727" s="28">
        <v>1.142857142857143</v>
      </c>
      <c r="AM727" s="28">
        <v>0.1071428571428571</v>
      </c>
      <c r="AN727" s="28">
        <v>0</v>
      </c>
      <c r="AO727" s="28">
        <v>0.53947368421052622</v>
      </c>
      <c r="AP727" s="28">
        <v>0.42105263157894729</v>
      </c>
      <c r="AQ727" s="28">
        <v>3.9473684210526307E-2</v>
      </c>
      <c r="AR727" s="28">
        <v>0</v>
      </c>
      <c r="AS727" s="25">
        <v>1.1000000000000001</v>
      </c>
      <c r="AT727" s="25">
        <v>3.44</v>
      </c>
      <c r="AU727" s="25">
        <v>2.34</v>
      </c>
      <c r="AV727" s="25">
        <v>2.4335714285714292</v>
      </c>
      <c r="AW727">
        <v>2.4335714285714292</v>
      </c>
      <c r="AX727">
        <v>6.7654252029916062</v>
      </c>
      <c r="AY727" s="75"/>
      <c r="AZ727" s="75"/>
      <c r="BA727" s="75"/>
      <c r="BB727">
        <v>2.5809347588214539E-2</v>
      </c>
      <c r="BF727">
        <v>5.1618695176429079E-2</v>
      </c>
      <c r="BG727">
        <v>2.5809347588214539E-2</v>
      </c>
      <c r="BH727">
        <v>0</v>
      </c>
      <c r="BI727" s="79" t="s">
        <v>1264</v>
      </c>
      <c r="BJ727" s="79">
        <f t="shared" si="196"/>
        <v>1098</v>
      </c>
      <c r="BK727" s="79">
        <v>12</v>
      </c>
      <c r="BM727" s="79" t="s">
        <v>1268</v>
      </c>
      <c r="BN727" s="79" t="s">
        <v>863</v>
      </c>
      <c r="BO727" s="79">
        <v>1</v>
      </c>
      <c r="BQ727" s="79">
        <v>0.5</v>
      </c>
      <c r="BR727" s="79">
        <v>1</v>
      </c>
      <c r="BS727" s="95" t="s">
        <v>464</v>
      </c>
      <c r="BT727" s="95" t="s">
        <v>464</v>
      </c>
      <c r="BU727" s="95" t="s">
        <v>1266</v>
      </c>
      <c r="BV727" s="95">
        <v>125</v>
      </c>
      <c r="BW727" s="95">
        <v>220</v>
      </c>
      <c r="BX727" s="95" t="s">
        <v>1287</v>
      </c>
      <c r="BY727" s="95">
        <f t="shared" si="197"/>
        <v>288</v>
      </c>
      <c r="BZ727" s="81">
        <v>1880</v>
      </c>
      <c r="CA727">
        <f t="shared" si="198"/>
        <v>7.5390270558239951</v>
      </c>
    </row>
    <row r="728" spans="1:79" x14ac:dyDescent="0.3">
      <c r="A728" s="2" t="s">
        <v>1460</v>
      </c>
      <c r="B728" s="18" t="s">
        <v>1000</v>
      </c>
      <c r="C728" s="13"/>
      <c r="D728" s="2">
        <v>3.46</v>
      </c>
      <c r="E728" s="2" t="s">
        <v>319</v>
      </c>
      <c r="F728" s="9">
        <v>-1</v>
      </c>
      <c r="G728">
        <v>-1</v>
      </c>
      <c r="I728" s="2">
        <v>4</v>
      </c>
      <c r="J728" s="25">
        <v>0</v>
      </c>
      <c r="K728">
        <v>0</v>
      </c>
      <c r="L728">
        <v>0</v>
      </c>
      <c r="M728" s="2">
        <v>3.73</v>
      </c>
      <c r="N728" s="2">
        <v>3.73</v>
      </c>
      <c r="O728" s="2">
        <v>56.8</v>
      </c>
      <c r="P728" s="2" t="s">
        <v>519</v>
      </c>
      <c r="Q728" s="2"/>
      <c r="R728" s="25">
        <v>0</v>
      </c>
      <c r="U728">
        <v>0</v>
      </c>
      <c r="X728">
        <v>0</v>
      </c>
      <c r="AA728" s="2"/>
      <c r="AB728">
        <v>10</v>
      </c>
      <c r="AC728" s="55">
        <f t="shared" si="199"/>
        <v>790.25271999999995</v>
      </c>
      <c r="AD728" s="57">
        <v>0</v>
      </c>
      <c r="AE728" s="55">
        <v>0</v>
      </c>
      <c r="AF728" s="55">
        <v>0</v>
      </c>
      <c r="AG728" s="52">
        <f t="shared" si="200"/>
        <v>5.0616719168015016E-2</v>
      </c>
      <c r="AH728" s="52"/>
      <c r="AI728" s="52"/>
      <c r="AJ728" s="52"/>
      <c r="AK728" s="28">
        <v>1.4411764705882351</v>
      </c>
      <c r="AL728" s="28">
        <v>1.0588235294117649</v>
      </c>
      <c r="AM728" s="28">
        <v>8.8235294117647065E-2</v>
      </c>
      <c r="AN728" s="28">
        <v>0</v>
      </c>
      <c r="AO728" s="28">
        <v>0.55681818181818177</v>
      </c>
      <c r="AP728" s="28">
        <v>0.40909090909090912</v>
      </c>
      <c r="AQ728" s="28">
        <v>3.4090909090909088E-2</v>
      </c>
      <c r="AR728" s="28">
        <v>0</v>
      </c>
      <c r="AS728" s="25">
        <v>1.1000000000000001</v>
      </c>
      <c r="AT728" s="25">
        <v>3.44</v>
      </c>
      <c r="AU728" s="25">
        <v>2.34</v>
      </c>
      <c r="AV728" s="25">
        <v>2.4129411764705879</v>
      </c>
      <c r="AW728">
        <v>2.4129411764705888</v>
      </c>
      <c r="AX728">
        <v>6.7841286027990879</v>
      </c>
      <c r="AY728" s="75"/>
      <c r="AZ728" s="75"/>
      <c r="BA728" s="75"/>
      <c r="BB728">
        <v>2.5308359584007512E-2</v>
      </c>
      <c r="BF728">
        <v>5.0616719168015023E-2</v>
      </c>
      <c r="BG728">
        <v>2.5308359584007512E-2</v>
      </c>
      <c r="BH728">
        <v>0</v>
      </c>
      <c r="BI728" s="79" t="s">
        <v>1264</v>
      </c>
      <c r="BJ728" s="79">
        <f t="shared" si="196"/>
        <v>1098</v>
      </c>
      <c r="BK728" s="79">
        <v>12</v>
      </c>
      <c r="BM728" s="79" t="s">
        <v>1268</v>
      </c>
      <c r="BN728" s="79" t="s">
        <v>863</v>
      </c>
      <c r="BO728" s="79">
        <v>1</v>
      </c>
      <c r="BP728" s="79">
        <v>6.4</v>
      </c>
      <c r="BQ728" s="79">
        <v>0.5</v>
      </c>
      <c r="BR728" s="79">
        <v>1</v>
      </c>
      <c r="BS728" s="95" t="s">
        <v>464</v>
      </c>
      <c r="BT728" s="95" t="s">
        <v>464</v>
      </c>
      <c r="BU728" s="95" t="s">
        <v>1266</v>
      </c>
      <c r="BV728" s="95">
        <v>125</v>
      </c>
      <c r="BW728" s="95">
        <v>220</v>
      </c>
      <c r="BX728" s="95" t="s">
        <v>1287</v>
      </c>
      <c r="BY728" s="95">
        <f t="shared" si="197"/>
        <v>288</v>
      </c>
      <c r="BZ728" s="81">
        <v>1000</v>
      </c>
      <c r="CA728">
        <f t="shared" si="198"/>
        <v>6.9077552789821368</v>
      </c>
    </row>
    <row r="729" spans="1:79" x14ac:dyDescent="0.3">
      <c r="A729" s="2" t="s">
        <v>332</v>
      </c>
      <c r="B729" s="18" t="s">
        <v>833</v>
      </c>
      <c r="C729" s="13"/>
      <c r="D729" s="2">
        <v>3.48</v>
      </c>
      <c r="E729" s="2" t="s">
        <v>319</v>
      </c>
      <c r="F729" s="9">
        <v>-1</v>
      </c>
      <c r="G729">
        <v>-1</v>
      </c>
      <c r="I729" s="2">
        <v>2</v>
      </c>
      <c r="J729" s="25">
        <v>0</v>
      </c>
      <c r="K729">
        <v>0</v>
      </c>
      <c r="L729">
        <v>2</v>
      </c>
      <c r="M729" s="2">
        <v>3.68</v>
      </c>
      <c r="N729" s="2">
        <v>3.68</v>
      </c>
      <c r="O729" s="2">
        <v>12.1</v>
      </c>
      <c r="P729" s="2" t="s">
        <v>519</v>
      </c>
      <c r="Q729" s="2"/>
      <c r="R729" s="25">
        <v>0</v>
      </c>
      <c r="U729">
        <v>0</v>
      </c>
      <c r="X729">
        <v>3.6970999999999998</v>
      </c>
      <c r="Y729">
        <v>3.6970999999999998</v>
      </c>
      <c r="Z729">
        <v>12.0928</v>
      </c>
      <c r="AA729" s="2"/>
      <c r="AB729">
        <v>8</v>
      </c>
      <c r="AC729" s="55">
        <f t="shared" si="199"/>
        <v>163.86304000000001</v>
      </c>
      <c r="AD729" s="57">
        <v>0</v>
      </c>
      <c r="AE729" s="55">
        <v>0</v>
      </c>
      <c r="AF729" s="55">
        <v>165.3</v>
      </c>
      <c r="AG729" s="52">
        <f t="shared" si="200"/>
        <v>9.7642519020762694E-2</v>
      </c>
      <c r="AH729" s="52"/>
      <c r="AI729" s="52"/>
      <c r="AJ729" s="67">
        <f>L729*AB729/AF729</f>
        <v>9.6793708408953405E-2</v>
      </c>
      <c r="AK729" s="28">
        <v>1.857142857142857</v>
      </c>
      <c r="AL729" s="28">
        <v>2.285714285714286</v>
      </c>
      <c r="AM729" s="28">
        <v>0.2857142857142857</v>
      </c>
      <c r="AN729" s="28">
        <v>0.5714285714285714</v>
      </c>
      <c r="AO729" s="28">
        <v>0.37142857142857139</v>
      </c>
      <c r="AP729" s="28">
        <v>0.45714285714285707</v>
      </c>
      <c r="AQ729" s="28">
        <v>5.7142857142857141E-2</v>
      </c>
      <c r="AR729" s="28">
        <v>0.1142857142857143</v>
      </c>
      <c r="AS729" s="25">
        <v>1.1399999999999999</v>
      </c>
      <c r="AT729" s="25">
        <v>3.44</v>
      </c>
      <c r="AU729" s="25">
        <v>2.2999999999999998</v>
      </c>
      <c r="AV729" s="25">
        <v>2.6628571428571428</v>
      </c>
      <c r="AW729">
        <v>2.6628571428571428</v>
      </c>
      <c r="AX729">
        <v>6.2282737214072856</v>
      </c>
      <c r="AY729" s="75"/>
      <c r="AZ729" s="75"/>
      <c r="BA729" s="75"/>
      <c r="BB729">
        <v>4.8821259510381347E-2</v>
      </c>
      <c r="BE729">
        <v>4.8396854204476702E-2</v>
      </c>
      <c r="BF729">
        <v>9.7218113714858057E-2</v>
      </c>
      <c r="BG729">
        <v>4.8609056857429028E-2</v>
      </c>
      <c r="BH729">
        <v>0</v>
      </c>
      <c r="BI729" s="79" t="s">
        <v>1264</v>
      </c>
      <c r="BJ729" s="79">
        <f t="shared" si="196"/>
        <v>1098</v>
      </c>
      <c r="BK729" s="79">
        <v>12</v>
      </c>
      <c r="BM729" s="79" t="s">
        <v>1268</v>
      </c>
      <c r="BN729" s="79" t="s">
        <v>863</v>
      </c>
      <c r="BO729" s="79">
        <v>1</v>
      </c>
      <c r="BP729" s="79">
        <v>8.5</v>
      </c>
      <c r="BQ729" s="79">
        <v>0.5</v>
      </c>
      <c r="BR729" s="79">
        <v>1</v>
      </c>
      <c r="BS729" s="95" t="s">
        <v>464</v>
      </c>
      <c r="BT729" s="95" t="s">
        <v>464</v>
      </c>
      <c r="BU729" s="95" t="s">
        <v>1266</v>
      </c>
      <c r="BV729" s="95">
        <v>125</v>
      </c>
      <c r="BW729" s="95">
        <v>220</v>
      </c>
      <c r="BX729" s="95" t="s">
        <v>1287</v>
      </c>
      <c r="BY729" s="95">
        <f t="shared" si="197"/>
        <v>288</v>
      </c>
      <c r="BZ729" s="81">
        <v>248</v>
      </c>
      <c r="CA729">
        <f t="shared" si="198"/>
        <v>5.5134287461649825</v>
      </c>
    </row>
    <row r="730" spans="1:79" x14ac:dyDescent="0.3">
      <c r="A730" s="2" t="s">
        <v>333</v>
      </c>
      <c r="B730" s="18" t="s">
        <v>1006</v>
      </c>
      <c r="C730" s="13"/>
      <c r="D730" s="2">
        <v>3.41</v>
      </c>
      <c r="E730" s="2" t="s">
        <v>319</v>
      </c>
      <c r="F730" s="9">
        <v>-1</v>
      </c>
      <c r="G730">
        <v>-1</v>
      </c>
      <c r="I730" s="2">
        <v>4</v>
      </c>
      <c r="J730" s="25">
        <v>0</v>
      </c>
      <c r="K730">
        <v>0</v>
      </c>
      <c r="L730">
        <v>0</v>
      </c>
      <c r="M730" s="2">
        <v>3.74</v>
      </c>
      <c r="N730" s="2">
        <v>3.74</v>
      </c>
      <c r="O730" s="2">
        <v>33.1</v>
      </c>
      <c r="P730" s="2" t="s">
        <v>519</v>
      </c>
      <c r="Q730" s="2"/>
      <c r="R730" s="25">
        <v>0</v>
      </c>
      <c r="U730">
        <v>0</v>
      </c>
      <c r="X730">
        <v>0</v>
      </c>
      <c r="AA730" s="2"/>
      <c r="AB730">
        <v>8</v>
      </c>
      <c r="AC730" s="55">
        <f t="shared" si="199"/>
        <v>462.9895600000001</v>
      </c>
      <c r="AD730" s="57">
        <v>0</v>
      </c>
      <c r="AE730" s="55">
        <v>0</v>
      </c>
      <c r="AF730" s="55">
        <v>0</v>
      </c>
      <c r="AG730" s="52">
        <f t="shared" si="200"/>
        <v>6.9116029311762431E-2</v>
      </c>
      <c r="AH730" s="52"/>
      <c r="AI730" s="52"/>
      <c r="AJ730" s="52"/>
      <c r="AK730" s="28">
        <v>1.571428571428571</v>
      </c>
      <c r="AL730" s="28">
        <v>1.5</v>
      </c>
      <c r="AM730" s="28">
        <v>0.14285714285714279</v>
      </c>
      <c r="AN730" s="28">
        <v>0.2857142857142857</v>
      </c>
      <c r="AO730" s="28">
        <v>0.44897959183673469</v>
      </c>
      <c r="AP730" s="28">
        <v>0.42857142857142849</v>
      </c>
      <c r="AQ730" s="28">
        <v>4.0816326530612242E-2</v>
      </c>
      <c r="AR730" s="28">
        <v>8.1632653061224483E-2</v>
      </c>
      <c r="AS730" s="25">
        <v>1.1399999999999999</v>
      </c>
      <c r="AT730" s="25">
        <v>3.44</v>
      </c>
      <c r="AU730" s="25">
        <v>2.2999999999999998</v>
      </c>
      <c r="AV730" s="25">
        <v>2.516428571428571</v>
      </c>
      <c r="AW730">
        <v>2.516428571428571</v>
      </c>
      <c r="AX730">
        <v>6.6409830967932857</v>
      </c>
      <c r="AY730" s="75"/>
      <c r="AZ730" s="75"/>
      <c r="BA730" s="75"/>
      <c r="BB730">
        <v>3.4558014655881222E-2</v>
      </c>
      <c r="BF730">
        <v>6.9116029311762431E-2</v>
      </c>
      <c r="BG730">
        <v>3.4558014655881222E-2</v>
      </c>
      <c r="BH730">
        <v>0</v>
      </c>
      <c r="BI730" s="79" t="s">
        <v>1264</v>
      </c>
      <c r="BJ730" s="79">
        <f t="shared" si="196"/>
        <v>1098</v>
      </c>
      <c r="BK730" s="79">
        <v>12</v>
      </c>
      <c r="BM730" s="79" t="s">
        <v>1268</v>
      </c>
      <c r="BN730" s="79" t="s">
        <v>863</v>
      </c>
      <c r="BO730" s="79">
        <v>1</v>
      </c>
      <c r="BP730" s="79">
        <v>5.6</v>
      </c>
      <c r="BQ730" s="79">
        <v>0.5</v>
      </c>
      <c r="BR730" s="79">
        <v>1</v>
      </c>
      <c r="BS730" s="95" t="s">
        <v>464</v>
      </c>
      <c r="BT730" s="95" t="s">
        <v>464</v>
      </c>
      <c r="BU730" s="95" t="s">
        <v>1266</v>
      </c>
      <c r="BV730" s="95">
        <v>125</v>
      </c>
      <c r="BW730" s="95">
        <v>220</v>
      </c>
      <c r="BX730" s="95" t="s">
        <v>1287</v>
      </c>
      <c r="BY730" s="95">
        <f t="shared" si="197"/>
        <v>288</v>
      </c>
      <c r="BZ730" s="81">
        <v>640</v>
      </c>
      <c r="CA730">
        <f t="shared" si="198"/>
        <v>6.4614681763537174</v>
      </c>
    </row>
    <row r="731" spans="1:79" x14ac:dyDescent="0.3">
      <c r="A731" s="2" t="s">
        <v>334</v>
      </c>
      <c r="B731" s="18" t="s">
        <v>1007</v>
      </c>
      <c r="C731" s="13"/>
      <c r="D731" s="2">
        <v>3.5</v>
      </c>
      <c r="E731" s="2" t="s">
        <v>319</v>
      </c>
      <c r="F731" s="9">
        <v>-1</v>
      </c>
      <c r="G731">
        <v>-1</v>
      </c>
      <c r="I731" s="2">
        <v>4</v>
      </c>
      <c r="J731" s="25">
        <v>0</v>
      </c>
      <c r="K731">
        <v>0</v>
      </c>
      <c r="L731">
        <v>0</v>
      </c>
      <c r="M731" s="2">
        <v>3.74</v>
      </c>
      <c r="N731" s="2">
        <v>3.74</v>
      </c>
      <c r="O731" s="2">
        <v>37.6</v>
      </c>
      <c r="P731" s="2" t="s">
        <v>519</v>
      </c>
      <c r="Q731" s="2"/>
      <c r="R731" s="25">
        <v>0</v>
      </c>
      <c r="U731">
        <v>0</v>
      </c>
      <c r="X731">
        <v>0</v>
      </c>
      <c r="AA731" s="2"/>
      <c r="AB731">
        <v>8</v>
      </c>
      <c r="AC731" s="55">
        <f t="shared" si="199"/>
        <v>525.93376000000012</v>
      </c>
      <c r="AD731" s="57">
        <v>0</v>
      </c>
      <c r="AE731" s="55">
        <v>0</v>
      </c>
      <c r="AF731" s="55">
        <v>0</v>
      </c>
      <c r="AG731" s="52">
        <f t="shared" si="200"/>
        <v>6.0844164101578099E-2</v>
      </c>
      <c r="AH731" s="52"/>
      <c r="AI731" s="52"/>
      <c r="AJ731" s="52"/>
      <c r="AK731" s="28">
        <v>1.529411764705882</v>
      </c>
      <c r="AL731" s="28">
        <v>1.3529411764705881</v>
      </c>
      <c r="AM731" s="28">
        <v>0.1176470588235294</v>
      </c>
      <c r="AN731" s="28">
        <v>0.23529411764705879</v>
      </c>
      <c r="AO731" s="28">
        <v>0.47272727272727272</v>
      </c>
      <c r="AP731" s="28">
        <v>0.41818181818181821</v>
      </c>
      <c r="AQ731" s="28">
        <v>3.6363636363636362E-2</v>
      </c>
      <c r="AR731" s="28">
        <v>7.2727272727272724E-2</v>
      </c>
      <c r="AS731" s="25">
        <v>1.1399999999999999</v>
      </c>
      <c r="AT731" s="25">
        <v>3.44</v>
      </c>
      <c r="AU731" s="25">
        <v>2.2999999999999998</v>
      </c>
      <c r="AV731" s="25">
        <v>2.4811764705882351</v>
      </c>
      <c r="AW731">
        <v>2.481176470588236</v>
      </c>
      <c r="AX731">
        <v>6.6816468682828232</v>
      </c>
      <c r="AY731" s="75"/>
      <c r="AZ731" s="75"/>
      <c r="BA731" s="75"/>
      <c r="BB731">
        <v>3.042208205078905E-2</v>
      </c>
      <c r="BF731">
        <v>6.0844164101578099E-2</v>
      </c>
      <c r="BG731">
        <v>3.042208205078905E-2</v>
      </c>
      <c r="BH731">
        <v>0</v>
      </c>
      <c r="BI731" s="79" t="s">
        <v>1264</v>
      </c>
      <c r="BJ731" s="79">
        <f t="shared" si="196"/>
        <v>1098</v>
      </c>
      <c r="BK731" s="79">
        <v>12</v>
      </c>
      <c r="BM731" s="79" t="s">
        <v>1268</v>
      </c>
      <c r="BN731" s="79" t="s">
        <v>863</v>
      </c>
      <c r="BO731" s="79">
        <v>1</v>
      </c>
      <c r="BQ731" s="79">
        <v>0.5</v>
      </c>
      <c r="BR731" s="79">
        <v>1</v>
      </c>
      <c r="BS731" s="95" t="s">
        <v>464</v>
      </c>
      <c r="BT731" s="95" t="s">
        <v>464</v>
      </c>
      <c r="BU731" s="95" t="s">
        <v>1266</v>
      </c>
      <c r="BV731" s="95">
        <v>125</v>
      </c>
      <c r="BW731" s="95">
        <v>220</v>
      </c>
      <c r="BX731" s="95" t="s">
        <v>1287</v>
      </c>
      <c r="BY731" s="95">
        <f t="shared" si="197"/>
        <v>288</v>
      </c>
      <c r="BZ731" s="81">
        <v>440</v>
      </c>
      <c r="CA731">
        <f t="shared" si="198"/>
        <v>6.0867747269123065</v>
      </c>
    </row>
    <row r="732" spans="1:79" x14ac:dyDescent="0.3">
      <c r="A732" s="2" t="s">
        <v>335</v>
      </c>
      <c r="B732" s="18" t="s">
        <v>1008</v>
      </c>
      <c r="C732" s="13"/>
      <c r="D732" s="2">
        <v>3.43</v>
      </c>
      <c r="E732" s="2" t="s">
        <v>319</v>
      </c>
      <c r="F732" s="9">
        <v>-1</v>
      </c>
      <c r="G732">
        <v>-1</v>
      </c>
      <c r="I732" s="2">
        <v>4</v>
      </c>
      <c r="J732" s="25">
        <v>0</v>
      </c>
      <c r="K732">
        <v>0</v>
      </c>
      <c r="L732">
        <v>0</v>
      </c>
      <c r="M732" s="2">
        <v>3.74</v>
      </c>
      <c r="N732" s="2">
        <v>3.74</v>
      </c>
      <c r="O732" s="2">
        <v>40.4</v>
      </c>
      <c r="P732" s="2" t="s">
        <v>519</v>
      </c>
      <c r="Q732" s="2"/>
      <c r="R732" s="25">
        <v>0</v>
      </c>
      <c r="U732">
        <v>0</v>
      </c>
      <c r="X732">
        <v>0</v>
      </c>
      <c r="AA732" s="2"/>
      <c r="AB732">
        <v>8</v>
      </c>
      <c r="AC732" s="55">
        <f t="shared" si="199"/>
        <v>565.09904000000006</v>
      </c>
      <c r="AD732" s="57">
        <v>0</v>
      </c>
      <c r="AE732" s="55">
        <v>0</v>
      </c>
      <c r="AF732" s="55">
        <v>0</v>
      </c>
      <c r="AG732" s="52">
        <f t="shared" si="200"/>
        <v>5.6627241837112298E-2</v>
      </c>
      <c r="AH732" s="52"/>
      <c r="AI732" s="52"/>
      <c r="AJ732" s="52"/>
      <c r="AK732" s="28">
        <v>1.5</v>
      </c>
      <c r="AL732" s="28">
        <v>1.25</v>
      </c>
      <c r="AM732" s="28">
        <v>0.1</v>
      </c>
      <c r="AN732" s="28">
        <v>0.2</v>
      </c>
      <c r="AO732" s="28">
        <v>0.49180327868852458</v>
      </c>
      <c r="AP732" s="28">
        <v>0.4098360655737705</v>
      </c>
      <c r="AQ732" s="28">
        <v>3.2786885245901641E-2</v>
      </c>
      <c r="AR732" s="28">
        <v>6.5573770491803282E-2</v>
      </c>
      <c r="AS732" s="25">
        <v>1.1399999999999999</v>
      </c>
      <c r="AT732" s="25">
        <v>3.44</v>
      </c>
      <c r="AU732" s="25">
        <v>2.2999999999999998</v>
      </c>
      <c r="AV732" s="25">
        <v>2.4565000000000001</v>
      </c>
      <c r="AW732">
        <v>2.4565000000000001</v>
      </c>
      <c r="AX732">
        <v>6.7101115083254994</v>
      </c>
      <c r="AY732" s="75"/>
      <c r="AZ732" s="75"/>
      <c r="BA732" s="75"/>
      <c r="BB732">
        <v>2.8313620918556149E-2</v>
      </c>
      <c r="BF732">
        <v>5.6627241837112298E-2</v>
      </c>
      <c r="BG732">
        <v>2.8313620918556149E-2</v>
      </c>
      <c r="BH732">
        <v>0</v>
      </c>
      <c r="BI732" s="79" t="s">
        <v>1264</v>
      </c>
      <c r="BJ732" s="79">
        <f t="shared" si="196"/>
        <v>1098</v>
      </c>
      <c r="BK732" s="79">
        <v>12</v>
      </c>
      <c r="BM732" s="79" t="s">
        <v>1268</v>
      </c>
      <c r="BN732" s="79" t="s">
        <v>863</v>
      </c>
      <c r="BO732" s="79">
        <v>1</v>
      </c>
      <c r="BQ732" s="79">
        <v>0.5</v>
      </c>
      <c r="BR732" s="79">
        <v>1</v>
      </c>
      <c r="BS732" s="95" t="s">
        <v>464</v>
      </c>
      <c r="BT732" s="95" t="s">
        <v>464</v>
      </c>
      <c r="BU732" s="95" t="s">
        <v>1266</v>
      </c>
      <c r="BV732" s="95">
        <v>125</v>
      </c>
      <c r="BW732" s="95">
        <v>220</v>
      </c>
      <c r="BX732" s="95" t="s">
        <v>1287</v>
      </c>
      <c r="BY732" s="95">
        <f t="shared" si="197"/>
        <v>288</v>
      </c>
      <c r="BZ732" s="81">
        <v>920</v>
      </c>
      <c r="CA732">
        <f t="shared" si="198"/>
        <v>6.8243736700430864</v>
      </c>
    </row>
    <row r="733" spans="1:79" x14ac:dyDescent="0.3">
      <c r="A733" s="2" t="s">
        <v>336</v>
      </c>
      <c r="B733" s="18" t="s">
        <v>1009</v>
      </c>
      <c r="C733" s="13"/>
      <c r="D733" s="2">
        <v>3.5</v>
      </c>
      <c r="E733" s="2" t="s">
        <v>319</v>
      </c>
      <c r="F733" s="9">
        <v>-1</v>
      </c>
      <c r="G733">
        <v>-1</v>
      </c>
      <c r="I733" s="2">
        <v>4</v>
      </c>
      <c r="J733" s="25">
        <v>0</v>
      </c>
      <c r="K733">
        <v>0</v>
      </c>
      <c r="L733">
        <v>0</v>
      </c>
      <c r="M733" s="2">
        <v>3.74</v>
      </c>
      <c r="N733" s="2">
        <v>3.74</v>
      </c>
      <c r="O733" s="2">
        <v>47.7</v>
      </c>
      <c r="P733" s="2" t="s">
        <v>519</v>
      </c>
      <c r="Q733" s="2"/>
      <c r="R733" s="25">
        <v>0</v>
      </c>
      <c r="U733">
        <v>0</v>
      </c>
      <c r="X733">
        <v>0</v>
      </c>
      <c r="AA733" s="2"/>
      <c r="AB733">
        <v>8</v>
      </c>
      <c r="AC733" s="55">
        <f t="shared" si="199"/>
        <v>667.20852000000014</v>
      </c>
      <c r="AD733" s="57">
        <v>0</v>
      </c>
      <c r="AE733" s="55">
        <v>0</v>
      </c>
      <c r="AF733" s="55">
        <v>0</v>
      </c>
      <c r="AG733" s="52">
        <f t="shared" si="200"/>
        <v>4.796101824359196E-2</v>
      </c>
      <c r="AH733" s="52"/>
      <c r="AI733" s="52"/>
      <c r="AJ733" s="52"/>
      <c r="AK733" s="28">
        <v>1.4782608695652171</v>
      </c>
      <c r="AL733" s="28">
        <v>1.173913043478261</v>
      </c>
      <c r="AM733" s="28">
        <v>8.6956521739130432E-2</v>
      </c>
      <c r="AN733" s="28">
        <v>0.17391304347826089</v>
      </c>
      <c r="AO733" s="28">
        <v>0.50746268656716409</v>
      </c>
      <c r="AP733" s="28">
        <v>0.40298507462686572</v>
      </c>
      <c r="AQ733" s="28">
        <v>2.9850746268656719E-2</v>
      </c>
      <c r="AR733" s="28">
        <v>5.9701492537313432E-2</v>
      </c>
      <c r="AS733" s="25">
        <v>1.1399999999999999</v>
      </c>
      <c r="AT733" s="25">
        <v>3.44</v>
      </c>
      <c r="AU733" s="25">
        <v>2.2999999999999998</v>
      </c>
      <c r="AV733" s="25">
        <v>2.4382608695652168</v>
      </c>
      <c r="AW733">
        <v>2.4382608695652168</v>
      </c>
      <c r="AX733">
        <v>6.7311505900961732</v>
      </c>
      <c r="AY733" s="75"/>
      <c r="AZ733" s="75"/>
      <c r="BA733" s="75"/>
      <c r="BB733">
        <v>2.398050912179598E-2</v>
      </c>
      <c r="BF733">
        <v>4.796101824359196E-2</v>
      </c>
      <c r="BG733">
        <v>2.398050912179598E-2</v>
      </c>
      <c r="BH733">
        <v>0</v>
      </c>
      <c r="BI733" s="79" t="s">
        <v>1264</v>
      </c>
      <c r="BJ733" s="79">
        <f t="shared" si="196"/>
        <v>1098</v>
      </c>
      <c r="BK733" s="79">
        <v>12</v>
      </c>
      <c r="BM733" s="79" t="s">
        <v>1268</v>
      </c>
      <c r="BN733" s="79" t="s">
        <v>863</v>
      </c>
      <c r="BO733" s="79">
        <v>1</v>
      </c>
      <c r="BP733" s="79">
        <v>5.6</v>
      </c>
      <c r="BQ733" s="79">
        <v>0.5</v>
      </c>
      <c r="BR733" s="79">
        <v>1</v>
      </c>
      <c r="BS733" s="95" t="s">
        <v>464</v>
      </c>
      <c r="BT733" s="95" t="s">
        <v>464</v>
      </c>
      <c r="BU733" s="95" t="s">
        <v>1266</v>
      </c>
      <c r="BV733" s="95">
        <v>125</v>
      </c>
      <c r="BW733" s="95">
        <v>220</v>
      </c>
      <c r="BX733" s="95" t="s">
        <v>1287</v>
      </c>
      <c r="BY733" s="95">
        <f t="shared" si="197"/>
        <v>288</v>
      </c>
      <c r="BZ733" s="81">
        <v>480</v>
      </c>
      <c r="CA733">
        <f t="shared" si="198"/>
        <v>6.1737861039019366</v>
      </c>
    </row>
    <row r="734" spans="1:79" x14ac:dyDescent="0.3">
      <c r="A734" s="2" t="s">
        <v>337</v>
      </c>
      <c r="B734" s="18" t="s">
        <v>1010</v>
      </c>
      <c r="C734" s="13"/>
      <c r="D734" s="2">
        <v>3.42</v>
      </c>
      <c r="E734" s="2" t="s">
        <v>319</v>
      </c>
      <c r="F734" s="9">
        <v>-1</v>
      </c>
      <c r="G734">
        <v>-1</v>
      </c>
      <c r="I734" s="2">
        <v>4</v>
      </c>
      <c r="J734" s="25">
        <v>0</v>
      </c>
      <c r="K734">
        <v>0</v>
      </c>
      <c r="L734">
        <v>0</v>
      </c>
      <c r="M734" s="2">
        <v>3.72</v>
      </c>
      <c r="N734" s="2">
        <v>3.72</v>
      </c>
      <c r="O734" s="2">
        <v>54</v>
      </c>
      <c r="P734" s="2" t="s">
        <v>519</v>
      </c>
      <c r="Q734" s="2"/>
      <c r="R734" s="25">
        <v>0</v>
      </c>
      <c r="U734">
        <v>0</v>
      </c>
      <c r="X734">
        <v>0</v>
      </c>
      <c r="AA734" s="2"/>
      <c r="AB734">
        <v>8</v>
      </c>
      <c r="AC734" s="55">
        <f t="shared" si="199"/>
        <v>747.2736000000001</v>
      </c>
      <c r="AD734" s="57">
        <v>0</v>
      </c>
      <c r="AE734" s="55">
        <v>0</v>
      </c>
      <c r="AF734" s="55">
        <v>0</v>
      </c>
      <c r="AG734" s="52">
        <f t="shared" si="200"/>
        <v>4.282233441673839E-2</v>
      </c>
      <c r="AH734" s="52"/>
      <c r="AI734" s="52"/>
      <c r="AJ734" s="52"/>
      <c r="AK734" s="28">
        <v>1.448275862068966</v>
      </c>
      <c r="AL734" s="28">
        <v>1.068965517241379</v>
      </c>
      <c r="AM734" s="28">
        <v>6.8965517241379309E-2</v>
      </c>
      <c r="AN734" s="28">
        <v>0.13793103448275859</v>
      </c>
      <c r="AO734" s="28">
        <v>0.53164556962025322</v>
      </c>
      <c r="AP734" s="28">
        <v>0.39240506329113922</v>
      </c>
      <c r="AQ734" s="28">
        <v>2.5316455696202531E-2</v>
      </c>
      <c r="AR734" s="28">
        <v>5.0632911392405063E-2</v>
      </c>
      <c r="AS734" s="25">
        <v>1.1399999999999999</v>
      </c>
      <c r="AT734" s="25">
        <v>3.44</v>
      </c>
      <c r="AU734" s="25">
        <v>2.2999999999999998</v>
      </c>
      <c r="AV734" s="25">
        <v>2.4131034482758622</v>
      </c>
      <c r="AW734">
        <v>2.4131034482758622</v>
      </c>
      <c r="AX734">
        <v>6.7601700132281373</v>
      </c>
      <c r="AY734" s="75"/>
      <c r="AZ734" s="75"/>
      <c r="BA734" s="75"/>
      <c r="BB734">
        <v>2.1411167208369199E-2</v>
      </c>
      <c r="BF734">
        <v>4.282233441673839E-2</v>
      </c>
      <c r="BG734">
        <v>2.1411167208369199E-2</v>
      </c>
      <c r="BH734">
        <v>0</v>
      </c>
      <c r="BI734" s="79" t="s">
        <v>1264</v>
      </c>
      <c r="BJ734" s="79">
        <f t="shared" si="196"/>
        <v>1098</v>
      </c>
      <c r="BK734" s="79">
        <v>12</v>
      </c>
      <c r="BM734" s="79" t="s">
        <v>1268</v>
      </c>
      <c r="BN734" s="79" t="s">
        <v>863</v>
      </c>
      <c r="BO734" s="79">
        <v>1</v>
      </c>
      <c r="BQ734" s="79">
        <v>0.5</v>
      </c>
      <c r="BR734" s="79">
        <v>1</v>
      </c>
      <c r="BS734" s="95" t="s">
        <v>464</v>
      </c>
      <c r="BT734" s="95" t="s">
        <v>464</v>
      </c>
      <c r="BU734" s="95" t="s">
        <v>1266</v>
      </c>
      <c r="BV734" s="95">
        <v>125</v>
      </c>
      <c r="BW734" s="95">
        <v>220</v>
      </c>
      <c r="BX734" s="95" t="s">
        <v>1287</v>
      </c>
      <c r="BY734" s="95">
        <f t="shared" si="197"/>
        <v>288</v>
      </c>
      <c r="BZ734" s="81">
        <v>880</v>
      </c>
      <c r="CA734">
        <f t="shared" si="198"/>
        <v>6.7799219074722519</v>
      </c>
    </row>
    <row r="735" spans="1:79" x14ac:dyDescent="0.3">
      <c r="A735" s="2" t="s">
        <v>338</v>
      </c>
      <c r="B735" s="18" t="s">
        <v>1011</v>
      </c>
      <c r="C735" s="13"/>
      <c r="D735" s="2">
        <v>3.45</v>
      </c>
      <c r="E735" s="2" t="s">
        <v>319</v>
      </c>
      <c r="F735" s="9">
        <v>-1</v>
      </c>
      <c r="G735">
        <v>-1</v>
      </c>
      <c r="I735" s="2">
        <v>4</v>
      </c>
      <c r="J735" s="25">
        <v>0</v>
      </c>
      <c r="K735">
        <v>0</v>
      </c>
      <c r="L735">
        <v>0</v>
      </c>
      <c r="M735" s="2">
        <v>3.81</v>
      </c>
      <c r="N735" s="2">
        <v>3.81</v>
      </c>
      <c r="O735" s="2">
        <v>65.400000000000006</v>
      </c>
      <c r="P735" s="2" t="s">
        <v>519</v>
      </c>
      <c r="Q735" s="2"/>
      <c r="R735" s="25">
        <v>0</v>
      </c>
      <c r="U735">
        <v>0</v>
      </c>
      <c r="X735">
        <v>0</v>
      </c>
      <c r="AA735" s="2"/>
      <c r="AB735">
        <v>8</v>
      </c>
      <c r="AC735" s="55">
        <f t="shared" si="199"/>
        <v>949.3529400000001</v>
      </c>
      <c r="AD735" s="57">
        <v>0</v>
      </c>
      <c r="AE735" s="55">
        <v>0</v>
      </c>
      <c r="AF735" s="55">
        <v>0</v>
      </c>
      <c r="AG735" s="52">
        <f t="shared" si="200"/>
        <v>3.3707169011347876E-2</v>
      </c>
      <c r="AH735" s="52"/>
      <c r="AI735" s="52"/>
      <c r="AJ735" s="52"/>
      <c r="AK735" s="28">
        <v>1.428571428571429</v>
      </c>
      <c r="AL735" s="28">
        <v>1</v>
      </c>
      <c r="AM735" s="28">
        <v>5.7142857142857141E-2</v>
      </c>
      <c r="AN735" s="28">
        <v>0.1142857142857143</v>
      </c>
      <c r="AO735" s="28">
        <v>0.5494505494505495</v>
      </c>
      <c r="AP735" s="28">
        <v>0.38461538461538458</v>
      </c>
      <c r="AQ735" s="28">
        <v>2.197802197802198E-2</v>
      </c>
      <c r="AR735" s="28">
        <v>4.3956043956043953E-2</v>
      </c>
      <c r="AS735" s="25">
        <v>1.1399999999999999</v>
      </c>
      <c r="AT735" s="25">
        <v>3.44</v>
      </c>
      <c r="AU735" s="25">
        <v>2.2999999999999998</v>
      </c>
      <c r="AV735" s="25">
        <v>2.3965714285714288</v>
      </c>
      <c r="AW735">
        <v>2.3965714285714279</v>
      </c>
      <c r="AX735">
        <v>6.7792399198577131</v>
      </c>
      <c r="AY735" s="75"/>
      <c r="AZ735" s="75"/>
      <c r="BA735" s="75"/>
      <c r="BB735">
        <v>1.6853584505673942E-2</v>
      </c>
      <c r="BF735">
        <v>3.3707169011347883E-2</v>
      </c>
      <c r="BG735">
        <v>1.6853584505673942E-2</v>
      </c>
      <c r="BH735">
        <v>0</v>
      </c>
      <c r="BI735" s="79" t="s">
        <v>1264</v>
      </c>
      <c r="BJ735" s="79">
        <f t="shared" si="196"/>
        <v>1098</v>
      </c>
      <c r="BK735" s="79">
        <v>12</v>
      </c>
      <c r="BM735" s="79" t="s">
        <v>1268</v>
      </c>
      <c r="BN735" s="79" t="s">
        <v>863</v>
      </c>
      <c r="BO735" s="79">
        <v>1</v>
      </c>
      <c r="BP735" s="79">
        <v>7.7</v>
      </c>
      <c r="BQ735" s="79">
        <v>0.5</v>
      </c>
      <c r="BR735" s="79">
        <v>1</v>
      </c>
      <c r="BS735" s="95" t="s">
        <v>464</v>
      </c>
      <c r="BT735" s="95" t="s">
        <v>464</v>
      </c>
      <c r="BU735" s="95" t="s">
        <v>1266</v>
      </c>
      <c r="BV735" s="95">
        <v>125</v>
      </c>
      <c r="BW735" s="95">
        <v>220</v>
      </c>
      <c r="BX735" s="95" t="s">
        <v>1287</v>
      </c>
      <c r="BY735" s="95">
        <f t="shared" si="197"/>
        <v>288</v>
      </c>
      <c r="BZ735" s="81">
        <v>1120</v>
      </c>
      <c r="CA735">
        <f t="shared" si="198"/>
        <v>7.0210839642891401</v>
      </c>
    </row>
    <row r="736" spans="1:79" x14ac:dyDescent="0.3">
      <c r="A736" s="2" t="s">
        <v>339</v>
      </c>
      <c r="B736" s="18" t="s">
        <v>1012</v>
      </c>
      <c r="C736" s="13"/>
      <c r="D736" s="2">
        <v>3.42</v>
      </c>
      <c r="E736" s="2" t="s">
        <v>319</v>
      </c>
      <c r="F736" s="9">
        <v>-1</v>
      </c>
      <c r="G736">
        <v>-1</v>
      </c>
      <c r="I736" s="2">
        <v>4</v>
      </c>
      <c r="J736" s="25">
        <v>0</v>
      </c>
      <c r="K736">
        <v>0</v>
      </c>
      <c r="L736">
        <v>0</v>
      </c>
      <c r="M736" s="2">
        <v>3.71</v>
      </c>
      <c r="N736" s="2">
        <v>3.71</v>
      </c>
      <c r="O736" s="2">
        <v>32</v>
      </c>
      <c r="P736" s="2" t="s">
        <v>519</v>
      </c>
      <c r="Q736" s="2"/>
      <c r="R736" s="25">
        <v>0</v>
      </c>
      <c r="U736">
        <v>0</v>
      </c>
      <c r="X736">
        <v>0</v>
      </c>
      <c r="AA736" s="2"/>
      <c r="AB736">
        <v>10</v>
      </c>
      <c r="AC736" s="55">
        <f t="shared" si="199"/>
        <v>440.45119999999997</v>
      </c>
      <c r="AD736" s="57">
        <v>0</v>
      </c>
      <c r="AE736" s="55">
        <v>0</v>
      </c>
      <c r="AF736" s="55">
        <v>0</v>
      </c>
      <c r="AG736" s="52">
        <f t="shared" si="200"/>
        <v>9.0815963266759184E-2</v>
      </c>
      <c r="AH736" s="52"/>
      <c r="AI736" s="52"/>
      <c r="AJ736" s="52"/>
      <c r="AK736" s="28">
        <v>1.615384615384615</v>
      </c>
      <c r="AL736" s="28">
        <v>1.6923076923076921</v>
      </c>
      <c r="AM736" s="28">
        <v>0.15384615384615391</v>
      </c>
      <c r="AN736" s="28">
        <v>0.30769230769230771</v>
      </c>
      <c r="AO736" s="28">
        <v>0.4285714285714286</v>
      </c>
      <c r="AP736" s="28">
        <v>0.44897959183673469</v>
      </c>
      <c r="AQ736" s="28">
        <v>4.0816326530612249E-2</v>
      </c>
      <c r="AR736" s="28">
        <v>8.1632653061224497E-2</v>
      </c>
      <c r="AS736" s="25">
        <v>1.1399999999999999</v>
      </c>
      <c r="AT736" s="25">
        <v>3.44</v>
      </c>
      <c r="AU736" s="25">
        <v>2.2999999999999998</v>
      </c>
      <c r="AV736" s="25">
        <v>2.571538461538462</v>
      </c>
      <c r="AW736">
        <v>2.571538461538462</v>
      </c>
      <c r="AX736">
        <v>6.623443246558077</v>
      </c>
      <c r="AY736" s="75"/>
      <c r="AZ736" s="75"/>
      <c r="BA736" s="75"/>
      <c r="BB736">
        <v>4.5407981633379592E-2</v>
      </c>
      <c r="BF736">
        <v>9.0815963266759184E-2</v>
      </c>
      <c r="BG736">
        <v>4.5407981633379592E-2</v>
      </c>
      <c r="BH736">
        <v>0</v>
      </c>
      <c r="BI736" s="79" t="s">
        <v>1264</v>
      </c>
      <c r="BJ736" s="79">
        <f t="shared" si="196"/>
        <v>1098</v>
      </c>
      <c r="BK736" s="79">
        <v>12</v>
      </c>
      <c r="BM736" s="79" t="s">
        <v>1268</v>
      </c>
      <c r="BN736" s="79" t="s">
        <v>863</v>
      </c>
      <c r="BO736" s="79">
        <v>1</v>
      </c>
      <c r="BP736" s="79">
        <v>5</v>
      </c>
      <c r="BQ736" s="79">
        <v>0.5</v>
      </c>
      <c r="BR736" s="79">
        <v>1</v>
      </c>
      <c r="BS736" s="95" t="s">
        <v>464</v>
      </c>
      <c r="BT736" s="95" t="s">
        <v>464</v>
      </c>
      <c r="BU736" s="95" t="s">
        <v>1266</v>
      </c>
      <c r="BV736" s="95">
        <v>125</v>
      </c>
      <c r="BW736" s="95">
        <v>220</v>
      </c>
      <c r="BX736" s="95" t="s">
        <v>1287</v>
      </c>
      <c r="BY736" s="95">
        <f t="shared" si="197"/>
        <v>288</v>
      </c>
      <c r="BZ736" s="81">
        <v>1600</v>
      </c>
      <c r="CA736">
        <f t="shared" si="198"/>
        <v>7.3777589082278725</v>
      </c>
    </row>
    <row r="737" spans="1:79" x14ac:dyDescent="0.3">
      <c r="A737" s="2" t="s">
        <v>340</v>
      </c>
      <c r="B737" s="18" t="s">
        <v>1013</v>
      </c>
      <c r="C737" s="13"/>
      <c r="D737" s="2">
        <v>3.39</v>
      </c>
      <c r="E737" s="2" t="s">
        <v>319</v>
      </c>
      <c r="F737" s="9">
        <v>-1</v>
      </c>
      <c r="G737">
        <v>-1</v>
      </c>
      <c r="I737" s="2">
        <v>4</v>
      </c>
      <c r="J737" s="25">
        <v>0</v>
      </c>
      <c r="K737">
        <v>0</v>
      </c>
      <c r="L737">
        <v>0</v>
      </c>
      <c r="M737" s="2">
        <v>3.7</v>
      </c>
      <c r="N737" s="2">
        <v>3.7</v>
      </c>
      <c r="O737" s="2">
        <v>36.4</v>
      </c>
      <c r="P737" s="2" t="s">
        <v>519</v>
      </c>
      <c r="Q737" s="2"/>
      <c r="R737" s="25">
        <v>0</v>
      </c>
      <c r="U737">
        <v>0</v>
      </c>
      <c r="X737">
        <v>0</v>
      </c>
      <c r="AA737" s="2"/>
      <c r="AB737">
        <v>10</v>
      </c>
      <c r="AC737" s="55">
        <f t="shared" si="199"/>
        <v>498.31600000000003</v>
      </c>
      <c r="AD737" s="57">
        <v>0</v>
      </c>
      <c r="AE737" s="55">
        <v>0</v>
      </c>
      <c r="AF737" s="55">
        <v>0</v>
      </c>
      <c r="AG737" s="52">
        <f t="shared" si="200"/>
        <v>8.0270350540620802E-2</v>
      </c>
      <c r="AH737" s="52"/>
      <c r="AI737" s="52"/>
      <c r="AJ737" s="52"/>
      <c r="AK737" s="28">
        <v>1.5625</v>
      </c>
      <c r="AL737" s="28">
        <v>1.5</v>
      </c>
      <c r="AM737" s="28">
        <v>0.125</v>
      </c>
      <c r="AN737" s="28">
        <v>0.25</v>
      </c>
      <c r="AO737" s="28">
        <v>0.45454545454545447</v>
      </c>
      <c r="AP737" s="28">
        <v>0.43636363636363629</v>
      </c>
      <c r="AQ737" s="28">
        <v>3.6363636363636362E-2</v>
      </c>
      <c r="AR737" s="28">
        <v>7.2727272727272724E-2</v>
      </c>
      <c r="AS737" s="25">
        <v>1.1399999999999999</v>
      </c>
      <c r="AT737" s="25">
        <v>3.44</v>
      </c>
      <c r="AU737" s="25">
        <v>2.2999999999999998</v>
      </c>
      <c r="AV737" s="25">
        <v>2.5237500000000002</v>
      </c>
      <c r="AW737">
        <v>2.5237500000000002</v>
      </c>
      <c r="AX737">
        <v>6.6699372256848122</v>
      </c>
      <c r="AY737" s="75"/>
      <c r="AZ737" s="75"/>
      <c r="BA737" s="75"/>
      <c r="BB737">
        <v>4.0135175270310401E-2</v>
      </c>
      <c r="BF737">
        <v>8.0270350540620802E-2</v>
      </c>
      <c r="BG737">
        <v>4.0135175270310401E-2</v>
      </c>
      <c r="BH737">
        <v>0</v>
      </c>
      <c r="BI737" s="79" t="s">
        <v>1264</v>
      </c>
      <c r="BJ737" s="79">
        <f t="shared" si="196"/>
        <v>1098</v>
      </c>
      <c r="BK737" s="79">
        <v>12</v>
      </c>
      <c r="BM737" s="79" t="s">
        <v>1268</v>
      </c>
      <c r="BN737" s="79" t="s">
        <v>863</v>
      </c>
      <c r="BO737" s="79">
        <v>1</v>
      </c>
      <c r="BQ737" s="79">
        <v>0.5</v>
      </c>
      <c r="BR737" s="79">
        <v>1</v>
      </c>
      <c r="BS737" s="95" t="s">
        <v>464</v>
      </c>
      <c r="BT737" s="95" t="s">
        <v>464</v>
      </c>
      <c r="BU737" s="95" t="s">
        <v>1266</v>
      </c>
      <c r="BV737" s="95">
        <v>125</v>
      </c>
      <c r="BW737" s="95">
        <v>220</v>
      </c>
      <c r="BX737" s="95" t="s">
        <v>1287</v>
      </c>
      <c r="BY737" s="95">
        <f t="shared" si="197"/>
        <v>288</v>
      </c>
      <c r="BZ737" s="81">
        <v>640</v>
      </c>
      <c r="CA737">
        <f t="shared" si="198"/>
        <v>6.4614681763537174</v>
      </c>
    </row>
    <row r="738" spans="1:79" x14ac:dyDescent="0.3">
      <c r="A738" s="2" t="s">
        <v>341</v>
      </c>
      <c r="B738" s="18" t="s">
        <v>1014</v>
      </c>
      <c r="C738" s="13"/>
      <c r="D738" s="2">
        <v>3.45</v>
      </c>
      <c r="E738" s="2" t="s">
        <v>319</v>
      </c>
      <c r="F738" s="9">
        <v>-1</v>
      </c>
      <c r="G738">
        <v>-1</v>
      </c>
      <c r="I738" s="2">
        <v>4</v>
      </c>
      <c r="J738" s="25">
        <v>0</v>
      </c>
      <c r="K738">
        <v>0</v>
      </c>
      <c r="L738">
        <v>0</v>
      </c>
      <c r="M738" s="2">
        <v>3.72</v>
      </c>
      <c r="N738" s="2">
        <v>3.72</v>
      </c>
      <c r="O738" s="2">
        <v>41.1</v>
      </c>
      <c r="P738" s="2" t="s">
        <v>519</v>
      </c>
      <c r="Q738" s="2"/>
      <c r="R738" s="25">
        <v>0</v>
      </c>
      <c r="U738">
        <v>0</v>
      </c>
      <c r="X738">
        <v>0</v>
      </c>
      <c r="AA738" s="2"/>
      <c r="AB738">
        <v>10</v>
      </c>
      <c r="AC738" s="55">
        <f t="shared" si="199"/>
        <v>568.75824000000011</v>
      </c>
      <c r="AD738" s="57">
        <v>0</v>
      </c>
      <c r="AE738" s="55">
        <v>0</v>
      </c>
      <c r="AF738" s="55">
        <v>0</v>
      </c>
      <c r="AG738" s="52">
        <f t="shared" si="200"/>
        <v>7.0328651414351365E-2</v>
      </c>
      <c r="AH738" s="52"/>
      <c r="AI738" s="52"/>
      <c r="AJ738" s="52"/>
      <c r="AK738" s="28">
        <v>1.5263157894736841</v>
      </c>
      <c r="AL738" s="28">
        <v>1.368421052631579</v>
      </c>
      <c r="AM738" s="28">
        <v>0.10526315789473679</v>
      </c>
      <c r="AN738" s="28">
        <v>0.2105263157894737</v>
      </c>
      <c r="AO738" s="28">
        <v>0.47540983606557369</v>
      </c>
      <c r="AP738" s="28">
        <v>0.42622950819672129</v>
      </c>
      <c r="AQ738" s="28">
        <v>3.2786885245901627E-2</v>
      </c>
      <c r="AR738" s="28">
        <v>6.5573770491803268E-2</v>
      </c>
      <c r="AS738" s="25">
        <v>1.1399999999999999</v>
      </c>
      <c r="AT738" s="25">
        <v>3.44</v>
      </c>
      <c r="AU738" s="25">
        <v>2.2999999999999998</v>
      </c>
      <c r="AV738" s="25">
        <v>2.4910526315789472</v>
      </c>
      <c r="AW738">
        <v>2.4910526315789481</v>
      </c>
      <c r="AX738">
        <v>6.7017488956136306</v>
      </c>
      <c r="AY738" s="75"/>
      <c r="AZ738" s="75"/>
      <c r="BA738" s="75"/>
      <c r="BB738">
        <v>3.5164325707175682E-2</v>
      </c>
      <c r="BF738">
        <v>7.0328651414351365E-2</v>
      </c>
      <c r="BG738">
        <v>3.5164325707175682E-2</v>
      </c>
      <c r="BH738">
        <v>0</v>
      </c>
      <c r="BI738" s="79" t="s">
        <v>1264</v>
      </c>
      <c r="BJ738" s="79">
        <f t="shared" si="196"/>
        <v>1098</v>
      </c>
      <c r="BK738" s="79">
        <v>12</v>
      </c>
      <c r="BM738" s="79" t="s">
        <v>1268</v>
      </c>
      <c r="BN738" s="79" t="s">
        <v>863</v>
      </c>
      <c r="BO738" s="79">
        <v>1</v>
      </c>
      <c r="BQ738" s="79">
        <v>0.5</v>
      </c>
      <c r="BR738" s="79">
        <v>1</v>
      </c>
      <c r="BS738" s="95" t="s">
        <v>464</v>
      </c>
      <c r="BT738" s="95" t="s">
        <v>464</v>
      </c>
      <c r="BU738" s="95" t="s">
        <v>1266</v>
      </c>
      <c r="BV738" s="95">
        <v>125</v>
      </c>
      <c r="BW738" s="95">
        <v>220</v>
      </c>
      <c r="BX738" s="95" t="s">
        <v>1287</v>
      </c>
      <c r="BY738" s="95">
        <f t="shared" si="197"/>
        <v>288</v>
      </c>
      <c r="BZ738" s="81">
        <v>1400</v>
      </c>
      <c r="CA738">
        <f t="shared" si="198"/>
        <v>7.2442275156033498</v>
      </c>
    </row>
    <row r="739" spans="1:79" x14ac:dyDescent="0.3">
      <c r="A739" s="2" t="s">
        <v>342</v>
      </c>
      <c r="B739" s="18" t="s">
        <v>1015</v>
      </c>
      <c r="C739" s="13"/>
      <c r="D739" s="2">
        <v>3.45</v>
      </c>
      <c r="E739" s="2" t="s">
        <v>319</v>
      </c>
      <c r="F739" s="9">
        <v>-1</v>
      </c>
      <c r="G739">
        <v>-1</v>
      </c>
      <c r="I739" s="2">
        <v>4</v>
      </c>
      <c r="J739" s="25">
        <v>0</v>
      </c>
      <c r="K739">
        <v>0</v>
      </c>
      <c r="L739">
        <v>0</v>
      </c>
      <c r="M739" s="2">
        <v>3.71</v>
      </c>
      <c r="N739" s="2">
        <v>3.71</v>
      </c>
      <c r="O739" s="2">
        <v>44.5</v>
      </c>
      <c r="P739" s="2" t="s">
        <v>519</v>
      </c>
      <c r="Q739" s="2"/>
      <c r="R739" s="25">
        <v>0</v>
      </c>
      <c r="U739">
        <v>0</v>
      </c>
      <c r="X739">
        <v>0</v>
      </c>
      <c r="AA739" s="2"/>
      <c r="AB739">
        <v>10</v>
      </c>
      <c r="AC739" s="55">
        <f t="shared" si="199"/>
        <v>612.50244999999995</v>
      </c>
      <c r="AD739" s="57">
        <v>0</v>
      </c>
      <c r="AE739" s="55">
        <v>0</v>
      </c>
      <c r="AF739" s="55">
        <v>0</v>
      </c>
      <c r="AG739" s="52">
        <f t="shared" si="200"/>
        <v>6.5305861225534695E-2</v>
      </c>
      <c r="AH739" s="52"/>
      <c r="AI739" s="52"/>
      <c r="AJ739" s="52"/>
      <c r="AK739" s="28">
        <v>1.5</v>
      </c>
      <c r="AL739" s="28">
        <v>1.2727272727272729</v>
      </c>
      <c r="AM739" s="28">
        <v>9.0909090909090912E-2</v>
      </c>
      <c r="AN739" s="28">
        <v>0.1818181818181818</v>
      </c>
      <c r="AO739" s="28">
        <v>0.49253731343283591</v>
      </c>
      <c r="AP739" s="28">
        <v>0.41791044776119401</v>
      </c>
      <c r="AQ739" s="28">
        <v>2.9850746268656719E-2</v>
      </c>
      <c r="AR739" s="28">
        <v>5.9701492537313439E-2</v>
      </c>
      <c r="AS739" s="25">
        <v>1.1399999999999999</v>
      </c>
      <c r="AT739" s="25">
        <v>3.44</v>
      </c>
      <c r="AU739" s="25">
        <v>2.2999999999999998</v>
      </c>
      <c r="AV739" s="25">
        <v>2.4672727272727282</v>
      </c>
      <c r="AW739">
        <v>2.4672727272727268</v>
      </c>
      <c r="AX739">
        <v>6.7248846555618629</v>
      </c>
      <c r="AY739" s="75"/>
      <c r="AZ739" s="75"/>
      <c r="BA739" s="75"/>
      <c r="BB739">
        <v>3.2652930612767347E-2</v>
      </c>
      <c r="BF739">
        <v>6.5305861225534695E-2</v>
      </c>
      <c r="BG739">
        <v>3.2652930612767347E-2</v>
      </c>
      <c r="BH739">
        <v>0</v>
      </c>
      <c r="BI739" s="79" t="s">
        <v>1264</v>
      </c>
      <c r="BJ739" s="79">
        <f t="shared" si="196"/>
        <v>1098</v>
      </c>
      <c r="BK739" s="79">
        <v>12</v>
      </c>
      <c r="BM739" s="79" t="s">
        <v>1268</v>
      </c>
      <c r="BN739" s="79" t="s">
        <v>863</v>
      </c>
      <c r="BO739" s="79">
        <v>1</v>
      </c>
      <c r="BP739" s="79">
        <v>4</v>
      </c>
      <c r="BQ739" s="79">
        <v>0.5</v>
      </c>
      <c r="BR739" s="79">
        <v>1</v>
      </c>
      <c r="BS739" s="95" t="s">
        <v>464</v>
      </c>
      <c r="BT739" s="95" t="s">
        <v>464</v>
      </c>
      <c r="BU739" s="95" t="s">
        <v>1266</v>
      </c>
      <c r="BV739" s="95">
        <v>125</v>
      </c>
      <c r="BW739" s="95">
        <v>220</v>
      </c>
      <c r="BX739" s="95" t="s">
        <v>1287</v>
      </c>
      <c r="BY739" s="95">
        <f t="shared" si="197"/>
        <v>288</v>
      </c>
      <c r="BZ739" s="81">
        <v>1080</v>
      </c>
      <c r="CA739">
        <f t="shared" si="198"/>
        <v>6.9847163201182658</v>
      </c>
    </row>
    <row r="740" spans="1:79" x14ac:dyDescent="0.3">
      <c r="A740" s="2" t="s">
        <v>343</v>
      </c>
      <c r="B740" s="18" t="s">
        <v>1016</v>
      </c>
      <c r="C740" s="13"/>
      <c r="D740" s="2">
        <v>3.41</v>
      </c>
      <c r="E740" s="2" t="s">
        <v>319</v>
      </c>
      <c r="F740" s="9">
        <v>-1</v>
      </c>
      <c r="G740">
        <v>-1</v>
      </c>
      <c r="I740" s="2">
        <v>4</v>
      </c>
      <c r="J740" s="25">
        <v>0</v>
      </c>
      <c r="K740">
        <v>0</v>
      </c>
      <c r="L740">
        <v>0</v>
      </c>
      <c r="M740" s="2">
        <v>3.71</v>
      </c>
      <c r="N740" s="2">
        <v>3.71</v>
      </c>
      <c r="O740" s="2">
        <v>54.9</v>
      </c>
      <c r="P740" s="2" t="s">
        <v>519</v>
      </c>
      <c r="Q740" s="2"/>
      <c r="R740" s="25">
        <v>0</v>
      </c>
      <c r="S740" s="25"/>
      <c r="T740" s="25"/>
      <c r="U740">
        <v>0</v>
      </c>
      <c r="X740">
        <v>0</v>
      </c>
      <c r="AA740" s="2"/>
      <c r="AB740">
        <v>10</v>
      </c>
      <c r="AC740" s="55">
        <f t="shared" si="199"/>
        <v>755.64908999999989</v>
      </c>
      <c r="AD740" s="57">
        <v>0</v>
      </c>
      <c r="AE740" s="55">
        <v>0</v>
      </c>
      <c r="AF740" s="55">
        <v>0</v>
      </c>
      <c r="AG740" s="52">
        <f t="shared" si="200"/>
        <v>5.2934623397746704E-2</v>
      </c>
      <c r="AH740" s="51"/>
      <c r="AI740" s="52"/>
      <c r="AJ740" s="52"/>
      <c r="AK740" s="28">
        <v>1.464285714285714</v>
      </c>
      <c r="AL740" s="28">
        <v>1.142857142857143</v>
      </c>
      <c r="AM740" s="28">
        <v>7.1428571428571425E-2</v>
      </c>
      <c r="AN740" s="28">
        <v>0.14285714285714279</v>
      </c>
      <c r="AO740" s="28">
        <v>0.51898734177215178</v>
      </c>
      <c r="AP740" s="28">
        <v>0.40506329113924039</v>
      </c>
      <c r="AQ740" s="28">
        <v>2.5316455696202531E-2</v>
      </c>
      <c r="AR740" s="28">
        <v>5.0632911392405063E-2</v>
      </c>
      <c r="AS740" s="25">
        <v>1.1399999999999999</v>
      </c>
      <c r="AT740" s="25">
        <v>3.44</v>
      </c>
      <c r="AU740" s="25">
        <v>2.2999999999999998</v>
      </c>
      <c r="AV740" s="25">
        <v>2.4350000000000001</v>
      </c>
      <c r="AW740">
        <v>2.4350000000000001</v>
      </c>
      <c r="AX740">
        <v>6.7562831869201787</v>
      </c>
      <c r="AY740" s="75"/>
      <c r="AZ740" s="75"/>
      <c r="BA740" s="75"/>
      <c r="BB740">
        <v>2.6467311698873348E-2</v>
      </c>
      <c r="BF740">
        <v>5.2934623397746697E-2</v>
      </c>
      <c r="BG740">
        <v>2.6467311698873348E-2</v>
      </c>
      <c r="BH740">
        <v>0</v>
      </c>
      <c r="BI740" s="79" t="s">
        <v>1264</v>
      </c>
      <c r="BJ740" s="79">
        <f t="shared" si="196"/>
        <v>1098</v>
      </c>
      <c r="BK740" s="79">
        <v>12</v>
      </c>
      <c r="BM740" s="79" t="s">
        <v>1268</v>
      </c>
      <c r="BN740" s="79" t="s">
        <v>863</v>
      </c>
      <c r="BO740" s="79">
        <v>1</v>
      </c>
      <c r="BQ740" s="79">
        <v>0.5</v>
      </c>
      <c r="BR740" s="79">
        <v>1</v>
      </c>
      <c r="BS740" s="95" t="s">
        <v>464</v>
      </c>
      <c r="BT740" s="95" t="s">
        <v>464</v>
      </c>
      <c r="BU740" s="95" t="s">
        <v>1266</v>
      </c>
      <c r="BV740" s="95">
        <v>125</v>
      </c>
      <c r="BW740" s="95">
        <v>220</v>
      </c>
      <c r="BX740" s="95" t="s">
        <v>1287</v>
      </c>
      <c r="BY740" s="95">
        <f t="shared" si="197"/>
        <v>288</v>
      </c>
      <c r="BZ740" s="81">
        <v>840</v>
      </c>
      <c r="CA740">
        <f t="shared" si="198"/>
        <v>6.7334018918373593</v>
      </c>
    </row>
    <row r="741" spans="1:79" x14ac:dyDescent="0.3">
      <c r="A741" s="2" t="s">
        <v>344</v>
      </c>
      <c r="B741" s="18" t="s">
        <v>1017</v>
      </c>
      <c r="C741" s="13"/>
      <c r="D741" s="2">
        <v>3.41</v>
      </c>
      <c r="E741" s="2" t="s">
        <v>319</v>
      </c>
      <c r="F741" s="9">
        <v>-1</v>
      </c>
      <c r="G741">
        <v>-1</v>
      </c>
      <c r="I741" s="2">
        <v>4</v>
      </c>
      <c r="J741" s="25">
        <v>0</v>
      </c>
      <c r="K741">
        <v>0</v>
      </c>
      <c r="L741">
        <v>0</v>
      </c>
      <c r="M741" s="2">
        <v>3.71</v>
      </c>
      <c r="N741" s="2">
        <v>3.71</v>
      </c>
      <c r="O741" s="2">
        <v>58</v>
      </c>
      <c r="P741" s="2" t="s">
        <v>519</v>
      </c>
      <c r="Q741" s="2"/>
      <c r="R741" s="25">
        <v>0</v>
      </c>
      <c r="S741" s="25"/>
      <c r="T741" s="25"/>
      <c r="U741">
        <v>0</v>
      </c>
      <c r="X741">
        <v>0</v>
      </c>
      <c r="AA741" s="2"/>
      <c r="AB741">
        <v>10</v>
      </c>
      <c r="AC741" s="55">
        <f t="shared" si="199"/>
        <v>798.31779999999992</v>
      </c>
      <c r="AD741" s="57">
        <v>0</v>
      </c>
      <c r="AE741" s="55">
        <v>0</v>
      </c>
      <c r="AF741" s="55">
        <v>0</v>
      </c>
      <c r="AG741" s="52">
        <f t="shared" si="200"/>
        <v>5.010535904372921E-2</v>
      </c>
      <c r="AH741" s="51"/>
      <c r="AI741" s="52"/>
      <c r="AJ741" s="52"/>
      <c r="AK741" s="28">
        <v>1.4411764705882351</v>
      </c>
      <c r="AL741" s="28">
        <v>1.0588235294117649</v>
      </c>
      <c r="AM741" s="28">
        <v>5.8823529411764712E-2</v>
      </c>
      <c r="AN741" s="28">
        <v>0.1176470588235294</v>
      </c>
      <c r="AO741" s="28">
        <v>0.53846153846153855</v>
      </c>
      <c r="AP741" s="28">
        <v>0.39560439560439559</v>
      </c>
      <c r="AQ741" s="28">
        <v>2.197802197802198E-2</v>
      </c>
      <c r="AR741" s="28">
        <v>4.3956043956043959E-2</v>
      </c>
      <c r="AS741" s="25">
        <v>1.1399999999999999</v>
      </c>
      <c r="AT741" s="25">
        <v>3.44</v>
      </c>
      <c r="AU741" s="25">
        <v>2.2999999999999998</v>
      </c>
      <c r="AV741" s="25">
        <v>2.4141176470588239</v>
      </c>
      <c r="AW741">
        <v>2.4141176470588239</v>
      </c>
      <c r="AX741">
        <v>6.776599883681441</v>
      </c>
      <c r="AY741" s="75"/>
      <c r="AZ741" s="75"/>
      <c r="BA741" s="75"/>
      <c r="BB741">
        <v>2.5052679521864601E-2</v>
      </c>
      <c r="BF741">
        <v>5.010535904372921E-2</v>
      </c>
      <c r="BG741">
        <v>2.5052679521864601E-2</v>
      </c>
      <c r="BH741">
        <v>0</v>
      </c>
      <c r="BI741" s="79" t="s">
        <v>1264</v>
      </c>
      <c r="BJ741" s="79">
        <f t="shared" si="196"/>
        <v>1098</v>
      </c>
      <c r="BK741" s="79">
        <v>12</v>
      </c>
      <c r="BM741" s="79" t="s">
        <v>1268</v>
      </c>
      <c r="BN741" s="79" t="s">
        <v>863</v>
      </c>
      <c r="BO741" s="79">
        <v>1</v>
      </c>
      <c r="BP741" s="79">
        <v>15</v>
      </c>
      <c r="BQ741" s="79">
        <v>0.5</v>
      </c>
      <c r="BR741" s="79">
        <v>1</v>
      </c>
      <c r="BS741" s="95" t="s">
        <v>464</v>
      </c>
      <c r="BT741" s="95" t="s">
        <v>464</v>
      </c>
      <c r="BU741" s="95" t="s">
        <v>1266</v>
      </c>
      <c r="BV741" s="95">
        <v>125</v>
      </c>
      <c r="BW741" s="95">
        <v>220</v>
      </c>
      <c r="BX741" s="95" t="s">
        <v>1287</v>
      </c>
      <c r="BY741" s="95">
        <f t="shared" si="197"/>
        <v>288</v>
      </c>
      <c r="BZ741" s="81">
        <v>1400</v>
      </c>
      <c r="CA741">
        <f t="shared" si="198"/>
        <v>7.2442275156033498</v>
      </c>
    </row>
    <row r="742" spans="1:79" x14ac:dyDescent="0.3">
      <c r="A742" s="2" t="s">
        <v>151</v>
      </c>
      <c r="B742" s="13" t="s">
        <v>774</v>
      </c>
      <c r="C742" s="13"/>
      <c r="D742" s="2">
        <v>3.26</v>
      </c>
      <c r="E742" s="96" t="s">
        <v>345</v>
      </c>
      <c r="F742" s="9">
        <v>-1</v>
      </c>
      <c r="G742">
        <v>-1</v>
      </c>
      <c r="I742" s="2"/>
      <c r="J742" s="25">
        <v>0</v>
      </c>
      <c r="K742">
        <v>0</v>
      </c>
      <c r="L742">
        <v>0</v>
      </c>
      <c r="M742" s="2">
        <v>3.89</v>
      </c>
      <c r="N742" s="2">
        <v>3.89</v>
      </c>
      <c r="O742" s="2">
        <v>16.399999999999999</v>
      </c>
      <c r="P742" s="2"/>
      <c r="Q742" s="2"/>
      <c r="R742" s="25">
        <v>0</v>
      </c>
      <c r="S742" s="25"/>
      <c r="T742" s="25"/>
      <c r="U742">
        <v>0</v>
      </c>
      <c r="X742">
        <v>0</v>
      </c>
      <c r="AA742" s="2"/>
      <c r="AB742">
        <v>20</v>
      </c>
      <c r="AC742" s="55">
        <f t="shared" si="188"/>
        <v>248.16643999999999</v>
      </c>
      <c r="AD742" s="57">
        <v>0</v>
      </c>
      <c r="AE742" s="55">
        <v>0</v>
      </c>
      <c r="AF742" s="55">
        <v>0</v>
      </c>
      <c r="AG742" s="52"/>
      <c r="AH742" s="51"/>
      <c r="AI742" s="52"/>
      <c r="AJ742" s="52"/>
      <c r="AK742" s="28">
        <v>1.75</v>
      </c>
      <c r="AL742" s="28">
        <v>2.5</v>
      </c>
      <c r="AM742" s="28">
        <v>0.75</v>
      </c>
      <c r="AN742" s="28">
        <v>0</v>
      </c>
      <c r="AO742" s="28">
        <v>0.35</v>
      </c>
      <c r="AP742" s="28">
        <v>0.5</v>
      </c>
      <c r="AQ742" s="28">
        <v>0.15</v>
      </c>
      <c r="AR742" s="28">
        <v>0</v>
      </c>
      <c r="AS742" s="25">
        <v>0.95</v>
      </c>
      <c r="AT742" s="25">
        <v>3.44</v>
      </c>
      <c r="AU742" s="25">
        <v>2.4900000000000002</v>
      </c>
      <c r="AV742" s="25">
        <v>2.7062499999999998</v>
      </c>
      <c r="AW742">
        <v>2.7062499999999998</v>
      </c>
      <c r="AX742">
        <v>6.2396022968656872</v>
      </c>
      <c r="AY742" s="75"/>
      <c r="AZ742" s="75"/>
      <c r="BA742" s="75"/>
      <c r="BF742">
        <v>0</v>
      </c>
      <c r="BG742">
        <v>0</v>
      </c>
      <c r="BH742">
        <v>0</v>
      </c>
      <c r="BI742" s="79" t="s">
        <v>1264</v>
      </c>
      <c r="BJ742" s="79">
        <v>1573</v>
      </c>
      <c r="BK742" s="79">
        <v>10</v>
      </c>
      <c r="BM742" s="79" t="s">
        <v>464</v>
      </c>
      <c r="BN742" s="79" t="s">
        <v>464</v>
      </c>
      <c r="BO742" s="79">
        <v>0</v>
      </c>
      <c r="BP742" s="79">
        <v>3.1</v>
      </c>
      <c r="BQ742" s="79">
        <v>0.5</v>
      </c>
      <c r="BR742" s="79">
        <v>1</v>
      </c>
      <c r="BS742" s="95" t="s">
        <v>464</v>
      </c>
      <c r="BT742" s="95" t="s">
        <v>464</v>
      </c>
      <c r="BU742" s="95" t="s">
        <v>1266</v>
      </c>
      <c r="BV742" s="95">
        <v>125</v>
      </c>
      <c r="BW742" s="95">
        <v>220</v>
      </c>
      <c r="BX742" s="95" t="s">
        <v>1287</v>
      </c>
      <c r="BY742" s="95">
        <f t="shared" si="197"/>
        <v>288</v>
      </c>
      <c r="BZ742" s="81">
        <v>1400</v>
      </c>
      <c r="CA742">
        <f t="shared" si="198"/>
        <v>7.2442275156033498</v>
      </c>
    </row>
    <row r="743" spans="1:79" x14ac:dyDescent="0.3">
      <c r="A743" s="2" t="s">
        <v>63</v>
      </c>
      <c r="B743" s="13" t="s">
        <v>773</v>
      </c>
      <c r="C743" s="13"/>
      <c r="D743" s="2">
        <v>3.5</v>
      </c>
      <c r="E743" s="96" t="s">
        <v>345</v>
      </c>
      <c r="F743" s="9">
        <v>-1</v>
      </c>
      <c r="G743">
        <v>-1</v>
      </c>
      <c r="I743" s="2">
        <v>1</v>
      </c>
      <c r="J743" s="25">
        <v>0</v>
      </c>
      <c r="K743">
        <v>0</v>
      </c>
      <c r="L743">
        <v>0</v>
      </c>
      <c r="M743" s="2">
        <v>3.82</v>
      </c>
      <c r="N743" s="2">
        <v>3.82</v>
      </c>
      <c r="O743" s="2">
        <v>16</v>
      </c>
      <c r="P743" s="2"/>
      <c r="Q743" s="2"/>
      <c r="R743" s="25">
        <v>0</v>
      </c>
      <c r="S743" s="25"/>
      <c r="T743" s="25"/>
      <c r="U743">
        <v>0</v>
      </c>
      <c r="X743">
        <v>0</v>
      </c>
      <c r="AA743" s="2"/>
      <c r="AB743">
        <v>20</v>
      </c>
      <c r="AC743" s="55">
        <f t="shared" si="188"/>
        <v>233.47839999999999</v>
      </c>
      <c r="AD743" s="57">
        <v>0</v>
      </c>
      <c r="AE743" s="55">
        <v>0</v>
      </c>
      <c r="AF743" s="55">
        <v>0</v>
      </c>
      <c r="AG743" s="52">
        <f t="shared" si="195"/>
        <v>8.5661029028809524E-2</v>
      </c>
      <c r="AH743" s="51"/>
      <c r="AI743" s="52"/>
      <c r="AJ743" s="52"/>
      <c r="AK743" s="28">
        <v>1.75</v>
      </c>
      <c r="AL743" s="28">
        <v>2.5</v>
      </c>
      <c r="AM743" s="28">
        <v>0.75</v>
      </c>
      <c r="AN743" s="28">
        <v>0</v>
      </c>
      <c r="AO743" s="28">
        <v>0.35</v>
      </c>
      <c r="AP743" s="28">
        <v>0.5</v>
      </c>
      <c r="AQ743" s="28">
        <v>0.15</v>
      </c>
      <c r="AR743" s="28">
        <v>0</v>
      </c>
      <c r="AS743" s="25">
        <v>1</v>
      </c>
      <c r="AT743" s="25">
        <v>3.44</v>
      </c>
      <c r="AU743" s="25">
        <v>2.44</v>
      </c>
      <c r="AV743" s="25">
        <v>2.7124999999999999</v>
      </c>
      <c r="AW743">
        <v>2.7124999999999999</v>
      </c>
      <c r="AX743">
        <v>6.264025610615688</v>
      </c>
      <c r="AY743" s="75"/>
      <c r="AZ743" s="75"/>
      <c r="BA743" s="75"/>
      <c r="BB743">
        <v>4.2830514514404762E-2</v>
      </c>
      <c r="BF743">
        <v>8.5661029028809524E-2</v>
      </c>
      <c r="BG743">
        <v>4.2830514514404762E-2</v>
      </c>
      <c r="BH743">
        <v>0</v>
      </c>
      <c r="BI743" s="79" t="s">
        <v>1264</v>
      </c>
      <c r="BJ743" s="79">
        <v>1373</v>
      </c>
      <c r="BK743" s="79">
        <v>24</v>
      </c>
      <c r="BM743" s="79" t="s">
        <v>464</v>
      </c>
      <c r="BN743" s="79" t="s">
        <v>464</v>
      </c>
      <c r="BO743" s="79">
        <v>0</v>
      </c>
      <c r="BP743" s="79">
        <v>7.6</v>
      </c>
      <c r="BQ743" s="79">
        <v>0.5</v>
      </c>
      <c r="BR743" s="79">
        <v>1</v>
      </c>
      <c r="BS743" s="95" t="s">
        <v>464</v>
      </c>
      <c r="BT743" s="95" t="s">
        <v>464</v>
      </c>
      <c r="BU743" s="95" t="s">
        <v>1266</v>
      </c>
      <c r="BV743" s="95">
        <v>125</v>
      </c>
      <c r="BW743" s="95">
        <v>220</v>
      </c>
      <c r="BX743" s="95" t="s">
        <v>1287</v>
      </c>
      <c r="BY743" s="95">
        <f t="shared" si="197"/>
        <v>288</v>
      </c>
      <c r="BZ743" s="81">
        <v>520</v>
      </c>
      <c r="CA743">
        <f t="shared" si="198"/>
        <v>6.253828811575473</v>
      </c>
    </row>
    <row r="744" spans="1:79" x14ac:dyDescent="0.3">
      <c r="A744" s="2" t="s">
        <v>151</v>
      </c>
      <c r="B744" s="13" t="s">
        <v>774</v>
      </c>
      <c r="C744" s="13"/>
      <c r="D744" s="2">
        <v>3.26</v>
      </c>
      <c r="E744" s="96" t="s">
        <v>345</v>
      </c>
      <c r="F744" s="9">
        <v>-1</v>
      </c>
      <c r="G744">
        <v>-1</v>
      </c>
      <c r="I744" s="2"/>
      <c r="J744" s="25">
        <v>0</v>
      </c>
      <c r="K744">
        <v>0</v>
      </c>
      <c r="L744">
        <v>0</v>
      </c>
      <c r="M744" s="2">
        <v>3.89</v>
      </c>
      <c r="N744" s="2">
        <v>3.89</v>
      </c>
      <c r="O744" s="2">
        <v>16.399999999999999</v>
      </c>
      <c r="P744" s="2"/>
      <c r="Q744" s="2"/>
      <c r="R744" s="25">
        <v>0</v>
      </c>
      <c r="S744" s="25"/>
      <c r="T744" s="25"/>
      <c r="U744">
        <v>0</v>
      </c>
      <c r="X744">
        <v>0</v>
      </c>
      <c r="AA744" s="2"/>
      <c r="AB744">
        <v>20</v>
      </c>
      <c r="AC744" s="55">
        <f t="shared" ref="AC744:AC747" si="201">M744*N744*O744</f>
        <v>248.16643999999999</v>
      </c>
      <c r="AD744" s="57">
        <v>0</v>
      </c>
      <c r="AE744" s="55">
        <v>0</v>
      </c>
      <c r="AF744" s="55">
        <v>0</v>
      </c>
      <c r="AG744" s="52"/>
      <c r="AH744" s="51"/>
      <c r="AI744" s="52"/>
      <c r="AJ744" s="52"/>
      <c r="AK744" s="28">
        <v>1.75</v>
      </c>
      <c r="AL744" s="28">
        <v>2.5</v>
      </c>
      <c r="AM744" s="28">
        <v>0.75</v>
      </c>
      <c r="AN744" s="28">
        <v>0</v>
      </c>
      <c r="AO744" s="28">
        <v>0.35</v>
      </c>
      <c r="AP744" s="28">
        <v>0.5</v>
      </c>
      <c r="AQ744" s="28">
        <v>0.15</v>
      </c>
      <c r="AR744" s="28">
        <v>0</v>
      </c>
      <c r="AS744" s="25">
        <v>0.95</v>
      </c>
      <c r="AT744" s="25">
        <v>3.44</v>
      </c>
      <c r="AU744" s="25">
        <v>2.4900000000000002</v>
      </c>
      <c r="AV744" s="25">
        <v>2.7062499999999998</v>
      </c>
      <c r="AW744">
        <v>2.7062499999999998</v>
      </c>
      <c r="AX744">
        <v>6.2396022968656872</v>
      </c>
      <c r="AY744" s="75"/>
      <c r="AZ744" s="75"/>
      <c r="BA744" s="75"/>
      <c r="BF744">
        <v>0</v>
      </c>
      <c r="BG744">
        <v>0</v>
      </c>
      <c r="BH744">
        <v>0</v>
      </c>
      <c r="BI744" s="79" t="s">
        <v>1264</v>
      </c>
      <c r="BJ744" s="79">
        <v>1573</v>
      </c>
      <c r="BK744" s="79">
        <v>10</v>
      </c>
      <c r="BM744" s="79" t="s">
        <v>464</v>
      </c>
      <c r="BN744" s="79" t="s">
        <v>464</v>
      </c>
      <c r="BO744" s="79">
        <v>0</v>
      </c>
      <c r="BP744" s="79">
        <v>103</v>
      </c>
      <c r="BQ744" s="79">
        <v>0.5</v>
      </c>
      <c r="BR744" s="79">
        <v>1</v>
      </c>
      <c r="BS744" s="95" t="s">
        <v>464</v>
      </c>
      <c r="BT744" s="95" t="s">
        <v>464</v>
      </c>
      <c r="BU744" s="95" t="s">
        <v>1266</v>
      </c>
      <c r="BV744" s="95">
        <v>125</v>
      </c>
      <c r="BW744" s="95">
        <v>220</v>
      </c>
      <c r="BX744" s="95" t="s">
        <v>1287</v>
      </c>
      <c r="BY744" s="95">
        <f t="shared" si="197"/>
        <v>288</v>
      </c>
      <c r="BZ744" s="81">
        <v>380</v>
      </c>
      <c r="CA744">
        <f t="shared" ref="CA744:CA747" si="202">LN(BZ744)</f>
        <v>5.9401712527204316</v>
      </c>
    </row>
    <row r="745" spans="1:79" x14ac:dyDescent="0.3">
      <c r="A745" s="2" t="s">
        <v>63</v>
      </c>
      <c r="B745" s="13" t="s">
        <v>773</v>
      </c>
      <c r="C745" s="13"/>
      <c r="D745" s="2">
        <v>3.38</v>
      </c>
      <c r="E745" s="96" t="s">
        <v>345</v>
      </c>
      <c r="F745" s="9">
        <v>-1</v>
      </c>
      <c r="G745">
        <v>-1</v>
      </c>
      <c r="I745" s="2">
        <v>1</v>
      </c>
      <c r="J745" s="25">
        <v>0</v>
      </c>
      <c r="K745">
        <v>0</v>
      </c>
      <c r="L745">
        <v>0</v>
      </c>
      <c r="M745" s="2">
        <v>3.82</v>
      </c>
      <c r="N745" s="2">
        <v>3.82</v>
      </c>
      <c r="O745" s="2">
        <v>16</v>
      </c>
      <c r="P745" s="2"/>
      <c r="Q745" s="2"/>
      <c r="R745" s="25">
        <v>0</v>
      </c>
      <c r="S745" s="25"/>
      <c r="T745" s="25"/>
      <c r="U745">
        <v>0</v>
      </c>
      <c r="X745">
        <v>0</v>
      </c>
      <c r="AA745" s="2"/>
      <c r="AB745">
        <v>20</v>
      </c>
      <c r="AC745" s="55">
        <f t="shared" si="201"/>
        <v>233.47839999999999</v>
      </c>
      <c r="AD745" s="57">
        <v>0</v>
      </c>
      <c r="AE745" s="55">
        <v>0</v>
      </c>
      <c r="AF745" s="55">
        <v>0</v>
      </c>
      <c r="AG745" s="52">
        <f t="shared" ref="AG745" si="203">I745*AB745/AC745</f>
        <v>8.5661029028809524E-2</v>
      </c>
      <c r="AH745" s="51"/>
      <c r="AI745" s="52"/>
      <c r="AJ745" s="52"/>
      <c r="AK745" s="28">
        <v>1.75</v>
      </c>
      <c r="AL745" s="28">
        <v>2.5</v>
      </c>
      <c r="AM745" s="28">
        <v>0.75</v>
      </c>
      <c r="AN745" s="28">
        <v>0</v>
      </c>
      <c r="AO745" s="28">
        <v>0.35</v>
      </c>
      <c r="AP745" s="28">
        <v>0.5</v>
      </c>
      <c r="AQ745" s="28">
        <v>0.15</v>
      </c>
      <c r="AR745" s="28">
        <v>0</v>
      </c>
      <c r="AS745" s="25">
        <v>1</v>
      </c>
      <c r="AT745" s="25">
        <v>3.44</v>
      </c>
      <c r="AU745" s="25">
        <v>2.44</v>
      </c>
      <c r="AV745" s="25">
        <v>2.7124999999999999</v>
      </c>
      <c r="AW745">
        <v>2.7124999999999999</v>
      </c>
      <c r="AX745">
        <v>6.264025610615688</v>
      </c>
      <c r="AY745" s="75"/>
      <c r="AZ745" s="75"/>
      <c r="BA745" s="75"/>
      <c r="BB745">
        <v>4.2830514514404762E-2</v>
      </c>
      <c r="BF745">
        <v>8.5661029028809524E-2</v>
      </c>
      <c r="BG745">
        <v>4.2830514514404762E-2</v>
      </c>
      <c r="BH745">
        <v>0</v>
      </c>
      <c r="BI745" s="79" t="s">
        <v>1264</v>
      </c>
      <c r="BJ745" s="79">
        <v>1373</v>
      </c>
      <c r="BK745" s="79">
        <v>24</v>
      </c>
      <c r="BM745" s="79" t="s">
        <v>464</v>
      </c>
      <c r="BN745" s="79" t="s">
        <v>464</v>
      </c>
      <c r="BO745" s="79">
        <v>0</v>
      </c>
      <c r="BP745" s="79">
        <v>76.3</v>
      </c>
      <c r="BQ745" s="79">
        <v>0.5</v>
      </c>
      <c r="BR745" s="79">
        <v>1</v>
      </c>
      <c r="BS745" s="95" t="s">
        <v>464</v>
      </c>
      <c r="BT745" s="95" t="s">
        <v>464</v>
      </c>
      <c r="BU745" s="95" t="s">
        <v>1266</v>
      </c>
      <c r="BV745" s="95">
        <v>125</v>
      </c>
      <c r="BW745" s="95">
        <v>220</v>
      </c>
      <c r="BX745" s="95" t="s">
        <v>1287</v>
      </c>
      <c r="BY745" s="95">
        <f t="shared" si="197"/>
        <v>288</v>
      </c>
      <c r="BZ745" s="81">
        <v>296</v>
      </c>
      <c r="CA745">
        <f t="shared" si="202"/>
        <v>5.6903594543240601</v>
      </c>
    </row>
    <row r="746" spans="1:79" x14ac:dyDescent="0.3">
      <c r="A746" s="2" t="s">
        <v>151</v>
      </c>
      <c r="B746" s="13" t="s">
        <v>774</v>
      </c>
      <c r="C746" s="13"/>
      <c r="D746" s="2">
        <v>3.26</v>
      </c>
      <c r="E746" s="96" t="s">
        <v>345</v>
      </c>
      <c r="F746" s="9">
        <v>-1</v>
      </c>
      <c r="G746">
        <v>-1</v>
      </c>
      <c r="I746" s="2"/>
      <c r="J746" s="25">
        <v>0</v>
      </c>
      <c r="K746">
        <v>0</v>
      </c>
      <c r="L746">
        <v>0</v>
      </c>
      <c r="M746" s="2">
        <v>3.89</v>
      </c>
      <c r="N746" s="2">
        <v>3.89</v>
      </c>
      <c r="O746" s="2">
        <v>16.399999999999999</v>
      </c>
      <c r="P746" s="2"/>
      <c r="Q746" s="2"/>
      <c r="R746" s="25">
        <v>0</v>
      </c>
      <c r="S746" s="25"/>
      <c r="T746" s="25"/>
      <c r="U746">
        <v>0</v>
      </c>
      <c r="X746">
        <v>0</v>
      </c>
      <c r="AA746" s="2"/>
      <c r="AB746">
        <v>20</v>
      </c>
      <c r="AC746" s="55">
        <f t="shared" si="201"/>
        <v>248.16643999999999</v>
      </c>
      <c r="AD746" s="57">
        <v>0</v>
      </c>
      <c r="AE746" s="55">
        <v>0</v>
      </c>
      <c r="AF746" s="55">
        <v>0</v>
      </c>
      <c r="AG746" s="52"/>
      <c r="AH746" s="51"/>
      <c r="AI746" s="52"/>
      <c r="AJ746" s="52"/>
      <c r="AK746" s="28">
        <v>1.75</v>
      </c>
      <c r="AL746" s="28">
        <v>2.5</v>
      </c>
      <c r="AM746" s="28">
        <v>0.75</v>
      </c>
      <c r="AN746" s="28">
        <v>0</v>
      </c>
      <c r="AO746" s="28">
        <v>0.35</v>
      </c>
      <c r="AP746" s="28">
        <v>0.5</v>
      </c>
      <c r="AQ746" s="28">
        <v>0.15</v>
      </c>
      <c r="AR746" s="28">
        <v>0</v>
      </c>
      <c r="AS746" s="25">
        <v>0.95</v>
      </c>
      <c r="AT746" s="25">
        <v>3.44</v>
      </c>
      <c r="AU746" s="25">
        <v>2.4900000000000002</v>
      </c>
      <c r="AV746" s="25">
        <v>2.7062499999999998</v>
      </c>
      <c r="AW746">
        <v>2.7062499999999998</v>
      </c>
      <c r="AX746">
        <v>6.2396022968656872</v>
      </c>
      <c r="AY746" s="75"/>
      <c r="AZ746" s="75"/>
      <c r="BA746" s="75"/>
      <c r="BF746">
        <v>0</v>
      </c>
      <c r="BG746">
        <v>0</v>
      </c>
      <c r="BH746">
        <v>0</v>
      </c>
      <c r="BI746" s="79" t="s">
        <v>1264</v>
      </c>
      <c r="BJ746" s="79">
        <v>1573</v>
      </c>
      <c r="BK746" s="79">
        <v>10</v>
      </c>
      <c r="BM746" s="79" t="s">
        <v>1268</v>
      </c>
      <c r="BN746" s="79" t="s">
        <v>863</v>
      </c>
      <c r="BO746" s="79">
        <v>1</v>
      </c>
      <c r="BP746" s="79">
        <v>3.1</v>
      </c>
      <c r="BQ746" s="79">
        <v>0.5</v>
      </c>
      <c r="BR746" s="79">
        <v>1</v>
      </c>
      <c r="BS746" s="95" t="s">
        <v>464</v>
      </c>
      <c r="BT746" s="95" t="s">
        <v>464</v>
      </c>
      <c r="BU746" s="95" t="s">
        <v>1266</v>
      </c>
      <c r="BV746" s="95">
        <v>125</v>
      </c>
      <c r="BW746" s="95">
        <v>220</v>
      </c>
      <c r="BX746" s="95" t="s">
        <v>1287</v>
      </c>
      <c r="BY746" s="95">
        <f t="shared" si="197"/>
        <v>288</v>
      </c>
      <c r="BZ746" s="81">
        <v>15200</v>
      </c>
      <c r="CA746">
        <f t="shared" si="202"/>
        <v>9.6290507068343683</v>
      </c>
    </row>
    <row r="747" spans="1:79" x14ac:dyDescent="0.3">
      <c r="A747" s="2" t="s">
        <v>63</v>
      </c>
      <c r="B747" s="13" t="s">
        <v>773</v>
      </c>
      <c r="C747" s="13"/>
      <c r="D747" s="2">
        <v>3.5</v>
      </c>
      <c r="E747" s="96" t="s">
        <v>345</v>
      </c>
      <c r="F747" s="9">
        <v>-1</v>
      </c>
      <c r="G747">
        <v>-1</v>
      </c>
      <c r="I747" s="2">
        <v>1</v>
      </c>
      <c r="J747" s="25">
        <v>0</v>
      </c>
      <c r="K747">
        <v>0</v>
      </c>
      <c r="L747">
        <v>0</v>
      </c>
      <c r="M747" s="2">
        <v>3.82</v>
      </c>
      <c r="N747" s="2">
        <v>3.82</v>
      </c>
      <c r="O747" s="2">
        <v>16</v>
      </c>
      <c r="P747" s="2"/>
      <c r="Q747" s="2"/>
      <c r="R747" s="25">
        <v>0</v>
      </c>
      <c r="S747" s="25"/>
      <c r="T747" s="25"/>
      <c r="U747">
        <v>0</v>
      </c>
      <c r="X747">
        <v>0</v>
      </c>
      <c r="AA747" s="2"/>
      <c r="AB747">
        <v>20</v>
      </c>
      <c r="AC747" s="55">
        <f t="shared" si="201"/>
        <v>233.47839999999999</v>
      </c>
      <c r="AD747" s="57">
        <v>0</v>
      </c>
      <c r="AE747" s="55">
        <v>0</v>
      </c>
      <c r="AF747" s="55">
        <v>0</v>
      </c>
      <c r="AG747" s="52">
        <f t="shared" ref="AG747" si="204">I747*AB747/AC747</f>
        <v>8.5661029028809524E-2</v>
      </c>
      <c r="AH747" s="51"/>
      <c r="AI747" s="52"/>
      <c r="AJ747" s="52"/>
      <c r="AK747" s="28">
        <v>1.75</v>
      </c>
      <c r="AL747" s="28">
        <v>2.5</v>
      </c>
      <c r="AM747" s="28">
        <v>0.75</v>
      </c>
      <c r="AN747" s="28">
        <v>0</v>
      </c>
      <c r="AO747" s="28">
        <v>0.35</v>
      </c>
      <c r="AP747" s="28">
        <v>0.5</v>
      </c>
      <c r="AQ747" s="28">
        <v>0.15</v>
      </c>
      <c r="AR747" s="28">
        <v>0</v>
      </c>
      <c r="AS747" s="25">
        <v>1</v>
      </c>
      <c r="AT747" s="25">
        <v>3.44</v>
      </c>
      <c r="AU747" s="25">
        <v>2.44</v>
      </c>
      <c r="AV747" s="25">
        <v>2.7124999999999999</v>
      </c>
      <c r="AW747">
        <v>2.7124999999999999</v>
      </c>
      <c r="AX747">
        <v>6.264025610615688</v>
      </c>
      <c r="AY747" s="75"/>
      <c r="AZ747" s="75"/>
      <c r="BA747" s="75"/>
      <c r="BB747">
        <v>4.2830514514404762E-2</v>
      </c>
      <c r="BF747">
        <v>8.5661029028809524E-2</v>
      </c>
      <c r="BG747">
        <v>4.2830514514404762E-2</v>
      </c>
      <c r="BH747">
        <v>0</v>
      </c>
      <c r="BI747" s="79" t="s">
        <v>1264</v>
      </c>
      <c r="BJ747" s="79">
        <v>1373</v>
      </c>
      <c r="BK747" s="79">
        <v>24</v>
      </c>
      <c r="BM747" s="79" t="s">
        <v>1268</v>
      </c>
      <c r="BN747" s="79" t="s">
        <v>863</v>
      </c>
      <c r="BO747" s="79">
        <v>1</v>
      </c>
      <c r="BP747" s="79">
        <v>7.6</v>
      </c>
      <c r="BQ747" s="79">
        <v>0.5</v>
      </c>
      <c r="BR747" s="79">
        <v>1</v>
      </c>
      <c r="BS747" s="95" t="s">
        <v>464</v>
      </c>
      <c r="BT747" s="95" t="s">
        <v>464</v>
      </c>
      <c r="BU747" s="95" t="s">
        <v>1266</v>
      </c>
      <c r="BV747" s="95">
        <v>125</v>
      </c>
      <c r="BW747" s="95">
        <v>220</v>
      </c>
      <c r="BX747" s="95" t="s">
        <v>1287</v>
      </c>
      <c r="BY747" s="95">
        <f t="shared" si="197"/>
        <v>288</v>
      </c>
      <c r="BZ747" s="81">
        <v>23600</v>
      </c>
      <c r="CA747">
        <f t="shared" si="202"/>
        <v>10.069001991013701</v>
      </c>
    </row>
    <row r="748" spans="1:79" x14ac:dyDescent="0.3">
      <c r="A748" s="2" t="s">
        <v>151</v>
      </c>
      <c r="B748" s="13" t="s">
        <v>774</v>
      </c>
      <c r="C748" s="13"/>
      <c r="D748" s="2">
        <v>3.26</v>
      </c>
      <c r="E748" s="96" t="s">
        <v>345</v>
      </c>
      <c r="F748" s="9">
        <v>-1</v>
      </c>
      <c r="G748">
        <v>-1</v>
      </c>
      <c r="I748" s="2"/>
      <c r="J748" s="25">
        <v>0</v>
      </c>
      <c r="K748">
        <v>0</v>
      </c>
      <c r="L748">
        <v>0</v>
      </c>
      <c r="M748" s="2">
        <v>3.89</v>
      </c>
      <c r="N748" s="2">
        <v>3.89</v>
      </c>
      <c r="O748" s="2">
        <v>16.399999999999999</v>
      </c>
      <c r="P748" s="2"/>
      <c r="Q748" s="2"/>
      <c r="R748" s="25">
        <v>0</v>
      </c>
      <c r="S748" s="25"/>
      <c r="T748" s="25"/>
      <c r="U748">
        <v>0</v>
      </c>
      <c r="X748">
        <v>0</v>
      </c>
      <c r="AA748" s="2"/>
      <c r="AB748">
        <v>20</v>
      </c>
      <c r="AC748" s="55">
        <f t="shared" ref="AC748:AC755" si="205">M748*N748*O748</f>
        <v>248.16643999999999</v>
      </c>
      <c r="AD748" s="57">
        <v>0</v>
      </c>
      <c r="AE748" s="55">
        <v>0</v>
      </c>
      <c r="AF748" s="55">
        <v>0</v>
      </c>
      <c r="AG748" s="52"/>
      <c r="AH748" s="51"/>
      <c r="AI748" s="52"/>
      <c r="AJ748" s="52"/>
      <c r="AK748" s="28">
        <v>1.75</v>
      </c>
      <c r="AL748" s="28">
        <v>2.5</v>
      </c>
      <c r="AM748" s="28">
        <v>0.75</v>
      </c>
      <c r="AN748" s="28">
        <v>0</v>
      </c>
      <c r="AO748" s="28">
        <v>0.35</v>
      </c>
      <c r="AP748" s="28">
        <v>0.5</v>
      </c>
      <c r="AQ748" s="28">
        <v>0.15</v>
      </c>
      <c r="AR748" s="28">
        <v>0</v>
      </c>
      <c r="AS748" s="25">
        <v>0.95</v>
      </c>
      <c r="AT748" s="25">
        <v>3.44</v>
      </c>
      <c r="AU748" s="25">
        <v>2.4900000000000002</v>
      </c>
      <c r="AV748" s="25">
        <v>2.7062499999999998</v>
      </c>
      <c r="AW748">
        <v>2.7062499999999998</v>
      </c>
      <c r="AX748">
        <v>6.2396022968656872</v>
      </c>
      <c r="AY748" s="75"/>
      <c r="AZ748" s="75"/>
      <c r="BA748" s="75"/>
      <c r="BF748">
        <v>0</v>
      </c>
      <c r="BG748">
        <v>0</v>
      </c>
      <c r="BH748">
        <v>0</v>
      </c>
      <c r="BI748" s="79" t="s">
        <v>1264</v>
      </c>
      <c r="BJ748" s="79">
        <v>1573</v>
      </c>
      <c r="BK748" s="79">
        <v>10</v>
      </c>
      <c r="BM748" s="79" t="s">
        <v>1268</v>
      </c>
      <c r="BN748" s="79" t="s">
        <v>863</v>
      </c>
      <c r="BO748" s="79">
        <v>1</v>
      </c>
      <c r="BP748" s="79">
        <v>103</v>
      </c>
      <c r="BQ748" s="79">
        <v>0.5</v>
      </c>
      <c r="BR748" s="79">
        <v>1</v>
      </c>
      <c r="BS748" s="95" t="s">
        <v>464</v>
      </c>
      <c r="BT748" s="95" t="s">
        <v>464</v>
      </c>
      <c r="BU748" s="95" t="s">
        <v>1266</v>
      </c>
      <c r="BV748" s="95">
        <v>125</v>
      </c>
      <c r="BW748" s="95">
        <v>220</v>
      </c>
      <c r="BX748" s="95" t="s">
        <v>1287</v>
      </c>
      <c r="BY748" s="95">
        <f t="shared" si="197"/>
        <v>288</v>
      </c>
      <c r="BZ748" s="81">
        <v>36000</v>
      </c>
      <c r="CA748">
        <f t="shared" ref="CA748:CA755" si="206">LN(BZ748)</f>
        <v>10.491274217438248</v>
      </c>
    </row>
    <row r="749" spans="1:79" x14ac:dyDescent="0.3">
      <c r="A749" s="2" t="s">
        <v>63</v>
      </c>
      <c r="B749" s="13" t="s">
        <v>773</v>
      </c>
      <c r="C749" s="13"/>
      <c r="D749" s="2">
        <v>3.38</v>
      </c>
      <c r="E749" s="96" t="s">
        <v>345</v>
      </c>
      <c r="F749" s="9">
        <v>-1</v>
      </c>
      <c r="G749">
        <v>-1</v>
      </c>
      <c r="I749" s="2">
        <v>1</v>
      </c>
      <c r="J749" s="25">
        <v>0</v>
      </c>
      <c r="K749">
        <v>0</v>
      </c>
      <c r="L749">
        <v>0</v>
      </c>
      <c r="M749" s="2">
        <v>3.82</v>
      </c>
      <c r="N749" s="2">
        <v>3.82</v>
      </c>
      <c r="O749" s="2">
        <v>16</v>
      </c>
      <c r="P749" s="2"/>
      <c r="Q749" s="2"/>
      <c r="R749" s="25">
        <v>0</v>
      </c>
      <c r="S749" s="25"/>
      <c r="T749" s="25"/>
      <c r="U749">
        <v>0</v>
      </c>
      <c r="X749">
        <v>0</v>
      </c>
      <c r="AA749" s="2"/>
      <c r="AB749">
        <v>20</v>
      </c>
      <c r="AC749" s="55">
        <f t="shared" si="205"/>
        <v>233.47839999999999</v>
      </c>
      <c r="AD749" s="57">
        <v>0</v>
      </c>
      <c r="AE749" s="55">
        <v>0</v>
      </c>
      <c r="AF749" s="55">
        <v>0</v>
      </c>
      <c r="AG749" s="52">
        <f t="shared" ref="AG749" si="207">I749*AB749/AC749</f>
        <v>8.5661029028809524E-2</v>
      </c>
      <c r="AH749" s="51"/>
      <c r="AI749" s="52"/>
      <c r="AJ749" s="52"/>
      <c r="AK749" s="28">
        <v>1.75</v>
      </c>
      <c r="AL749" s="28">
        <v>2.5</v>
      </c>
      <c r="AM749" s="28">
        <v>0.75</v>
      </c>
      <c r="AN749" s="28">
        <v>0</v>
      </c>
      <c r="AO749" s="28">
        <v>0.35</v>
      </c>
      <c r="AP749" s="28">
        <v>0.5</v>
      </c>
      <c r="AQ749" s="28">
        <v>0.15</v>
      </c>
      <c r="AR749" s="28">
        <v>0</v>
      </c>
      <c r="AS749" s="25">
        <v>1</v>
      </c>
      <c r="AT749" s="25">
        <v>3.44</v>
      </c>
      <c r="AU749" s="25">
        <v>2.44</v>
      </c>
      <c r="AV749" s="25">
        <v>2.7124999999999999</v>
      </c>
      <c r="AW749">
        <v>2.7124999999999999</v>
      </c>
      <c r="AX749">
        <v>6.264025610615688</v>
      </c>
      <c r="AY749" s="75"/>
      <c r="AZ749" s="75"/>
      <c r="BA749" s="75"/>
      <c r="BB749">
        <v>4.2830514514404762E-2</v>
      </c>
      <c r="BF749">
        <v>8.5661029028809524E-2</v>
      </c>
      <c r="BG749">
        <v>4.2830514514404762E-2</v>
      </c>
      <c r="BH749">
        <v>0</v>
      </c>
      <c r="BI749" s="79" t="s">
        <v>1264</v>
      </c>
      <c r="BJ749" s="79">
        <v>1373</v>
      </c>
      <c r="BK749" s="79">
        <v>24</v>
      </c>
      <c r="BM749" s="79" t="s">
        <v>1268</v>
      </c>
      <c r="BN749" s="79" t="s">
        <v>863</v>
      </c>
      <c r="BO749" s="79">
        <v>1</v>
      </c>
      <c r="BP749" s="79">
        <v>76.3</v>
      </c>
      <c r="BQ749" s="79">
        <v>0.5</v>
      </c>
      <c r="BR749" s="79">
        <v>1</v>
      </c>
      <c r="BS749" s="95" t="s">
        <v>464</v>
      </c>
      <c r="BT749" s="95" t="s">
        <v>464</v>
      </c>
      <c r="BU749" s="95" t="s">
        <v>1266</v>
      </c>
      <c r="BV749" s="95">
        <v>125</v>
      </c>
      <c r="BW749" s="95">
        <v>220</v>
      </c>
      <c r="BX749" s="95" t="s">
        <v>1287</v>
      </c>
      <c r="BY749" s="95">
        <f t="shared" si="197"/>
        <v>288</v>
      </c>
      <c r="BZ749" s="81">
        <v>37600</v>
      </c>
      <c r="CA749">
        <f t="shared" si="206"/>
        <v>10.534759329377986</v>
      </c>
    </row>
    <row r="750" spans="1:79" x14ac:dyDescent="0.3">
      <c r="A750" s="2" t="s">
        <v>151</v>
      </c>
      <c r="B750" s="13" t="s">
        <v>774</v>
      </c>
      <c r="C750" s="13"/>
      <c r="D750" s="2">
        <v>3.26</v>
      </c>
      <c r="E750" s="96" t="s">
        <v>345</v>
      </c>
      <c r="F750" s="9">
        <v>-1</v>
      </c>
      <c r="G750">
        <v>-1</v>
      </c>
      <c r="I750" s="2"/>
      <c r="J750" s="25">
        <v>0</v>
      </c>
      <c r="K750">
        <v>0</v>
      </c>
      <c r="L750">
        <v>0</v>
      </c>
      <c r="M750" s="2">
        <v>3.89</v>
      </c>
      <c r="N750" s="2">
        <v>3.89</v>
      </c>
      <c r="O750" s="2">
        <v>16.399999999999999</v>
      </c>
      <c r="P750" s="2"/>
      <c r="Q750" s="2"/>
      <c r="R750" s="25">
        <v>0</v>
      </c>
      <c r="S750" s="25"/>
      <c r="T750" s="25"/>
      <c r="U750">
        <v>0</v>
      </c>
      <c r="X750">
        <v>0</v>
      </c>
      <c r="AA750" s="2"/>
      <c r="AB750">
        <v>20</v>
      </c>
      <c r="AC750" s="55">
        <f t="shared" si="205"/>
        <v>248.16643999999999</v>
      </c>
      <c r="AD750" s="57">
        <v>0</v>
      </c>
      <c r="AE750" s="55">
        <v>0</v>
      </c>
      <c r="AF750" s="55">
        <v>0</v>
      </c>
      <c r="AG750" s="52"/>
      <c r="AH750" s="51"/>
      <c r="AI750" s="52"/>
      <c r="AJ750" s="52"/>
      <c r="AK750" s="28">
        <v>1.75</v>
      </c>
      <c r="AL750" s="28">
        <v>2.5</v>
      </c>
      <c r="AM750" s="28">
        <v>0.75</v>
      </c>
      <c r="AN750" s="28">
        <v>0</v>
      </c>
      <c r="AO750" s="28">
        <v>0.35</v>
      </c>
      <c r="AP750" s="28">
        <v>0.5</v>
      </c>
      <c r="AQ750" s="28">
        <v>0.15</v>
      </c>
      <c r="AR750" s="28">
        <v>0</v>
      </c>
      <c r="AS750" s="25">
        <v>0.95</v>
      </c>
      <c r="AT750" s="25">
        <v>3.44</v>
      </c>
      <c r="AU750" s="25">
        <v>2.4900000000000002</v>
      </c>
      <c r="AV750" s="25">
        <v>2.7062499999999998</v>
      </c>
      <c r="AW750">
        <v>2.7062499999999998</v>
      </c>
      <c r="AX750">
        <v>6.2396022968656872</v>
      </c>
      <c r="AY750" s="75"/>
      <c r="AZ750" s="75"/>
      <c r="BA750" s="75"/>
      <c r="BF750">
        <v>0</v>
      </c>
      <c r="BG750">
        <v>0</v>
      </c>
      <c r="BH750">
        <v>0</v>
      </c>
      <c r="BI750" s="79" t="s">
        <v>1264</v>
      </c>
      <c r="BJ750" s="79">
        <v>1573</v>
      </c>
      <c r="BK750" s="79">
        <v>10</v>
      </c>
      <c r="BM750" s="79" t="s">
        <v>464</v>
      </c>
      <c r="BN750" s="79" t="s">
        <v>464</v>
      </c>
      <c r="BO750" s="79">
        <v>0</v>
      </c>
      <c r="BP750" s="79">
        <v>3.1</v>
      </c>
      <c r="BQ750" s="79">
        <v>0.5</v>
      </c>
      <c r="BR750" s="79">
        <v>0</v>
      </c>
      <c r="BS750" s="95" t="s">
        <v>464</v>
      </c>
      <c r="BT750" s="95" t="s">
        <v>464</v>
      </c>
      <c r="BU750" s="95" t="s">
        <v>1266</v>
      </c>
      <c r="BV750" s="95">
        <v>125</v>
      </c>
      <c r="BW750" s="95">
        <v>220</v>
      </c>
      <c r="BX750" s="95" t="s">
        <v>1287</v>
      </c>
      <c r="BY750" s="95">
        <f t="shared" si="197"/>
        <v>288</v>
      </c>
      <c r="BZ750" s="81">
        <v>23.199999999999996</v>
      </c>
      <c r="CA750">
        <f t="shared" si="206"/>
        <v>3.144152278672264</v>
      </c>
    </row>
    <row r="751" spans="1:79" x14ac:dyDescent="0.3">
      <c r="A751" s="2" t="s">
        <v>63</v>
      </c>
      <c r="B751" s="13" t="s">
        <v>773</v>
      </c>
      <c r="C751" s="13"/>
      <c r="D751" s="2">
        <v>3.5</v>
      </c>
      <c r="E751" s="96" t="s">
        <v>345</v>
      </c>
      <c r="F751" s="9">
        <v>-1</v>
      </c>
      <c r="G751">
        <v>-1</v>
      </c>
      <c r="I751" s="2">
        <v>1</v>
      </c>
      <c r="J751" s="25">
        <v>0</v>
      </c>
      <c r="K751">
        <v>0</v>
      </c>
      <c r="L751">
        <v>0</v>
      </c>
      <c r="M751" s="2">
        <v>3.82</v>
      </c>
      <c r="N751" s="2">
        <v>3.82</v>
      </c>
      <c r="O751" s="2">
        <v>16</v>
      </c>
      <c r="P751" s="2"/>
      <c r="Q751" s="2"/>
      <c r="R751" s="25">
        <v>0</v>
      </c>
      <c r="S751" s="25"/>
      <c r="T751" s="25"/>
      <c r="U751">
        <v>0</v>
      </c>
      <c r="X751">
        <v>0</v>
      </c>
      <c r="AA751" s="2"/>
      <c r="AB751">
        <v>20</v>
      </c>
      <c r="AC751" s="55">
        <f t="shared" si="205"/>
        <v>233.47839999999999</v>
      </c>
      <c r="AD751" s="57">
        <v>0</v>
      </c>
      <c r="AE751" s="55">
        <v>0</v>
      </c>
      <c r="AF751" s="55">
        <v>0</v>
      </c>
      <c r="AG751" s="52">
        <f t="shared" ref="AG751" si="208">I751*AB751/AC751</f>
        <v>8.5661029028809524E-2</v>
      </c>
      <c r="AH751" s="51"/>
      <c r="AI751" s="52"/>
      <c r="AJ751" s="52"/>
      <c r="AK751" s="28">
        <v>1.75</v>
      </c>
      <c r="AL751" s="28">
        <v>2.5</v>
      </c>
      <c r="AM751" s="28">
        <v>0.75</v>
      </c>
      <c r="AN751" s="28">
        <v>0</v>
      </c>
      <c r="AO751" s="28">
        <v>0.35</v>
      </c>
      <c r="AP751" s="28">
        <v>0.5</v>
      </c>
      <c r="AQ751" s="28">
        <v>0.15</v>
      </c>
      <c r="AR751" s="28">
        <v>0</v>
      </c>
      <c r="AS751" s="25">
        <v>1</v>
      </c>
      <c r="AT751" s="25">
        <v>3.44</v>
      </c>
      <c r="AU751" s="25">
        <v>2.44</v>
      </c>
      <c r="AV751" s="25">
        <v>2.7124999999999999</v>
      </c>
      <c r="AW751">
        <v>2.7124999999999999</v>
      </c>
      <c r="AX751">
        <v>6.264025610615688</v>
      </c>
      <c r="AY751" s="75"/>
      <c r="AZ751" s="75"/>
      <c r="BA751" s="75"/>
      <c r="BB751">
        <v>4.2830514514404762E-2</v>
      </c>
      <c r="BF751">
        <v>8.5661029028809524E-2</v>
      </c>
      <c r="BG751">
        <v>4.2830514514404762E-2</v>
      </c>
      <c r="BH751">
        <v>0</v>
      </c>
      <c r="BI751" s="79" t="s">
        <v>1264</v>
      </c>
      <c r="BJ751" s="79">
        <v>1373</v>
      </c>
      <c r="BK751" s="79">
        <v>24</v>
      </c>
      <c r="BM751" s="79" t="s">
        <v>464</v>
      </c>
      <c r="BN751" s="79" t="s">
        <v>464</v>
      </c>
      <c r="BO751" s="79">
        <v>0</v>
      </c>
      <c r="BP751" s="79">
        <v>7.6</v>
      </c>
      <c r="BQ751" s="79">
        <v>0.5</v>
      </c>
      <c r="BR751" s="79">
        <v>0</v>
      </c>
      <c r="BS751" s="95" t="s">
        <v>464</v>
      </c>
      <c r="BT751" s="95" t="s">
        <v>464</v>
      </c>
      <c r="BU751" s="95" t="s">
        <v>1266</v>
      </c>
      <c r="BV751" s="95">
        <v>125</v>
      </c>
      <c r="BW751" s="95">
        <v>220</v>
      </c>
      <c r="BX751" s="95" t="s">
        <v>1287</v>
      </c>
      <c r="BY751" s="95">
        <f t="shared" si="197"/>
        <v>288</v>
      </c>
      <c r="BZ751" s="81">
        <v>160</v>
      </c>
      <c r="CA751">
        <f t="shared" si="206"/>
        <v>5.0751738152338266</v>
      </c>
    </row>
    <row r="752" spans="1:79" x14ac:dyDescent="0.3">
      <c r="A752" s="2" t="s">
        <v>151</v>
      </c>
      <c r="B752" s="13" t="s">
        <v>774</v>
      </c>
      <c r="C752" s="13"/>
      <c r="D752" s="2">
        <v>3.26</v>
      </c>
      <c r="E752" s="96" t="s">
        <v>345</v>
      </c>
      <c r="F752" s="9">
        <v>-1</v>
      </c>
      <c r="G752">
        <v>-1</v>
      </c>
      <c r="I752" s="2"/>
      <c r="J752" s="25">
        <v>0</v>
      </c>
      <c r="K752">
        <v>0</v>
      </c>
      <c r="L752">
        <v>0</v>
      </c>
      <c r="M752" s="2">
        <v>3.89</v>
      </c>
      <c r="N752" s="2">
        <v>3.89</v>
      </c>
      <c r="O752" s="2">
        <v>16.399999999999999</v>
      </c>
      <c r="P752" s="2"/>
      <c r="Q752" s="2"/>
      <c r="R752" s="25">
        <v>0</v>
      </c>
      <c r="S752" s="25"/>
      <c r="T752" s="25"/>
      <c r="U752">
        <v>0</v>
      </c>
      <c r="X752">
        <v>0</v>
      </c>
      <c r="AA752" s="2"/>
      <c r="AB752">
        <v>20</v>
      </c>
      <c r="AC752" s="55">
        <f t="shared" si="205"/>
        <v>248.16643999999999</v>
      </c>
      <c r="AD752" s="57">
        <v>0</v>
      </c>
      <c r="AE752" s="55">
        <v>0</v>
      </c>
      <c r="AF752" s="55">
        <v>0</v>
      </c>
      <c r="AG752" s="52"/>
      <c r="AH752" s="51"/>
      <c r="AI752" s="52"/>
      <c r="AJ752" s="52"/>
      <c r="AK752" s="28">
        <v>1.75</v>
      </c>
      <c r="AL752" s="28">
        <v>2.5</v>
      </c>
      <c r="AM752" s="28">
        <v>0.75</v>
      </c>
      <c r="AN752" s="28">
        <v>0</v>
      </c>
      <c r="AO752" s="28">
        <v>0.35</v>
      </c>
      <c r="AP752" s="28">
        <v>0.5</v>
      </c>
      <c r="AQ752" s="28">
        <v>0.15</v>
      </c>
      <c r="AR752" s="28">
        <v>0</v>
      </c>
      <c r="AS752" s="25">
        <v>0.95</v>
      </c>
      <c r="AT752" s="25">
        <v>3.44</v>
      </c>
      <c r="AU752" s="25">
        <v>2.4900000000000002</v>
      </c>
      <c r="AV752" s="25">
        <v>2.7062499999999998</v>
      </c>
      <c r="AW752">
        <v>2.7062499999999998</v>
      </c>
      <c r="AX752">
        <v>6.2396022968656872</v>
      </c>
      <c r="AY752" s="75"/>
      <c r="AZ752" s="75"/>
      <c r="BA752" s="75"/>
      <c r="BF752">
        <v>0</v>
      </c>
      <c r="BG752">
        <v>0</v>
      </c>
      <c r="BH752">
        <v>0</v>
      </c>
      <c r="BI752" s="79" t="s">
        <v>1264</v>
      </c>
      <c r="BJ752" s="79">
        <v>1573</v>
      </c>
      <c r="BK752" s="79">
        <v>10</v>
      </c>
      <c r="BM752" s="79" t="s">
        <v>464</v>
      </c>
      <c r="BN752" s="79" t="s">
        <v>464</v>
      </c>
      <c r="BO752" s="79">
        <v>0</v>
      </c>
      <c r="BP752" s="79">
        <v>103</v>
      </c>
      <c r="BQ752" s="79">
        <v>0.5</v>
      </c>
      <c r="BR752" s="79">
        <v>0</v>
      </c>
      <c r="BS752" s="95" t="s">
        <v>464</v>
      </c>
      <c r="BT752" s="95" t="s">
        <v>464</v>
      </c>
      <c r="BU752" s="95" t="s">
        <v>1266</v>
      </c>
      <c r="BV752" s="95">
        <v>125</v>
      </c>
      <c r="BW752" s="95">
        <v>220</v>
      </c>
      <c r="BX752" s="95" t="s">
        <v>1287</v>
      </c>
      <c r="BY752" s="95">
        <f t="shared" si="197"/>
        <v>288</v>
      </c>
      <c r="BZ752" s="81">
        <v>84</v>
      </c>
      <c r="CA752">
        <f t="shared" si="206"/>
        <v>4.4308167988433134</v>
      </c>
    </row>
    <row r="753" spans="1:79" x14ac:dyDescent="0.3">
      <c r="A753" s="2" t="s">
        <v>63</v>
      </c>
      <c r="B753" s="13" t="s">
        <v>773</v>
      </c>
      <c r="C753" s="13"/>
      <c r="D753" s="2">
        <v>3.38</v>
      </c>
      <c r="E753" s="96" t="s">
        <v>345</v>
      </c>
      <c r="F753" s="9">
        <v>-1</v>
      </c>
      <c r="G753">
        <v>-1</v>
      </c>
      <c r="I753" s="2">
        <v>1</v>
      </c>
      <c r="J753" s="25">
        <v>0</v>
      </c>
      <c r="K753">
        <v>0</v>
      </c>
      <c r="L753">
        <v>0</v>
      </c>
      <c r="M753" s="2">
        <v>3.82</v>
      </c>
      <c r="N753" s="2">
        <v>3.82</v>
      </c>
      <c r="O753" s="2">
        <v>16</v>
      </c>
      <c r="P753" s="2"/>
      <c r="Q753" s="2"/>
      <c r="R753" s="25">
        <v>0</v>
      </c>
      <c r="S753" s="25"/>
      <c r="T753" s="25"/>
      <c r="U753">
        <v>0</v>
      </c>
      <c r="X753">
        <v>0</v>
      </c>
      <c r="AA753" s="2"/>
      <c r="AB753">
        <v>20</v>
      </c>
      <c r="AC753" s="55">
        <f t="shared" si="205"/>
        <v>233.47839999999999</v>
      </c>
      <c r="AD753" s="57">
        <v>0</v>
      </c>
      <c r="AE753" s="55">
        <v>0</v>
      </c>
      <c r="AF753" s="55">
        <v>0</v>
      </c>
      <c r="AG753" s="52">
        <f t="shared" ref="AG753" si="209">I753*AB753/AC753</f>
        <v>8.5661029028809524E-2</v>
      </c>
      <c r="AH753" s="51"/>
      <c r="AI753" s="52"/>
      <c r="AJ753" s="52"/>
      <c r="AK753" s="28">
        <v>1.75</v>
      </c>
      <c r="AL753" s="28">
        <v>2.5</v>
      </c>
      <c r="AM753" s="28">
        <v>0.75</v>
      </c>
      <c r="AN753" s="28">
        <v>0</v>
      </c>
      <c r="AO753" s="28">
        <v>0.35</v>
      </c>
      <c r="AP753" s="28">
        <v>0.5</v>
      </c>
      <c r="AQ753" s="28">
        <v>0.15</v>
      </c>
      <c r="AR753" s="28">
        <v>0</v>
      </c>
      <c r="AS753" s="25">
        <v>1</v>
      </c>
      <c r="AT753" s="25">
        <v>3.44</v>
      </c>
      <c r="AU753" s="25">
        <v>2.44</v>
      </c>
      <c r="AV753" s="25">
        <v>2.7124999999999999</v>
      </c>
      <c r="AW753">
        <v>2.7124999999999999</v>
      </c>
      <c r="AX753">
        <v>6.264025610615688</v>
      </c>
      <c r="AY753" s="75"/>
      <c r="AZ753" s="75"/>
      <c r="BA753" s="75"/>
      <c r="BB753">
        <v>4.2830514514404762E-2</v>
      </c>
      <c r="BF753">
        <v>8.5661029028809524E-2</v>
      </c>
      <c r="BG753">
        <v>4.2830514514404762E-2</v>
      </c>
      <c r="BH753">
        <v>0</v>
      </c>
      <c r="BI753" s="79" t="s">
        <v>1264</v>
      </c>
      <c r="BJ753" s="79">
        <v>1373</v>
      </c>
      <c r="BK753" s="79">
        <v>24</v>
      </c>
      <c r="BM753" s="79" t="s">
        <v>464</v>
      </c>
      <c r="BN753" s="79" t="s">
        <v>464</v>
      </c>
      <c r="BO753" s="79">
        <v>0</v>
      </c>
      <c r="BP753" s="79">
        <v>76.3</v>
      </c>
      <c r="BQ753" s="79">
        <v>0.5</v>
      </c>
      <c r="BR753" s="79">
        <v>0</v>
      </c>
      <c r="BS753" s="95" t="s">
        <v>464</v>
      </c>
      <c r="BT753" s="95" t="s">
        <v>464</v>
      </c>
      <c r="BU753" s="95" t="s">
        <v>1266</v>
      </c>
      <c r="BV753" s="95">
        <v>125</v>
      </c>
      <c r="BW753" s="95">
        <v>220</v>
      </c>
      <c r="BX753" s="95" t="s">
        <v>1287</v>
      </c>
      <c r="BY753" s="95">
        <f t="shared" si="197"/>
        <v>288</v>
      </c>
      <c r="BZ753" s="81">
        <v>55.999999999999993</v>
      </c>
      <c r="CA753">
        <f t="shared" si="206"/>
        <v>4.0253516907351488</v>
      </c>
    </row>
    <row r="754" spans="1:79" x14ac:dyDescent="0.3">
      <c r="A754" s="2" t="s">
        <v>151</v>
      </c>
      <c r="B754" s="13" t="s">
        <v>774</v>
      </c>
      <c r="C754" s="13"/>
      <c r="D754" s="2">
        <v>3.26</v>
      </c>
      <c r="E754" s="96" t="s">
        <v>345</v>
      </c>
      <c r="F754" s="9">
        <v>-1</v>
      </c>
      <c r="G754">
        <v>-1</v>
      </c>
      <c r="I754" s="2"/>
      <c r="J754" s="25">
        <v>0</v>
      </c>
      <c r="K754">
        <v>0</v>
      </c>
      <c r="L754">
        <v>0</v>
      </c>
      <c r="M754" s="2">
        <v>3.89</v>
      </c>
      <c r="N754" s="2">
        <v>3.89</v>
      </c>
      <c r="O754" s="2">
        <v>16.399999999999999</v>
      </c>
      <c r="P754" s="2"/>
      <c r="Q754" s="2"/>
      <c r="R754" s="25">
        <v>0</v>
      </c>
      <c r="S754" s="25"/>
      <c r="T754" s="25"/>
      <c r="U754">
        <v>0</v>
      </c>
      <c r="X754">
        <v>0</v>
      </c>
      <c r="AA754" s="2"/>
      <c r="AB754">
        <v>20</v>
      </c>
      <c r="AC754" s="55">
        <f t="shared" si="205"/>
        <v>248.16643999999999</v>
      </c>
      <c r="AD754" s="57">
        <v>0</v>
      </c>
      <c r="AE754" s="55">
        <v>0</v>
      </c>
      <c r="AF754" s="55">
        <v>0</v>
      </c>
      <c r="AG754" s="52"/>
      <c r="AH754" s="51"/>
      <c r="AI754" s="52"/>
      <c r="AJ754" s="52"/>
      <c r="AK754" s="28">
        <v>1.75</v>
      </c>
      <c r="AL754" s="28">
        <v>2.5</v>
      </c>
      <c r="AM754" s="28">
        <v>0.75</v>
      </c>
      <c r="AN754" s="28">
        <v>0</v>
      </c>
      <c r="AO754" s="28">
        <v>0.35</v>
      </c>
      <c r="AP754" s="28">
        <v>0.5</v>
      </c>
      <c r="AQ754" s="28">
        <v>0.15</v>
      </c>
      <c r="AR754" s="28">
        <v>0</v>
      </c>
      <c r="AS754" s="25">
        <v>0.95</v>
      </c>
      <c r="AT754" s="25">
        <v>3.44</v>
      </c>
      <c r="AU754" s="25">
        <v>2.4900000000000002</v>
      </c>
      <c r="AV754" s="25">
        <v>2.7062499999999998</v>
      </c>
      <c r="AW754">
        <v>2.7062499999999998</v>
      </c>
      <c r="AX754">
        <v>6.2396022968656872</v>
      </c>
      <c r="AY754" s="75"/>
      <c r="AZ754" s="75"/>
      <c r="BA754" s="75"/>
      <c r="BF754">
        <v>0</v>
      </c>
      <c r="BG754">
        <v>0</v>
      </c>
      <c r="BH754">
        <v>0</v>
      </c>
      <c r="BI754" s="79" t="s">
        <v>1264</v>
      </c>
      <c r="BJ754" s="79">
        <v>1573</v>
      </c>
      <c r="BK754" s="79">
        <v>10</v>
      </c>
      <c r="BM754" s="79" t="s">
        <v>1268</v>
      </c>
      <c r="BN754" s="79" t="s">
        <v>863</v>
      </c>
      <c r="BO754" s="79">
        <v>1</v>
      </c>
      <c r="BP754" s="79">
        <v>3.1</v>
      </c>
      <c r="BQ754" s="79">
        <v>0.5</v>
      </c>
      <c r="BR754" s="79">
        <v>0</v>
      </c>
      <c r="BS754" s="95" t="s">
        <v>464</v>
      </c>
      <c r="BT754" s="95" t="s">
        <v>464</v>
      </c>
      <c r="BU754" s="95" t="s">
        <v>1266</v>
      </c>
      <c r="BV754" s="95">
        <v>125</v>
      </c>
      <c r="BW754" s="95">
        <v>220</v>
      </c>
      <c r="BX754" s="95" t="s">
        <v>1287</v>
      </c>
      <c r="BY754" s="95">
        <f t="shared" si="197"/>
        <v>288</v>
      </c>
      <c r="BZ754" s="81">
        <v>72</v>
      </c>
      <c r="CA754">
        <f t="shared" si="206"/>
        <v>4.2766661190160553</v>
      </c>
    </row>
    <row r="755" spans="1:79" x14ac:dyDescent="0.3">
      <c r="A755" s="2" t="s">
        <v>63</v>
      </c>
      <c r="B755" s="13" t="s">
        <v>773</v>
      </c>
      <c r="C755" s="13"/>
      <c r="D755" s="2">
        <v>3.5</v>
      </c>
      <c r="E755" s="96" t="s">
        <v>345</v>
      </c>
      <c r="F755" s="9">
        <v>-1</v>
      </c>
      <c r="G755">
        <v>-1</v>
      </c>
      <c r="I755" s="2">
        <v>1</v>
      </c>
      <c r="J755" s="25">
        <v>0</v>
      </c>
      <c r="K755">
        <v>0</v>
      </c>
      <c r="L755">
        <v>0</v>
      </c>
      <c r="M755" s="2">
        <v>3.82</v>
      </c>
      <c r="N755" s="2">
        <v>3.82</v>
      </c>
      <c r="O755" s="2">
        <v>16</v>
      </c>
      <c r="P755" s="2"/>
      <c r="Q755" s="2"/>
      <c r="R755" s="25">
        <v>0</v>
      </c>
      <c r="S755" s="25"/>
      <c r="T755" s="25"/>
      <c r="U755">
        <v>0</v>
      </c>
      <c r="X755">
        <v>0</v>
      </c>
      <c r="AA755" s="2"/>
      <c r="AB755">
        <v>20</v>
      </c>
      <c r="AC755" s="55">
        <f t="shared" si="205"/>
        <v>233.47839999999999</v>
      </c>
      <c r="AD755" s="57">
        <v>0</v>
      </c>
      <c r="AE755" s="55">
        <v>0</v>
      </c>
      <c r="AF755" s="55">
        <v>0</v>
      </c>
      <c r="AG755" s="52">
        <f t="shared" ref="AG755" si="210">I755*AB755/AC755</f>
        <v>8.5661029028809524E-2</v>
      </c>
      <c r="AH755" s="51"/>
      <c r="AI755" s="52"/>
      <c r="AJ755" s="52"/>
      <c r="AK755" s="28">
        <v>1.75</v>
      </c>
      <c r="AL755" s="28">
        <v>2.5</v>
      </c>
      <c r="AM755" s="28">
        <v>0.75</v>
      </c>
      <c r="AN755" s="28">
        <v>0</v>
      </c>
      <c r="AO755" s="28">
        <v>0.35</v>
      </c>
      <c r="AP755" s="28">
        <v>0.5</v>
      </c>
      <c r="AQ755" s="28">
        <v>0.15</v>
      </c>
      <c r="AR755" s="28">
        <v>0</v>
      </c>
      <c r="AS755" s="25">
        <v>1</v>
      </c>
      <c r="AT755" s="25">
        <v>3.44</v>
      </c>
      <c r="AU755" s="25">
        <v>2.44</v>
      </c>
      <c r="AV755" s="25">
        <v>2.7124999999999999</v>
      </c>
      <c r="AW755">
        <v>2.7124999999999999</v>
      </c>
      <c r="AX755">
        <v>6.264025610615688</v>
      </c>
      <c r="AY755" s="75"/>
      <c r="AZ755" s="75"/>
      <c r="BA755" s="75"/>
      <c r="BB755">
        <v>4.2830514514404762E-2</v>
      </c>
      <c r="BF755">
        <v>8.5661029028809524E-2</v>
      </c>
      <c r="BG755">
        <v>4.2830514514404762E-2</v>
      </c>
      <c r="BH755">
        <v>0</v>
      </c>
      <c r="BI755" s="79" t="s">
        <v>1264</v>
      </c>
      <c r="BJ755" s="79">
        <v>1373</v>
      </c>
      <c r="BK755" s="79">
        <v>24</v>
      </c>
      <c r="BM755" s="79" t="s">
        <v>1268</v>
      </c>
      <c r="BN755" s="79" t="s">
        <v>863</v>
      </c>
      <c r="BO755" s="79">
        <v>1</v>
      </c>
      <c r="BP755" s="79">
        <v>7.6</v>
      </c>
      <c r="BQ755" s="79">
        <v>0.5</v>
      </c>
      <c r="BR755" s="79">
        <v>0</v>
      </c>
      <c r="BS755" s="95" t="s">
        <v>464</v>
      </c>
      <c r="BT755" s="95" t="s">
        <v>464</v>
      </c>
      <c r="BU755" s="95" t="s">
        <v>1266</v>
      </c>
      <c r="BV755" s="95">
        <v>125</v>
      </c>
      <c r="BW755" s="95">
        <v>220</v>
      </c>
      <c r="BX755" s="95" t="s">
        <v>1287</v>
      </c>
      <c r="BY755" s="95">
        <f t="shared" ref="BY755:BY784" si="211">273+15</f>
        <v>288</v>
      </c>
      <c r="BZ755" s="81">
        <v>440</v>
      </c>
      <c r="CA755">
        <f t="shared" si="206"/>
        <v>6.0867747269123065</v>
      </c>
    </row>
    <row r="756" spans="1:79" x14ac:dyDescent="0.3">
      <c r="A756" s="2" t="s">
        <v>151</v>
      </c>
      <c r="B756" s="13" t="s">
        <v>774</v>
      </c>
      <c r="C756" s="13"/>
      <c r="D756" s="2">
        <v>3.26</v>
      </c>
      <c r="E756" s="96" t="s">
        <v>345</v>
      </c>
      <c r="F756" s="9">
        <v>-1</v>
      </c>
      <c r="G756">
        <v>-1</v>
      </c>
      <c r="I756" s="2"/>
      <c r="J756" s="25">
        <v>0</v>
      </c>
      <c r="K756">
        <v>0</v>
      </c>
      <c r="L756">
        <v>0</v>
      </c>
      <c r="M756" s="2">
        <v>3.89</v>
      </c>
      <c r="N756" s="2">
        <v>3.89</v>
      </c>
      <c r="O756" s="2">
        <v>16.399999999999999</v>
      </c>
      <c r="P756" s="2"/>
      <c r="Q756" s="2"/>
      <c r="R756" s="25">
        <v>0</v>
      </c>
      <c r="S756" s="25"/>
      <c r="T756" s="25"/>
      <c r="U756">
        <v>0</v>
      </c>
      <c r="X756">
        <v>0</v>
      </c>
      <c r="AA756" s="2"/>
      <c r="AB756">
        <v>20</v>
      </c>
      <c r="AC756" s="55">
        <f t="shared" ref="AC756:AC757" si="212">M756*N756*O756</f>
        <v>248.16643999999999</v>
      </c>
      <c r="AD756" s="57">
        <v>0</v>
      </c>
      <c r="AE756" s="55">
        <v>0</v>
      </c>
      <c r="AF756" s="55">
        <v>0</v>
      </c>
      <c r="AG756" s="52"/>
      <c r="AH756" s="51"/>
      <c r="AI756" s="52"/>
      <c r="AJ756" s="52"/>
      <c r="AK756" s="28">
        <v>1.75</v>
      </c>
      <c r="AL756" s="28">
        <v>2.5</v>
      </c>
      <c r="AM756" s="28">
        <v>0.75</v>
      </c>
      <c r="AN756" s="28">
        <v>0</v>
      </c>
      <c r="AO756" s="28">
        <v>0.35</v>
      </c>
      <c r="AP756" s="28">
        <v>0.5</v>
      </c>
      <c r="AQ756" s="28">
        <v>0.15</v>
      </c>
      <c r="AR756" s="28">
        <v>0</v>
      </c>
      <c r="AS756" s="25">
        <v>0.95</v>
      </c>
      <c r="AT756" s="25">
        <v>3.44</v>
      </c>
      <c r="AU756" s="25">
        <v>2.4900000000000002</v>
      </c>
      <c r="AV756" s="25">
        <v>2.7062499999999998</v>
      </c>
      <c r="AW756">
        <v>2.7062499999999998</v>
      </c>
      <c r="AX756">
        <v>6.2396022968656872</v>
      </c>
      <c r="AY756" s="75"/>
      <c r="AZ756" s="75"/>
      <c r="BA756" s="75"/>
      <c r="BF756">
        <v>0</v>
      </c>
      <c r="BG756">
        <v>0</v>
      </c>
      <c r="BH756">
        <v>0</v>
      </c>
      <c r="BI756" s="79" t="s">
        <v>1264</v>
      </c>
      <c r="BJ756" s="79">
        <v>1573</v>
      </c>
      <c r="BK756" s="79">
        <v>10</v>
      </c>
      <c r="BM756" s="79" t="s">
        <v>1268</v>
      </c>
      <c r="BN756" s="79" t="s">
        <v>863</v>
      </c>
      <c r="BO756" s="79">
        <v>1</v>
      </c>
      <c r="BP756" s="79">
        <v>103</v>
      </c>
      <c r="BQ756" s="79">
        <v>0.5</v>
      </c>
      <c r="BR756" s="79">
        <v>0</v>
      </c>
      <c r="BS756" s="95" t="s">
        <v>464</v>
      </c>
      <c r="BT756" s="95" t="s">
        <v>464</v>
      </c>
      <c r="BU756" s="95" t="s">
        <v>1266</v>
      </c>
      <c r="BV756" s="95">
        <v>125</v>
      </c>
      <c r="BW756" s="95">
        <v>220</v>
      </c>
      <c r="BX756" s="95" t="s">
        <v>1287</v>
      </c>
      <c r="BY756" s="95">
        <f t="shared" si="211"/>
        <v>288</v>
      </c>
      <c r="BZ756" s="81">
        <v>2000</v>
      </c>
      <c r="CA756">
        <f t="shared" ref="CA756:CA757" si="213">LN(BZ756)</f>
        <v>7.6009024595420822</v>
      </c>
    </row>
    <row r="757" spans="1:79" x14ac:dyDescent="0.3">
      <c r="A757" s="2" t="s">
        <v>63</v>
      </c>
      <c r="B757" s="13" t="s">
        <v>773</v>
      </c>
      <c r="C757" s="13"/>
      <c r="D757" s="2">
        <v>3.38</v>
      </c>
      <c r="E757" s="96" t="s">
        <v>345</v>
      </c>
      <c r="F757" s="9">
        <v>-1</v>
      </c>
      <c r="G757">
        <v>-1</v>
      </c>
      <c r="I757" s="2">
        <v>1</v>
      </c>
      <c r="J757" s="25">
        <v>0</v>
      </c>
      <c r="K757">
        <v>0</v>
      </c>
      <c r="L757">
        <v>0</v>
      </c>
      <c r="M757" s="2">
        <v>3.82</v>
      </c>
      <c r="N757" s="2">
        <v>3.82</v>
      </c>
      <c r="O757" s="2">
        <v>16</v>
      </c>
      <c r="P757" s="2"/>
      <c r="Q757" s="2"/>
      <c r="R757" s="25">
        <v>0</v>
      </c>
      <c r="S757" s="25"/>
      <c r="T757" s="25"/>
      <c r="U757">
        <v>0</v>
      </c>
      <c r="X757">
        <v>0</v>
      </c>
      <c r="AA757" s="2"/>
      <c r="AB757">
        <v>20</v>
      </c>
      <c r="AC757" s="55">
        <f t="shared" si="212"/>
        <v>233.47839999999999</v>
      </c>
      <c r="AD757" s="57">
        <v>0</v>
      </c>
      <c r="AE757" s="55">
        <v>0</v>
      </c>
      <c r="AF757" s="55">
        <v>0</v>
      </c>
      <c r="AG757" s="52">
        <f t="shared" ref="AG757" si="214">I757*AB757/AC757</f>
        <v>8.5661029028809524E-2</v>
      </c>
      <c r="AH757" s="51"/>
      <c r="AI757" s="52"/>
      <c r="AJ757" s="52"/>
      <c r="AK757" s="28">
        <v>1.75</v>
      </c>
      <c r="AL757" s="28">
        <v>2.5</v>
      </c>
      <c r="AM757" s="28">
        <v>0.75</v>
      </c>
      <c r="AN757" s="28">
        <v>0</v>
      </c>
      <c r="AO757" s="28">
        <v>0.35</v>
      </c>
      <c r="AP757" s="28">
        <v>0.5</v>
      </c>
      <c r="AQ757" s="28">
        <v>0.15</v>
      </c>
      <c r="AR757" s="28">
        <v>0</v>
      </c>
      <c r="AS757" s="25">
        <v>1</v>
      </c>
      <c r="AT757" s="25">
        <v>3.44</v>
      </c>
      <c r="AU757" s="25">
        <v>2.44</v>
      </c>
      <c r="AV757" s="25">
        <v>2.7124999999999999</v>
      </c>
      <c r="AW757">
        <v>2.7124999999999999</v>
      </c>
      <c r="AX757">
        <v>6.264025610615688</v>
      </c>
      <c r="AY757" s="75"/>
      <c r="AZ757" s="75"/>
      <c r="BA757" s="75"/>
      <c r="BB757">
        <v>4.2830514514404762E-2</v>
      </c>
      <c r="BF757">
        <v>8.5661029028809524E-2</v>
      </c>
      <c r="BG757">
        <v>4.2830514514404762E-2</v>
      </c>
      <c r="BH757">
        <v>0</v>
      </c>
      <c r="BI757" s="79" t="s">
        <v>1264</v>
      </c>
      <c r="BJ757" s="79">
        <v>1373</v>
      </c>
      <c r="BK757" s="79">
        <v>24</v>
      </c>
      <c r="BM757" s="79" t="s">
        <v>1268</v>
      </c>
      <c r="BN757" s="79" t="s">
        <v>863</v>
      </c>
      <c r="BO757" s="79">
        <v>1</v>
      </c>
      <c r="BP757" s="79">
        <v>76.3</v>
      </c>
      <c r="BQ757" s="79">
        <v>0.5</v>
      </c>
      <c r="BR757" s="79">
        <v>0</v>
      </c>
      <c r="BS757" s="95" t="s">
        <v>464</v>
      </c>
      <c r="BT757" s="95" t="s">
        <v>464</v>
      </c>
      <c r="BU757" s="95" t="s">
        <v>1266</v>
      </c>
      <c r="BV757" s="95">
        <v>125</v>
      </c>
      <c r="BW757" s="95">
        <v>220</v>
      </c>
      <c r="BX757" s="95" t="s">
        <v>1287</v>
      </c>
      <c r="BY757" s="95">
        <f t="shared" si="211"/>
        <v>288</v>
      </c>
      <c r="BZ757" s="81">
        <v>4000</v>
      </c>
      <c r="CA757">
        <f t="shared" si="213"/>
        <v>8.2940496401020276</v>
      </c>
    </row>
    <row r="758" spans="1:79" x14ac:dyDescent="0.3">
      <c r="A758" s="2" t="s">
        <v>4</v>
      </c>
      <c r="B758" s="13" t="s">
        <v>689</v>
      </c>
      <c r="C758" s="13"/>
      <c r="D758" s="2">
        <v>3.54</v>
      </c>
      <c r="E758" s="97" t="s">
        <v>352</v>
      </c>
      <c r="F758" s="9" t="s">
        <v>527</v>
      </c>
      <c r="G758" t="s">
        <v>609</v>
      </c>
      <c r="I758" s="2">
        <v>2</v>
      </c>
      <c r="J758" s="25">
        <v>4</v>
      </c>
      <c r="K758">
        <v>4</v>
      </c>
      <c r="L758">
        <v>0</v>
      </c>
      <c r="M758" s="2">
        <v>3.86</v>
      </c>
      <c r="N758" s="2">
        <v>3.86</v>
      </c>
      <c r="O758" s="2">
        <v>29.4</v>
      </c>
      <c r="P758" s="2"/>
      <c r="Q758" s="2"/>
      <c r="R758" s="25">
        <v>7.8084429999999996</v>
      </c>
      <c r="S758" s="25">
        <v>7.8548809999999998</v>
      </c>
      <c r="T758" s="25">
        <v>15.19056011</v>
      </c>
      <c r="U758">
        <v>3.8801999999999999</v>
      </c>
      <c r="V758">
        <v>29.507999999999999</v>
      </c>
      <c r="W758">
        <v>7.7140000000000004</v>
      </c>
      <c r="X758">
        <v>0</v>
      </c>
      <c r="AA758" s="2"/>
      <c r="AB758">
        <v>20</v>
      </c>
      <c r="AC758" s="55">
        <f t="shared" si="188"/>
        <v>438.04823999999996</v>
      </c>
      <c r="AD758" s="57">
        <v>924.74694800021894</v>
      </c>
      <c r="AE758" s="55">
        <v>883.22940750240002</v>
      </c>
      <c r="AF758" s="55">
        <v>0</v>
      </c>
      <c r="AG758" s="52">
        <f t="shared" si="195"/>
        <v>9.1314143848631832E-2</v>
      </c>
      <c r="AH758" s="51">
        <v>8.6510153045653584E-2</v>
      </c>
      <c r="AI758" s="52">
        <v>9.0576694254581439E-2</v>
      </c>
      <c r="AJ758" s="52"/>
      <c r="AK758" s="28">
        <v>1.75</v>
      </c>
      <c r="AL758" s="28">
        <v>2.5</v>
      </c>
      <c r="AM758" s="28">
        <v>0.75</v>
      </c>
      <c r="AN758" s="28">
        <v>0</v>
      </c>
      <c r="AO758" s="28">
        <v>0.35</v>
      </c>
      <c r="AP758" s="28">
        <v>0.5</v>
      </c>
      <c r="AQ758" s="28">
        <v>0.15</v>
      </c>
      <c r="AR758" s="28">
        <v>0</v>
      </c>
      <c r="AS758" s="25">
        <v>0.82</v>
      </c>
      <c r="AT758" s="25">
        <v>3.44</v>
      </c>
      <c r="AU758" s="25">
        <v>2.62</v>
      </c>
      <c r="AV758" s="25">
        <v>2.6262500000000002</v>
      </c>
      <c r="AW758">
        <v>2.6262500000000002</v>
      </c>
      <c r="AX758">
        <v>5.96680968125</v>
      </c>
      <c r="AY758" s="75">
        <v>0.50555206026575039</v>
      </c>
      <c r="AZ758" s="75">
        <v>0</v>
      </c>
      <c r="BA758" s="75"/>
      <c r="BB758">
        <v>4.5657071924315923E-2</v>
      </c>
      <c r="BC758">
        <v>4.3255076522826792E-2</v>
      </c>
      <c r="BD758">
        <v>4.5288347127290719E-2</v>
      </c>
      <c r="BF758">
        <v>8.9466997049622285E-2</v>
      </c>
      <c r="BG758">
        <v>4.4733498524811142E-2</v>
      </c>
      <c r="BH758">
        <v>0.2527760301328752</v>
      </c>
      <c r="BI758" s="79" t="s">
        <v>1264</v>
      </c>
      <c r="BJ758" s="79">
        <v>1373</v>
      </c>
      <c r="BK758" s="79">
        <v>24</v>
      </c>
      <c r="BM758" s="79" t="s">
        <v>464</v>
      </c>
      <c r="BN758" s="79" t="s">
        <v>464</v>
      </c>
      <c r="BO758" s="79">
        <v>0</v>
      </c>
      <c r="BP758" s="79">
        <v>3.8</v>
      </c>
      <c r="BQ758" s="79">
        <v>0.5</v>
      </c>
      <c r="BR758" s="79">
        <v>0</v>
      </c>
      <c r="BS758" s="95" t="s">
        <v>464</v>
      </c>
      <c r="BT758" s="95" t="s">
        <v>464</v>
      </c>
      <c r="BU758" s="95" t="s">
        <v>1266</v>
      </c>
      <c r="BV758" s="95">
        <v>125</v>
      </c>
      <c r="BW758" s="95">
        <v>220</v>
      </c>
      <c r="BX758" s="95" t="s">
        <v>1287</v>
      </c>
      <c r="BY758" s="95">
        <f t="shared" si="211"/>
        <v>288</v>
      </c>
      <c r="BZ758" s="81">
        <v>37.599999999999994</v>
      </c>
      <c r="CA758">
        <f t="shared" si="198"/>
        <v>3.6270040503958487</v>
      </c>
    </row>
    <row r="759" spans="1:79" x14ac:dyDescent="0.3">
      <c r="A759" s="2" t="s">
        <v>63</v>
      </c>
      <c r="B759" s="13" t="s">
        <v>773</v>
      </c>
      <c r="C759" s="13"/>
      <c r="D759" s="2">
        <v>3.5</v>
      </c>
      <c r="E759" s="97" t="s">
        <v>352</v>
      </c>
      <c r="F759" s="9">
        <v>-1</v>
      </c>
      <c r="G759">
        <v>-1</v>
      </c>
      <c r="I759" s="2">
        <v>1</v>
      </c>
      <c r="J759" s="25">
        <v>0</v>
      </c>
      <c r="K759">
        <v>0</v>
      </c>
      <c r="L759">
        <v>0</v>
      </c>
      <c r="M759" s="2">
        <v>3.82</v>
      </c>
      <c r="N759" s="2">
        <v>3.82</v>
      </c>
      <c r="O759" s="2">
        <v>16</v>
      </c>
      <c r="P759" s="2"/>
      <c r="Q759" s="2"/>
      <c r="R759" s="25">
        <v>0</v>
      </c>
      <c r="S759" s="25"/>
      <c r="T759" s="25"/>
      <c r="U759">
        <v>0</v>
      </c>
      <c r="X759">
        <v>0</v>
      </c>
      <c r="AA759" s="2"/>
      <c r="AB759">
        <v>20</v>
      </c>
      <c r="AC759" s="55">
        <f t="shared" si="188"/>
        <v>233.47839999999999</v>
      </c>
      <c r="AD759" s="57">
        <v>0</v>
      </c>
      <c r="AE759" s="55">
        <v>0</v>
      </c>
      <c r="AF759" s="55">
        <v>0</v>
      </c>
      <c r="AG759" s="52">
        <f t="shared" si="195"/>
        <v>8.5661029028809524E-2</v>
      </c>
      <c r="AH759" s="51"/>
      <c r="AI759" s="52"/>
      <c r="AJ759" s="52"/>
      <c r="AK759" s="28">
        <v>1.75</v>
      </c>
      <c r="AL759" s="28">
        <v>2.5</v>
      </c>
      <c r="AM759" s="28">
        <v>0.75</v>
      </c>
      <c r="AN759" s="28">
        <v>0</v>
      </c>
      <c r="AO759" s="28">
        <v>0.35</v>
      </c>
      <c r="AP759" s="28">
        <v>0.5</v>
      </c>
      <c r="AQ759" s="28">
        <v>0.15</v>
      </c>
      <c r="AR759" s="28">
        <v>0</v>
      </c>
      <c r="AS759" s="25">
        <v>1</v>
      </c>
      <c r="AT759" s="25">
        <v>3.44</v>
      </c>
      <c r="AU759" s="25">
        <v>2.44</v>
      </c>
      <c r="AV759" s="25">
        <v>2.7124999999999999</v>
      </c>
      <c r="AW759">
        <v>2.7124999999999999</v>
      </c>
      <c r="AX759">
        <v>6.264025610615688</v>
      </c>
      <c r="AY759" s="75"/>
      <c r="AZ759" s="75"/>
      <c r="BA759" s="75"/>
      <c r="BB759">
        <v>4.2830514514404762E-2</v>
      </c>
      <c r="BF759">
        <v>8.5661029028809524E-2</v>
      </c>
      <c r="BG759">
        <v>4.2830514514404762E-2</v>
      </c>
      <c r="BH759">
        <v>0</v>
      </c>
      <c r="BI759" s="79" t="s">
        <v>1264</v>
      </c>
      <c r="BJ759" s="79">
        <v>1373</v>
      </c>
      <c r="BK759" s="79">
        <v>24</v>
      </c>
      <c r="BM759" s="79" t="s">
        <v>464</v>
      </c>
      <c r="BN759" s="79" t="s">
        <v>464</v>
      </c>
      <c r="BO759" s="79">
        <v>0</v>
      </c>
      <c r="BP759" s="79">
        <v>5.6</v>
      </c>
      <c r="BQ759" s="79">
        <v>0.5</v>
      </c>
      <c r="BR759" s="79">
        <v>0</v>
      </c>
      <c r="BS759" s="95" t="s">
        <v>464</v>
      </c>
      <c r="BT759" s="95" t="s">
        <v>464</v>
      </c>
      <c r="BU759" s="95" t="s">
        <v>1266</v>
      </c>
      <c r="BV759" s="95">
        <v>125</v>
      </c>
      <c r="BW759" s="95">
        <v>220</v>
      </c>
      <c r="BX759" s="95" t="s">
        <v>1287</v>
      </c>
      <c r="BY759" s="95">
        <f t="shared" si="211"/>
        <v>288</v>
      </c>
      <c r="BZ759" s="81">
        <v>520</v>
      </c>
      <c r="CA759">
        <f t="shared" si="198"/>
        <v>6.253828811575473</v>
      </c>
    </row>
    <row r="760" spans="1:79" x14ac:dyDescent="0.3">
      <c r="A760" s="2" t="s">
        <v>346</v>
      </c>
      <c r="B760" s="18" t="s">
        <v>1018</v>
      </c>
      <c r="C760" s="13"/>
      <c r="D760" s="2">
        <v>3.45</v>
      </c>
      <c r="E760" s="97" t="s">
        <v>352</v>
      </c>
      <c r="F760" s="9">
        <v>-1</v>
      </c>
      <c r="G760">
        <v>-1</v>
      </c>
      <c r="I760" s="2">
        <v>1</v>
      </c>
      <c r="J760" s="25">
        <v>0</v>
      </c>
      <c r="K760">
        <v>0</v>
      </c>
      <c r="L760">
        <v>0</v>
      </c>
      <c r="M760" s="2">
        <v>3.86</v>
      </c>
      <c r="N760" s="2">
        <v>3.86</v>
      </c>
      <c r="O760" s="2">
        <v>20.9</v>
      </c>
      <c r="P760" s="2"/>
      <c r="Q760" s="2"/>
      <c r="R760" s="25">
        <v>0</v>
      </c>
      <c r="S760" s="25"/>
      <c r="T760" s="25"/>
      <c r="U760">
        <v>0</v>
      </c>
      <c r="X760">
        <v>0</v>
      </c>
      <c r="AA760" s="2"/>
      <c r="AB760">
        <v>20</v>
      </c>
      <c r="AC760" s="55">
        <f t="shared" si="188"/>
        <v>311.40163999999999</v>
      </c>
      <c r="AD760" s="57">
        <v>0</v>
      </c>
      <c r="AE760" s="55">
        <v>0</v>
      </c>
      <c r="AF760" s="55">
        <v>0</v>
      </c>
      <c r="AG760" s="52">
        <f t="shared" si="195"/>
        <v>6.4225737539468322E-2</v>
      </c>
      <c r="AH760" s="51"/>
      <c r="AI760" s="52"/>
      <c r="AJ760" s="52"/>
      <c r="AK760" s="28">
        <v>1.6190476190476191</v>
      </c>
      <c r="AL760" s="28">
        <v>2</v>
      </c>
      <c r="AM760" s="28">
        <v>0.5714285714285714</v>
      </c>
      <c r="AN760" s="28">
        <v>0</v>
      </c>
      <c r="AO760" s="28">
        <v>0.38636363636363641</v>
      </c>
      <c r="AP760" s="28">
        <v>0.47727272727272718</v>
      </c>
      <c r="AQ760" s="28">
        <v>0.13636363636363641</v>
      </c>
      <c r="AR760" s="28">
        <v>0</v>
      </c>
      <c r="AS760" s="25">
        <v>1</v>
      </c>
      <c r="AT760" s="25">
        <v>3.44</v>
      </c>
      <c r="AU760" s="25">
        <v>2.44</v>
      </c>
      <c r="AV760" s="25">
        <v>2.6071428571428572</v>
      </c>
      <c r="AW760">
        <v>2.6071428571428572</v>
      </c>
      <c r="AX760">
        <v>6.4376988464407141</v>
      </c>
      <c r="AY760" s="75"/>
      <c r="AZ760" s="75"/>
      <c r="BA760" s="75"/>
      <c r="BB760">
        <v>3.2112868769734161E-2</v>
      </c>
      <c r="BF760">
        <v>6.4225737539468322E-2</v>
      </c>
      <c r="BG760">
        <v>3.2112868769734161E-2</v>
      </c>
      <c r="BH760">
        <v>0</v>
      </c>
      <c r="BI760" s="79" t="s">
        <v>1264</v>
      </c>
      <c r="BJ760" s="79">
        <v>1373</v>
      </c>
      <c r="BK760" s="79">
        <v>24</v>
      </c>
      <c r="BM760" s="79" t="s">
        <v>464</v>
      </c>
      <c r="BN760" s="79" t="s">
        <v>464</v>
      </c>
      <c r="BO760" s="79">
        <v>0</v>
      </c>
      <c r="BP760" s="79">
        <v>2.4</v>
      </c>
      <c r="BQ760" s="79">
        <v>0.5</v>
      </c>
      <c r="BR760" s="79">
        <v>0</v>
      </c>
      <c r="BS760" s="95" t="s">
        <v>464</v>
      </c>
      <c r="BT760" s="95" t="s">
        <v>464</v>
      </c>
      <c r="BU760" s="95" t="s">
        <v>1266</v>
      </c>
      <c r="BV760" s="95">
        <v>125</v>
      </c>
      <c r="BW760" s="95">
        <v>220</v>
      </c>
      <c r="BX760" s="95" t="s">
        <v>1287</v>
      </c>
      <c r="BY760" s="95">
        <f t="shared" si="211"/>
        <v>288</v>
      </c>
      <c r="BZ760" s="81">
        <v>3200</v>
      </c>
      <c r="CA760">
        <f t="shared" si="198"/>
        <v>8.0709060887878188</v>
      </c>
    </row>
    <row r="761" spans="1:79" x14ac:dyDescent="0.3">
      <c r="A761" s="2" t="s">
        <v>347</v>
      </c>
      <c r="B761" s="18" t="s">
        <v>1019</v>
      </c>
      <c r="C761" s="13"/>
      <c r="D761" s="2">
        <v>3.5</v>
      </c>
      <c r="E761" s="97" t="s">
        <v>352</v>
      </c>
      <c r="F761" s="9">
        <v>-1</v>
      </c>
      <c r="G761">
        <v>-1</v>
      </c>
      <c r="I761" s="2">
        <v>1</v>
      </c>
      <c r="J761" s="25">
        <v>0</v>
      </c>
      <c r="K761">
        <v>0</v>
      </c>
      <c r="L761">
        <v>0</v>
      </c>
      <c r="M761" s="2">
        <v>3.86</v>
      </c>
      <c r="N761" s="2">
        <v>3.86</v>
      </c>
      <c r="O761" s="2">
        <v>17.899999999999999</v>
      </c>
      <c r="P761" s="2"/>
      <c r="Q761" s="2"/>
      <c r="R761" s="25">
        <v>0</v>
      </c>
      <c r="S761" s="25"/>
      <c r="T761" s="25"/>
      <c r="U761">
        <v>0</v>
      </c>
      <c r="X761">
        <v>0</v>
      </c>
      <c r="AA761" s="2"/>
      <c r="AB761">
        <v>20</v>
      </c>
      <c r="AC761" s="55">
        <f t="shared" si="188"/>
        <v>266.70283999999998</v>
      </c>
      <c r="AD761" s="57">
        <v>0</v>
      </c>
      <c r="AE761" s="55">
        <v>0</v>
      </c>
      <c r="AF761" s="55">
        <v>0</v>
      </c>
      <c r="AG761" s="52">
        <f t="shared" si="195"/>
        <v>7.4989827629882017E-2</v>
      </c>
      <c r="AH761" s="51"/>
      <c r="AI761" s="52"/>
      <c r="AJ761" s="52"/>
      <c r="AK761" s="28">
        <v>1.583333333333333</v>
      </c>
      <c r="AL761" s="28">
        <v>1.833333333333333</v>
      </c>
      <c r="AM761" s="28">
        <v>0.5</v>
      </c>
      <c r="AN761" s="28">
        <v>0</v>
      </c>
      <c r="AO761" s="28">
        <v>0.40425531914893609</v>
      </c>
      <c r="AP761" s="28">
        <v>0.46808510638297868</v>
      </c>
      <c r="AQ761" s="28">
        <v>0.1276595744680851</v>
      </c>
      <c r="AR761" s="28">
        <v>0</v>
      </c>
      <c r="AS761" s="25">
        <v>1</v>
      </c>
      <c r="AT761" s="25">
        <v>3.44</v>
      </c>
      <c r="AU761" s="25">
        <v>2.44</v>
      </c>
      <c r="AV761" s="25">
        <v>2.5708333333333329</v>
      </c>
      <c r="AW761">
        <v>2.5708333333333329</v>
      </c>
      <c r="AX761">
        <v>6.4919128825398751</v>
      </c>
      <c r="AY761" s="75"/>
      <c r="AZ761" s="75"/>
      <c r="BA761" s="75"/>
      <c r="BB761">
        <v>3.7494913814941008E-2</v>
      </c>
      <c r="BF761">
        <v>7.4989827629882017E-2</v>
      </c>
      <c r="BG761">
        <v>3.7494913814941008E-2</v>
      </c>
      <c r="BH761">
        <v>0</v>
      </c>
      <c r="BI761" s="79" t="s">
        <v>1264</v>
      </c>
      <c r="BJ761" s="79">
        <v>1373</v>
      </c>
      <c r="BK761" s="79">
        <v>24</v>
      </c>
      <c r="BM761" s="79" t="s">
        <v>464</v>
      </c>
      <c r="BN761" s="79" t="s">
        <v>464</v>
      </c>
      <c r="BO761" s="79">
        <v>0</v>
      </c>
      <c r="BP761" s="79">
        <v>4.7</v>
      </c>
      <c r="BQ761" s="79">
        <v>0.5</v>
      </c>
      <c r="BR761" s="79">
        <v>0</v>
      </c>
      <c r="BS761" s="95" t="s">
        <v>464</v>
      </c>
      <c r="BT761" s="95" t="s">
        <v>464</v>
      </c>
      <c r="BU761" s="95" t="s">
        <v>1266</v>
      </c>
      <c r="BV761" s="95">
        <v>125</v>
      </c>
      <c r="BW761" s="95">
        <v>220</v>
      </c>
      <c r="BX761" s="95" t="s">
        <v>1287</v>
      </c>
      <c r="BY761" s="95">
        <f t="shared" si="211"/>
        <v>288</v>
      </c>
      <c r="BZ761" s="81">
        <v>4200</v>
      </c>
      <c r="CA761">
        <f t="shared" si="198"/>
        <v>8.3428398042714598</v>
      </c>
    </row>
    <row r="762" spans="1:79" x14ac:dyDescent="0.3">
      <c r="A762" s="2" t="s">
        <v>348</v>
      </c>
      <c r="B762" s="18" t="s">
        <v>1020</v>
      </c>
      <c r="C762" s="13"/>
      <c r="D762" s="2">
        <v>3.53</v>
      </c>
      <c r="E762" s="97" t="s">
        <v>352</v>
      </c>
      <c r="F762" s="9">
        <v>-1</v>
      </c>
      <c r="G762">
        <v>-1</v>
      </c>
      <c r="I762" s="2">
        <v>1</v>
      </c>
      <c r="J762" s="25">
        <v>0</v>
      </c>
      <c r="K762">
        <v>0</v>
      </c>
      <c r="L762">
        <v>0</v>
      </c>
      <c r="M762" s="2">
        <v>3.86</v>
      </c>
      <c r="N762" s="2">
        <v>3.86</v>
      </c>
      <c r="O762" s="2">
        <v>19.899999999999999</v>
      </c>
      <c r="P762" s="2"/>
      <c r="Q762" s="2"/>
      <c r="R762" s="25">
        <v>0</v>
      </c>
      <c r="S762" s="25"/>
      <c r="T762" s="25"/>
      <c r="U762">
        <v>0</v>
      </c>
      <c r="X762">
        <v>0</v>
      </c>
      <c r="AA762" s="2"/>
      <c r="AB762">
        <v>20</v>
      </c>
      <c r="AC762" s="55">
        <f t="shared" si="188"/>
        <v>296.50203999999997</v>
      </c>
      <c r="AD762" s="57">
        <v>0</v>
      </c>
      <c r="AE762" s="55">
        <v>0</v>
      </c>
      <c r="AF762" s="55">
        <v>0</v>
      </c>
      <c r="AG762" s="52">
        <f t="shared" si="195"/>
        <v>6.745316153642654E-2</v>
      </c>
      <c r="AH762" s="51"/>
      <c r="AI762" s="52"/>
      <c r="AJ762" s="52"/>
      <c r="AK762" s="28">
        <v>1.555555555555556</v>
      </c>
      <c r="AL762" s="28">
        <v>1.7037037037037039</v>
      </c>
      <c r="AM762" s="28">
        <v>0.44444444444444442</v>
      </c>
      <c r="AN762" s="28">
        <v>0</v>
      </c>
      <c r="AO762" s="28">
        <v>0.42</v>
      </c>
      <c r="AP762" s="28">
        <v>0.46</v>
      </c>
      <c r="AQ762" s="28">
        <v>0.12</v>
      </c>
      <c r="AR762" s="28">
        <v>0</v>
      </c>
      <c r="AS762" s="25">
        <v>1</v>
      </c>
      <c r="AT762" s="25">
        <v>3.44</v>
      </c>
      <c r="AU762" s="25">
        <v>2.44</v>
      </c>
      <c r="AV762" s="25">
        <v>2.5425925925925932</v>
      </c>
      <c r="AW762">
        <v>2.5425925925925932</v>
      </c>
      <c r="AX762">
        <v>6.5340793550614444</v>
      </c>
      <c r="AY762" s="75"/>
      <c r="AZ762" s="75"/>
      <c r="BA762" s="75"/>
      <c r="BB762">
        <v>3.372658076821327E-2</v>
      </c>
      <c r="BF762">
        <v>6.745316153642654E-2</v>
      </c>
      <c r="BG762">
        <v>3.372658076821327E-2</v>
      </c>
      <c r="BH762">
        <v>0</v>
      </c>
      <c r="BI762" s="79" t="s">
        <v>1264</v>
      </c>
      <c r="BJ762" s="79">
        <v>1373</v>
      </c>
      <c r="BK762" s="79">
        <v>24</v>
      </c>
      <c r="BM762" s="79" t="s">
        <v>464</v>
      </c>
      <c r="BN762" s="79" t="s">
        <v>464</v>
      </c>
      <c r="BO762" s="79">
        <v>0</v>
      </c>
      <c r="BP762" s="79">
        <v>6.4</v>
      </c>
      <c r="BQ762" s="79">
        <v>0.5</v>
      </c>
      <c r="BR762" s="79">
        <v>0</v>
      </c>
      <c r="BS762" s="95" t="s">
        <v>464</v>
      </c>
      <c r="BT762" s="95" t="s">
        <v>464</v>
      </c>
      <c r="BU762" s="95" t="s">
        <v>1266</v>
      </c>
      <c r="BV762" s="95">
        <v>125</v>
      </c>
      <c r="BW762" s="95">
        <v>220</v>
      </c>
      <c r="BX762" s="95" t="s">
        <v>1287</v>
      </c>
      <c r="BY762" s="95">
        <f t="shared" si="211"/>
        <v>288</v>
      </c>
      <c r="BZ762" s="81">
        <v>3520</v>
      </c>
      <c r="CA762">
        <f t="shared" si="198"/>
        <v>8.1662162685921427</v>
      </c>
    </row>
    <row r="763" spans="1:79" x14ac:dyDescent="0.3">
      <c r="A763" s="2" t="s">
        <v>349</v>
      </c>
      <c r="B763" s="18" t="s">
        <v>1021</v>
      </c>
      <c r="C763" s="13"/>
      <c r="D763" s="2">
        <v>3.5</v>
      </c>
      <c r="E763" s="97" t="s">
        <v>352</v>
      </c>
      <c r="F763" s="9">
        <v>-1</v>
      </c>
      <c r="G763">
        <v>-1</v>
      </c>
      <c r="I763" s="2">
        <v>1</v>
      </c>
      <c r="J763" s="25">
        <v>0</v>
      </c>
      <c r="K763">
        <v>0</v>
      </c>
      <c r="L763">
        <v>0</v>
      </c>
      <c r="M763" s="2">
        <v>3.87</v>
      </c>
      <c r="N763" s="2">
        <v>3.87</v>
      </c>
      <c r="O763" s="2">
        <v>22.1</v>
      </c>
      <c r="P763" s="2"/>
      <c r="Q763" s="2"/>
      <c r="R763" s="25">
        <v>0</v>
      </c>
      <c r="S763" s="25"/>
      <c r="T763" s="25"/>
      <c r="U763">
        <v>0</v>
      </c>
      <c r="X763">
        <v>0</v>
      </c>
      <c r="AA763" s="2"/>
      <c r="AB763">
        <v>20</v>
      </c>
      <c r="AC763" s="55">
        <f t="shared" si="188"/>
        <v>330.98949000000005</v>
      </c>
      <c r="AD763" s="57">
        <v>0</v>
      </c>
      <c r="AE763" s="55">
        <v>0</v>
      </c>
      <c r="AF763" s="55">
        <v>0</v>
      </c>
      <c r="AG763" s="52">
        <f t="shared" si="195"/>
        <v>6.0424879351909322E-2</v>
      </c>
      <c r="AH763" s="51"/>
      <c r="AI763" s="52"/>
      <c r="AJ763" s="52"/>
      <c r="AK763" s="28">
        <v>1.533333333333333</v>
      </c>
      <c r="AL763" s="28">
        <v>1.6</v>
      </c>
      <c r="AM763" s="28">
        <v>0.4</v>
      </c>
      <c r="AN763" s="28">
        <v>0</v>
      </c>
      <c r="AO763" s="28">
        <v>0.43396226415094352</v>
      </c>
      <c r="AP763" s="28">
        <v>0.45283018867924529</v>
      </c>
      <c r="AQ763" s="28">
        <v>0.1132075471698113</v>
      </c>
      <c r="AR763" s="28">
        <v>0</v>
      </c>
      <c r="AS763" s="25">
        <v>1</v>
      </c>
      <c r="AT763" s="25">
        <v>3.44</v>
      </c>
      <c r="AU763" s="25">
        <v>2.44</v>
      </c>
      <c r="AV763" s="25">
        <v>2.52</v>
      </c>
      <c r="AW763">
        <v>2.52</v>
      </c>
      <c r="AX763">
        <v>6.5678125330786994</v>
      </c>
      <c r="AY763" s="75"/>
      <c r="AZ763" s="75"/>
      <c r="BA763" s="75"/>
      <c r="BB763">
        <v>3.0212439675954661E-2</v>
      </c>
      <c r="BF763">
        <v>6.0424879351909322E-2</v>
      </c>
      <c r="BG763">
        <v>3.0212439675954661E-2</v>
      </c>
      <c r="BH763">
        <v>0</v>
      </c>
      <c r="BI763" s="79" t="s">
        <v>1264</v>
      </c>
      <c r="BJ763" s="79">
        <v>1373</v>
      </c>
      <c r="BK763" s="79">
        <v>24</v>
      </c>
      <c r="BM763" s="79" t="s">
        <v>464</v>
      </c>
      <c r="BN763" s="79" t="s">
        <v>464</v>
      </c>
      <c r="BO763" s="79">
        <v>0</v>
      </c>
      <c r="BP763" s="79">
        <v>7.3</v>
      </c>
      <c r="BQ763" s="79">
        <v>0.5</v>
      </c>
      <c r="BR763" s="79">
        <v>0</v>
      </c>
      <c r="BS763" s="95" t="s">
        <v>464</v>
      </c>
      <c r="BT763" s="95" t="s">
        <v>464</v>
      </c>
      <c r="BU763" s="95" t="s">
        <v>1266</v>
      </c>
      <c r="BV763" s="95">
        <v>125</v>
      </c>
      <c r="BW763" s="95">
        <v>220</v>
      </c>
      <c r="BX763" s="95" t="s">
        <v>1287</v>
      </c>
      <c r="BY763" s="95">
        <f t="shared" si="211"/>
        <v>288</v>
      </c>
      <c r="BZ763" s="81">
        <v>4840</v>
      </c>
      <c r="CA763">
        <f t="shared" si="198"/>
        <v>8.4846699997106771</v>
      </c>
    </row>
    <row r="764" spans="1:79" x14ac:dyDescent="0.3">
      <c r="A764" s="2" t="s">
        <v>350</v>
      </c>
      <c r="B764" s="18" t="s">
        <v>1022</v>
      </c>
      <c r="C764" s="13"/>
      <c r="D764" s="2">
        <v>3.47</v>
      </c>
      <c r="E764" s="97" t="s">
        <v>352</v>
      </c>
      <c r="F764" s="9">
        <v>-1</v>
      </c>
      <c r="G764">
        <v>-1</v>
      </c>
      <c r="I764" s="2">
        <v>1</v>
      </c>
      <c r="J764" s="25">
        <v>0</v>
      </c>
      <c r="K764">
        <v>0</v>
      </c>
      <c r="L764">
        <v>0</v>
      </c>
      <c r="M764" s="2">
        <v>3.87</v>
      </c>
      <c r="N764" s="2">
        <v>3.87</v>
      </c>
      <c r="O764" s="2">
        <v>26.4</v>
      </c>
      <c r="P764" s="2"/>
      <c r="Q764" s="2"/>
      <c r="R764" s="25">
        <v>0</v>
      </c>
      <c r="S764" s="25"/>
      <c r="T764" s="25"/>
      <c r="U764">
        <v>0</v>
      </c>
      <c r="X764">
        <v>0</v>
      </c>
      <c r="AA764" s="2"/>
      <c r="AB764">
        <v>20</v>
      </c>
      <c r="AC764" s="55">
        <f t="shared" si="188"/>
        <v>395.39015999999998</v>
      </c>
      <c r="AD764" s="57">
        <v>0</v>
      </c>
      <c r="AE764" s="55">
        <v>0</v>
      </c>
      <c r="AF764" s="55">
        <v>0</v>
      </c>
      <c r="AG764" s="52">
        <f t="shared" si="195"/>
        <v>5.0582948245348341E-2</v>
      </c>
      <c r="AH764" s="51"/>
      <c r="AI764" s="52"/>
      <c r="AJ764" s="52"/>
      <c r="AK764" s="28">
        <v>1.5</v>
      </c>
      <c r="AL764" s="28">
        <v>1.444444444444444</v>
      </c>
      <c r="AM764" s="28">
        <v>0.33333333333333331</v>
      </c>
      <c r="AN764" s="28">
        <v>0</v>
      </c>
      <c r="AO764" s="28">
        <v>0.4576271186440678</v>
      </c>
      <c r="AP764" s="28">
        <v>0.44067796610169491</v>
      </c>
      <c r="AQ764" s="28">
        <v>0.10169491525423729</v>
      </c>
      <c r="AR764" s="28">
        <v>0</v>
      </c>
      <c r="AS764" s="25">
        <v>1</v>
      </c>
      <c r="AT764" s="25">
        <v>3.44</v>
      </c>
      <c r="AU764" s="25">
        <v>2.44</v>
      </c>
      <c r="AV764" s="25">
        <v>2.4861111111111112</v>
      </c>
      <c r="AW764">
        <v>2.4861111111111112</v>
      </c>
      <c r="AX764">
        <v>6.6184123001045831</v>
      </c>
      <c r="AY764" s="75"/>
      <c r="AZ764" s="75"/>
      <c r="BA764" s="75"/>
      <c r="BB764">
        <v>2.5291474122674171E-2</v>
      </c>
      <c r="BF764">
        <v>5.0582948245348341E-2</v>
      </c>
      <c r="BG764">
        <v>2.5291474122674171E-2</v>
      </c>
      <c r="BH764">
        <v>0</v>
      </c>
      <c r="BI764" s="79" t="s">
        <v>1264</v>
      </c>
      <c r="BJ764" s="79">
        <v>1373</v>
      </c>
      <c r="BK764" s="79">
        <v>24</v>
      </c>
      <c r="BM764" s="79" t="s">
        <v>464</v>
      </c>
      <c r="BN764" s="79" t="s">
        <v>464</v>
      </c>
      <c r="BO764" s="79">
        <v>0</v>
      </c>
      <c r="BP764" s="79">
        <v>10.7</v>
      </c>
      <c r="BQ764" s="79">
        <v>0.5</v>
      </c>
      <c r="BR764" s="79">
        <v>0</v>
      </c>
      <c r="BS764" s="95" t="s">
        <v>464</v>
      </c>
      <c r="BT764" s="95" t="s">
        <v>464</v>
      </c>
      <c r="BU764" s="95" t="s">
        <v>1266</v>
      </c>
      <c r="BV764" s="95">
        <v>125</v>
      </c>
      <c r="BW764" s="95">
        <v>220</v>
      </c>
      <c r="BX764" s="95" t="s">
        <v>1287</v>
      </c>
      <c r="BY764" s="95">
        <f t="shared" si="211"/>
        <v>288</v>
      </c>
      <c r="BZ764" s="81">
        <v>5240</v>
      </c>
      <c r="CA764">
        <f t="shared" si="198"/>
        <v>8.564076777315087</v>
      </c>
    </row>
    <row r="765" spans="1:79" x14ac:dyDescent="0.3">
      <c r="A765" s="2" t="s">
        <v>351</v>
      </c>
      <c r="B765" s="18" t="s">
        <v>1023</v>
      </c>
      <c r="C765" s="13"/>
      <c r="D765" s="2">
        <v>3.51</v>
      </c>
      <c r="E765" s="97" t="s">
        <v>352</v>
      </c>
      <c r="F765" s="9">
        <v>-1</v>
      </c>
      <c r="G765">
        <v>-1</v>
      </c>
      <c r="I765" s="2">
        <v>1</v>
      </c>
      <c r="J765" s="25">
        <v>0</v>
      </c>
      <c r="K765">
        <v>0</v>
      </c>
      <c r="L765">
        <v>0</v>
      </c>
      <c r="M765" s="2">
        <v>3.87</v>
      </c>
      <c r="N765" s="2">
        <v>3.87</v>
      </c>
      <c r="O765" s="2">
        <v>34.799999999999997</v>
      </c>
      <c r="P765" s="2"/>
      <c r="Q765" s="2"/>
      <c r="R765" s="25">
        <v>0</v>
      </c>
      <c r="S765" s="25"/>
      <c r="T765" s="25"/>
      <c r="U765">
        <v>0</v>
      </c>
      <c r="X765">
        <v>0</v>
      </c>
      <c r="AA765" s="2"/>
      <c r="AB765">
        <v>20</v>
      </c>
      <c r="AC765" s="55">
        <f t="shared" si="188"/>
        <v>521.19611999999995</v>
      </c>
      <c r="AD765" s="57">
        <v>0</v>
      </c>
      <c r="AE765" s="55">
        <v>0</v>
      </c>
      <c r="AF765" s="55">
        <v>0</v>
      </c>
      <c r="AG765" s="52">
        <f t="shared" si="195"/>
        <v>3.8373271082678052E-2</v>
      </c>
      <c r="AH765" s="51"/>
      <c r="AI765" s="52"/>
      <c r="AJ765" s="52"/>
      <c r="AK765" s="28">
        <v>1.4761904761904761</v>
      </c>
      <c r="AL765" s="28">
        <v>1.333333333333333</v>
      </c>
      <c r="AM765" s="28">
        <v>0.2857142857142857</v>
      </c>
      <c r="AN765" s="28">
        <v>0</v>
      </c>
      <c r="AO765" s="28">
        <v>0.47692307692307689</v>
      </c>
      <c r="AP765" s="28">
        <v>0.43076923076923068</v>
      </c>
      <c r="AQ765" s="28">
        <v>9.2307692307692299E-2</v>
      </c>
      <c r="AR765" s="28">
        <v>0</v>
      </c>
      <c r="AS765" s="25">
        <v>1</v>
      </c>
      <c r="AT765" s="25">
        <v>3.44</v>
      </c>
      <c r="AU765" s="25">
        <v>2.44</v>
      </c>
      <c r="AV765" s="25">
        <v>2.461904761904762</v>
      </c>
      <c r="AW765">
        <v>2.461904761904762</v>
      </c>
      <c r="AX765">
        <v>6.6545549908373571</v>
      </c>
      <c r="AY765" s="75"/>
      <c r="AZ765" s="75"/>
      <c r="BA765" s="75"/>
      <c r="BB765">
        <v>1.918663554133903E-2</v>
      </c>
      <c r="BF765">
        <v>3.8373271082678052E-2</v>
      </c>
      <c r="BG765">
        <v>1.918663554133903E-2</v>
      </c>
      <c r="BH765">
        <v>0</v>
      </c>
      <c r="BI765" s="79" t="s">
        <v>1264</v>
      </c>
      <c r="BJ765" s="79">
        <v>1373</v>
      </c>
      <c r="BK765" s="79">
        <v>24</v>
      </c>
      <c r="BM765" s="79" t="s">
        <v>464</v>
      </c>
      <c r="BN765" s="79" t="s">
        <v>464</v>
      </c>
      <c r="BO765" s="79">
        <v>0</v>
      </c>
      <c r="BP765" s="79">
        <v>10.199999999999999</v>
      </c>
      <c r="BQ765" s="79">
        <v>0.5</v>
      </c>
      <c r="BR765" s="79">
        <v>0</v>
      </c>
      <c r="BS765" s="95" t="s">
        <v>464</v>
      </c>
      <c r="BT765" s="95" t="s">
        <v>464</v>
      </c>
      <c r="BU765" s="95" t="s">
        <v>1266</v>
      </c>
      <c r="BV765" s="95">
        <v>125</v>
      </c>
      <c r="BW765" s="95">
        <v>220</v>
      </c>
      <c r="BX765" s="95" t="s">
        <v>1287</v>
      </c>
      <c r="BY765" s="95">
        <f t="shared" si="211"/>
        <v>288</v>
      </c>
      <c r="BZ765" s="81">
        <v>5120</v>
      </c>
      <c r="CA765">
        <f t="shared" si="198"/>
        <v>8.5409097180335536</v>
      </c>
    </row>
    <row r="766" spans="1:79" x14ac:dyDescent="0.3">
      <c r="A766" s="2" t="s">
        <v>4</v>
      </c>
      <c r="B766" s="13" t="s">
        <v>689</v>
      </c>
      <c r="C766" s="13"/>
      <c r="D766" s="2">
        <v>3.54</v>
      </c>
      <c r="E766" s="97" t="s">
        <v>352</v>
      </c>
      <c r="F766" s="9" t="s">
        <v>527</v>
      </c>
      <c r="G766" t="s">
        <v>609</v>
      </c>
      <c r="I766" s="2">
        <v>2</v>
      </c>
      <c r="J766" s="25">
        <v>4</v>
      </c>
      <c r="K766">
        <v>4</v>
      </c>
      <c r="L766">
        <v>0</v>
      </c>
      <c r="M766" s="2">
        <v>3.86</v>
      </c>
      <c r="N766" s="2">
        <v>3.86</v>
      </c>
      <c r="O766" s="2">
        <v>29.4</v>
      </c>
      <c r="P766" s="2"/>
      <c r="Q766" s="2"/>
      <c r="R766" s="25">
        <v>7.8084429999999996</v>
      </c>
      <c r="S766" s="25">
        <v>7.8548809999999998</v>
      </c>
      <c r="T766" s="25">
        <v>15.19056011</v>
      </c>
      <c r="U766">
        <v>3.8801999999999999</v>
      </c>
      <c r="V766">
        <v>29.507999999999999</v>
      </c>
      <c r="W766">
        <v>7.7140000000000004</v>
      </c>
      <c r="X766">
        <v>0</v>
      </c>
      <c r="AA766" s="2"/>
      <c r="AB766">
        <v>20</v>
      </c>
      <c r="AC766" s="55">
        <f t="shared" ref="AC766:AC773" si="215">M766*N766*O766</f>
        <v>438.04823999999996</v>
      </c>
      <c r="AD766" s="57">
        <v>924.74694800021894</v>
      </c>
      <c r="AE766" s="55">
        <v>883.22940750240002</v>
      </c>
      <c r="AF766" s="55">
        <v>0</v>
      </c>
      <c r="AG766" s="52">
        <f t="shared" ref="AG766:AG773" si="216">I766*AB766/AC766</f>
        <v>9.1314143848631832E-2</v>
      </c>
      <c r="AH766" s="51">
        <v>8.6510153045653584E-2</v>
      </c>
      <c r="AI766" s="52">
        <v>9.0576694254581439E-2</v>
      </c>
      <c r="AJ766" s="52"/>
      <c r="AK766" s="28">
        <v>1.75</v>
      </c>
      <c r="AL766" s="28">
        <v>2.5</v>
      </c>
      <c r="AM766" s="28">
        <v>0.75</v>
      </c>
      <c r="AN766" s="28">
        <v>0</v>
      </c>
      <c r="AO766" s="28">
        <v>0.35</v>
      </c>
      <c r="AP766" s="28">
        <v>0.5</v>
      </c>
      <c r="AQ766" s="28">
        <v>0.15</v>
      </c>
      <c r="AR766" s="28">
        <v>0</v>
      </c>
      <c r="AS766" s="25">
        <v>0.82</v>
      </c>
      <c r="AT766" s="25">
        <v>3.44</v>
      </c>
      <c r="AU766" s="25">
        <v>2.62</v>
      </c>
      <c r="AV766" s="25">
        <v>2.6262500000000002</v>
      </c>
      <c r="AW766">
        <v>2.6262500000000002</v>
      </c>
      <c r="AX766">
        <v>5.96680968125</v>
      </c>
      <c r="AY766" s="75">
        <v>0.50555206026575039</v>
      </c>
      <c r="AZ766" s="75">
        <v>0</v>
      </c>
      <c r="BA766" s="75"/>
      <c r="BB766">
        <v>4.5657071924315923E-2</v>
      </c>
      <c r="BC766">
        <v>4.3255076522826792E-2</v>
      </c>
      <c r="BD766">
        <v>4.5288347127290719E-2</v>
      </c>
      <c r="BF766">
        <v>8.9466997049622285E-2</v>
      </c>
      <c r="BG766">
        <v>4.4733498524811142E-2</v>
      </c>
      <c r="BH766">
        <v>0.2527760301328752</v>
      </c>
      <c r="BI766" s="79" t="s">
        <v>1264</v>
      </c>
      <c r="BJ766" s="79">
        <v>1373</v>
      </c>
      <c r="BK766" s="79">
        <v>24</v>
      </c>
      <c r="BM766" s="79" t="s">
        <v>1268</v>
      </c>
      <c r="BN766" s="79" t="s">
        <v>863</v>
      </c>
      <c r="BO766" s="79">
        <v>1</v>
      </c>
      <c r="BP766" s="79">
        <v>3.8</v>
      </c>
      <c r="BQ766" s="79">
        <v>0.5</v>
      </c>
      <c r="BR766" s="79">
        <v>0</v>
      </c>
      <c r="BS766" s="95" t="s">
        <v>464</v>
      </c>
      <c r="BT766" s="95" t="s">
        <v>464</v>
      </c>
      <c r="BU766" s="95" t="s">
        <v>1266</v>
      </c>
      <c r="BV766" s="95">
        <v>125</v>
      </c>
      <c r="BW766" s="95">
        <v>220</v>
      </c>
      <c r="BX766" s="95" t="s">
        <v>1287</v>
      </c>
      <c r="BY766" s="95">
        <f t="shared" si="211"/>
        <v>288</v>
      </c>
      <c r="BZ766" s="81">
        <v>312</v>
      </c>
      <c r="CA766">
        <f t="shared" ref="CA766:CA773" si="217">LN(BZ766)</f>
        <v>5.7430031878094825</v>
      </c>
    </row>
    <row r="767" spans="1:79" x14ac:dyDescent="0.3">
      <c r="A767" s="2" t="s">
        <v>63</v>
      </c>
      <c r="B767" s="13" t="s">
        <v>773</v>
      </c>
      <c r="C767" s="13"/>
      <c r="D767" s="2">
        <v>3.5</v>
      </c>
      <c r="E767" s="97" t="s">
        <v>352</v>
      </c>
      <c r="F767" s="9">
        <v>-1</v>
      </c>
      <c r="G767">
        <v>-1</v>
      </c>
      <c r="I767" s="2">
        <v>1</v>
      </c>
      <c r="J767" s="25">
        <v>0</v>
      </c>
      <c r="K767">
        <v>0</v>
      </c>
      <c r="L767">
        <v>0</v>
      </c>
      <c r="M767" s="2">
        <v>3.82</v>
      </c>
      <c r="N767" s="2">
        <v>3.82</v>
      </c>
      <c r="O767" s="2">
        <v>16</v>
      </c>
      <c r="P767" s="2"/>
      <c r="Q767" s="2"/>
      <c r="R767" s="25">
        <v>0</v>
      </c>
      <c r="S767" s="25"/>
      <c r="T767" s="25"/>
      <c r="U767">
        <v>0</v>
      </c>
      <c r="X767">
        <v>0</v>
      </c>
      <c r="AA767" s="2"/>
      <c r="AB767">
        <v>20</v>
      </c>
      <c r="AC767" s="55">
        <f t="shared" si="215"/>
        <v>233.47839999999999</v>
      </c>
      <c r="AD767" s="57">
        <v>0</v>
      </c>
      <c r="AE767" s="55">
        <v>0</v>
      </c>
      <c r="AF767" s="55">
        <v>0</v>
      </c>
      <c r="AG767" s="52">
        <f t="shared" si="216"/>
        <v>8.5661029028809524E-2</v>
      </c>
      <c r="AH767" s="51"/>
      <c r="AI767" s="52"/>
      <c r="AJ767" s="52"/>
      <c r="AK767" s="28">
        <v>1.75</v>
      </c>
      <c r="AL767" s="28">
        <v>2.5</v>
      </c>
      <c r="AM767" s="28">
        <v>0.75</v>
      </c>
      <c r="AN767" s="28">
        <v>0</v>
      </c>
      <c r="AO767" s="28">
        <v>0.35</v>
      </c>
      <c r="AP767" s="28">
        <v>0.5</v>
      </c>
      <c r="AQ767" s="28">
        <v>0.15</v>
      </c>
      <c r="AR767" s="28">
        <v>0</v>
      </c>
      <c r="AS767" s="25">
        <v>1</v>
      </c>
      <c r="AT767" s="25">
        <v>3.44</v>
      </c>
      <c r="AU767" s="25">
        <v>2.44</v>
      </c>
      <c r="AV767" s="25">
        <v>2.7124999999999999</v>
      </c>
      <c r="AW767">
        <v>2.7124999999999999</v>
      </c>
      <c r="AX767">
        <v>6.264025610615688</v>
      </c>
      <c r="AY767" s="75"/>
      <c r="AZ767" s="75"/>
      <c r="BA767" s="75"/>
      <c r="BB767">
        <v>4.2830514514404762E-2</v>
      </c>
      <c r="BF767">
        <v>8.5661029028809524E-2</v>
      </c>
      <c r="BG767">
        <v>4.2830514514404762E-2</v>
      </c>
      <c r="BH767">
        <v>0</v>
      </c>
      <c r="BI767" s="79" t="s">
        <v>1264</v>
      </c>
      <c r="BJ767" s="79">
        <v>1373</v>
      </c>
      <c r="BK767" s="79">
        <v>24</v>
      </c>
      <c r="BM767" s="79" t="s">
        <v>1268</v>
      </c>
      <c r="BN767" s="79" t="s">
        <v>863</v>
      </c>
      <c r="BO767" s="79">
        <v>1</v>
      </c>
      <c r="BP767" s="79">
        <v>5.6</v>
      </c>
      <c r="BQ767" s="79">
        <v>0.5</v>
      </c>
      <c r="BR767" s="79">
        <v>0</v>
      </c>
      <c r="BS767" s="95" t="s">
        <v>464</v>
      </c>
      <c r="BT767" s="95" t="s">
        <v>464</v>
      </c>
      <c r="BU767" s="95" t="s">
        <v>1266</v>
      </c>
      <c r="BV767" s="95">
        <v>125</v>
      </c>
      <c r="BW767" s="95">
        <v>220</v>
      </c>
      <c r="BX767" s="95" t="s">
        <v>1287</v>
      </c>
      <c r="BY767" s="95">
        <f t="shared" si="211"/>
        <v>288</v>
      </c>
      <c r="BZ767" s="81">
        <v>23440</v>
      </c>
      <c r="CA767">
        <f t="shared" si="217"/>
        <v>10.06219924369095</v>
      </c>
    </row>
    <row r="768" spans="1:79" x14ac:dyDescent="0.3">
      <c r="A768" s="2" t="s">
        <v>346</v>
      </c>
      <c r="B768" s="18" t="s">
        <v>1018</v>
      </c>
      <c r="C768" s="13"/>
      <c r="D768" s="2">
        <v>3.45</v>
      </c>
      <c r="E768" s="97" t="s">
        <v>352</v>
      </c>
      <c r="F768" s="9">
        <v>-1</v>
      </c>
      <c r="G768">
        <v>-1</v>
      </c>
      <c r="I768" s="2">
        <v>1</v>
      </c>
      <c r="J768" s="25">
        <v>0</v>
      </c>
      <c r="K768">
        <v>0</v>
      </c>
      <c r="L768">
        <v>0</v>
      </c>
      <c r="M768" s="2">
        <v>3.86</v>
      </c>
      <c r="N768" s="2">
        <v>3.86</v>
      </c>
      <c r="O768" s="2">
        <v>20.9</v>
      </c>
      <c r="P768" s="2"/>
      <c r="Q768" s="2"/>
      <c r="R768" s="25">
        <v>0</v>
      </c>
      <c r="S768" s="25"/>
      <c r="T768" s="25"/>
      <c r="U768">
        <v>0</v>
      </c>
      <c r="X768">
        <v>0</v>
      </c>
      <c r="AA768" s="2"/>
      <c r="AB768">
        <v>20</v>
      </c>
      <c r="AC768" s="55">
        <f t="shared" si="215"/>
        <v>311.40163999999999</v>
      </c>
      <c r="AD768" s="57">
        <v>0</v>
      </c>
      <c r="AE768" s="55">
        <v>0</v>
      </c>
      <c r="AF768" s="55">
        <v>0</v>
      </c>
      <c r="AG768" s="52">
        <f t="shared" si="216"/>
        <v>6.4225737539468322E-2</v>
      </c>
      <c r="AH768" s="51"/>
      <c r="AI768" s="52"/>
      <c r="AJ768" s="52"/>
      <c r="AK768" s="28">
        <v>1.6190476190476191</v>
      </c>
      <c r="AL768" s="28">
        <v>2</v>
      </c>
      <c r="AM768" s="28">
        <v>0.5714285714285714</v>
      </c>
      <c r="AN768" s="28">
        <v>0</v>
      </c>
      <c r="AO768" s="28">
        <v>0.38636363636363641</v>
      </c>
      <c r="AP768" s="28">
        <v>0.47727272727272718</v>
      </c>
      <c r="AQ768" s="28">
        <v>0.13636363636363641</v>
      </c>
      <c r="AR768" s="28">
        <v>0</v>
      </c>
      <c r="AS768" s="25">
        <v>1</v>
      </c>
      <c r="AT768" s="25">
        <v>3.44</v>
      </c>
      <c r="AU768" s="25">
        <v>2.44</v>
      </c>
      <c r="AV768" s="25">
        <v>2.6071428571428572</v>
      </c>
      <c r="AW768">
        <v>2.6071428571428572</v>
      </c>
      <c r="AX768">
        <v>6.4376988464407141</v>
      </c>
      <c r="AY768" s="75"/>
      <c r="AZ768" s="75"/>
      <c r="BA768" s="75"/>
      <c r="BB768">
        <v>3.2112868769734161E-2</v>
      </c>
      <c r="BF768">
        <v>6.4225737539468322E-2</v>
      </c>
      <c r="BG768">
        <v>3.2112868769734161E-2</v>
      </c>
      <c r="BH768">
        <v>0</v>
      </c>
      <c r="BI768" s="79" t="s">
        <v>1264</v>
      </c>
      <c r="BJ768" s="79">
        <v>1373</v>
      </c>
      <c r="BK768" s="79">
        <v>24</v>
      </c>
      <c r="BM768" s="79" t="s">
        <v>1268</v>
      </c>
      <c r="BN768" s="79" t="s">
        <v>863</v>
      </c>
      <c r="BO768" s="79">
        <v>1</v>
      </c>
      <c r="BP768" s="79">
        <v>2.4</v>
      </c>
      <c r="BQ768" s="79">
        <v>0.5</v>
      </c>
      <c r="BR768" s="79">
        <v>0</v>
      </c>
      <c r="BS768" s="95" t="s">
        <v>464</v>
      </c>
      <c r="BT768" s="95" t="s">
        <v>464</v>
      </c>
      <c r="BU768" s="95" t="s">
        <v>1266</v>
      </c>
      <c r="BV768" s="95">
        <v>125</v>
      </c>
      <c r="BW768" s="95">
        <v>220</v>
      </c>
      <c r="BX768" s="95" t="s">
        <v>1287</v>
      </c>
      <c r="BY768" s="95">
        <f t="shared" si="211"/>
        <v>288</v>
      </c>
      <c r="BZ768" s="81">
        <v>31840</v>
      </c>
      <c r="CA768">
        <f t="shared" si="217"/>
        <v>10.368478639958319</v>
      </c>
    </row>
    <row r="769" spans="1:80" x14ac:dyDescent="0.3">
      <c r="A769" s="2" t="s">
        <v>347</v>
      </c>
      <c r="B769" s="18" t="s">
        <v>1019</v>
      </c>
      <c r="C769" s="13"/>
      <c r="D769" s="2">
        <v>3.5</v>
      </c>
      <c r="E769" s="97" t="s">
        <v>352</v>
      </c>
      <c r="F769" s="9">
        <v>-1</v>
      </c>
      <c r="G769">
        <v>-1</v>
      </c>
      <c r="I769" s="2">
        <v>1</v>
      </c>
      <c r="J769" s="25">
        <v>0</v>
      </c>
      <c r="K769">
        <v>0</v>
      </c>
      <c r="L769">
        <v>0</v>
      </c>
      <c r="M769" s="2">
        <v>3.86</v>
      </c>
      <c r="N769" s="2">
        <v>3.86</v>
      </c>
      <c r="O769" s="2">
        <v>17.899999999999999</v>
      </c>
      <c r="P769" s="2"/>
      <c r="Q769" s="2"/>
      <c r="R769" s="25">
        <v>0</v>
      </c>
      <c r="S769" s="25"/>
      <c r="T769" s="25"/>
      <c r="U769">
        <v>0</v>
      </c>
      <c r="X769">
        <v>0</v>
      </c>
      <c r="AA769" s="2"/>
      <c r="AB769">
        <v>20</v>
      </c>
      <c r="AC769" s="55">
        <f t="shared" si="215"/>
        <v>266.70283999999998</v>
      </c>
      <c r="AD769" s="57">
        <v>0</v>
      </c>
      <c r="AE769" s="55">
        <v>0</v>
      </c>
      <c r="AF769" s="55">
        <v>0</v>
      </c>
      <c r="AG769" s="52">
        <f t="shared" si="216"/>
        <v>7.4989827629882017E-2</v>
      </c>
      <c r="AH769" s="51"/>
      <c r="AI769" s="52"/>
      <c r="AJ769" s="52"/>
      <c r="AK769" s="28">
        <v>1.583333333333333</v>
      </c>
      <c r="AL769" s="28">
        <v>1.833333333333333</v>
      </c>
      <c r="AM769" s="28">
        <v>0.5</v>
      </c>
      <c r="AN769" s="28">
        <v>0</v>
      </c>
      <c r="AO769" s="28">
        <v>0.40425531914893609</v>
      </c>
      <c r="AP769" s="28">
        <v>0.46808510638297868</v>
      </c>
      <c r="AQ769" s="28">
        <v>0.1276595744680851</v>
      </c>
      <c r="AR769" s="28">
        <v>0</v>
      </c>
      <c r="AS769" s="25">
        <v>1</v>
      </c>
      <c r="AT769" s="25">
        <v>3.44</v>
      </c>
      <c r="AU769" s="25">
        <v>2.44</v>
      </c>
      <c r="AV769" s="25">
        <v>2.5708333333333329</v>
      </c>
      <c r="AW769">
        <v>2.5708333333333329</v>
      </c>
      <c r="AX769">
        <v>6.4919128825398751</v>
      </c>
      <c r="AY769" s="75"/>
      <c r="AZ769" s="75"/>
      <c r="BA769" s="75"/>
      <c r="BB769">
        <v>3.7494913814941008E-2</v>
      </c>
      <c r="BF769">
        <v>7.4989827629882017E-2</v>
      </c>
      <c r="BG769">
        <v>3.7494913814941008E-2</v>
      </c>
      <c r="BH769">
        <v>0</v>
      </c>
      <c r="BI769" s="79" t="s">
        <v>1264</v>
      </c>
      <c r="BJ769" s="79">
        <v>1373</v>
      </c>
      <c r="BK769" s="79">
        <v>24</v>
      </c>
      <c r="BM769" s="79" t="s">
        <v>1268</v>
      </c>
      <c r="BN769" s="79" t="s">
        <v>863</v>
      </c>
      <c r="BO769" s="79">
        <v>1</v>
      </c>
      <c r="BP769" s="79">
        <v>4.7</v>
      </c>
      <c r="BQ769" s="79">
        <v>0.5</v>
      </c>
      <c r="BR769" s="79">
        <v>0</v>
      </c>
      <c r="BS769" s="95" t="s">
        <v>464</v>
      </c>
      <c r="BT769" s="95" t="s">
        <v>464</v>
      </c>
      <c r="BU769" s="95" t="s">
        <v>1266</v>
      </c>
      <c r="BV769" s="95">
        <v>125</v>
      </c>
      <c r="BW769" s="95">
        <v>220</v>
      </c>
      <c r="BX769" s="95" t="s">
        <v>1287</v>
      </c>
      <c r="BY769" s="95">
        <f t="shared" si="211"/>
        <v>288</v>
      </c>
      <c r="BZ769" s="81">
        <v>61760</v>
      </c>
      <c r="CA769">
        <f t="shared" si="217"/>
        <v>11.031011184698658</v>
      </c>
    </row>
    <row r="770" spans="1:80" x14ac:dyDescent="0.3">
      <c r="A770" s="2" t="s">
        <v>348</v>
      </c>
      <c r="B770" s="18" t="s">
        <v>1020</v>
      </c>
      <c r="C770" s="13"/>
      <c r="D770" s="2">
        <v>3.53</v>
      </c>
      <c r="E770" s="97" t="s">
        <v>352</v>
      </c>
      <c r="F770" s="9">
        <v>-1</v>
      </c>
      <c r="G770">
        <v>-1</v>
      </c>
      <c r="I770" s="2">
        <v>1</v>
      </c>
      <c r="J770" s="25">
        <v>0</v>
      </c>
      <c r="K770">
        <v>0</v>
      </c>
      <c r="L770">
        <v>0</v>
      </c>
      <c r="M770" s="2">
        <v>3.86</v>
      </c>
      <c r="N770" s="2">
        <v>3.86</v>
      </c>
      <c r="O770" s="2">
        <v>19.899999999999999</v>
      </c>
      <c r="P770" s="2"/>
      <c r="Q770" s="2"/>
      <c r="R770" s="25">
        <v>0</v>
      </c>
      <c r="S770" s="25"/>
      <c r="T770" s="25"/>
      <c r="U770">
        <v>0</v>
      </c>
      <c r="X770">
        <v>0</v>
      </c>
      <c r="AA770" s="2"/>
      <c r="AB770">
        <v>20</v>
      </c>
      <c r="AC770" s="55">
        <f t="shared" si="215"/>
        <v>296.50203999999997</v>
      </c>
      <c r="AD770" s="57">
        <v>0</v>
      </c>
      <c r="AE770" s="55">
        <v>0</v>
      </c>
      <c r="AF770" s="55">
        <v>0</v>
      </c>
      <c r="AG770" s="52">
        <f t="shared" si="216"/>
        <v>6.745316153642654E-2</v>
      </c>
      <c r="AH770" s="51"/>
      <c r="AI770" s="52"/>
      <c r="AJ770" s="52"/>
      <c r="AK770" s="28">
        <v>1.555555555555556</v>
      </c>
      <c r="AL770" s="28">
        <v>1.7037037037037039</v>
      </c>
      <c r="AM770" s="28">
        <v>0.44444444444444442</v>
      </c>
      <c r="AN770" s="28">
        <v>0</v>
      </c>
      <c r="AO770" s="28">
        <v>0.42</v>
      </c>
      <c r="AP770" s="28">
        <v>0.46</v>
      </c>
      <c r="AQ770" s="28">
        <v>0.12</v>
      </c>
      <c r="AR770" s="28">
        <v>0</v>
      </c>
      <c r="AS770" s="25">
        <v>1</v>
      </c>
      <c r="AT770" s="25">
        <v>3.44</v>
      </c>
      <c r="AU770" s="25">
        <v>2.44</v>
      </c>
      <c r="AV770" s="25">
        <v>2.5425925925925932</v>
      </c>
      <c r="AW770">
        <v>2.5425925925925932</v>
      </c>
      <c r="AX770">
        <v>6.5340793550614444</v>
      </c>
      <c r="AY770" s="75"/>
      <c r="AZ770" s="75"/>
      <c r="BA770" s="75"/>
      <c r="BB770">
        <v>3.372658076821327E-2</v>
      </c>
      <c r="BF770">
        <v>6.745316153642654E-2</v>
      </c>
      <c r="BG770">
        <v>3.372658076821327E-2</v>
      </c>
      <c r="BH770">
        <v>0</v>
      </c>
      <c r="BI770" s="79" t="s">
        <v>1264</v>
      </c>
      <c r="BJ770" s="79">
        <v>1373</v>
      </c>
      <c r="BK770" s="79">
        <v>24</v>
      </c>
      <c r="BM770" s="79" t="s">
        <v>1268</v>
      </c>
      <c r="BN770" s="79" t="s">
        <v>863</v>
      </c>
      <c r="BO770" s="79">
        <v>1</v>
      </c>
      <c r="BP770" s="79">
        <v>6.4</v>
      </c>
      <c r="BQ770" s="79">
        <v>0.5</v>
      </c>
      <c r="BR770" s="79">
        <v>0</v>
      </c>
      <c r="BS770" s="95" t="s">
        <v>464</v>
      </c>
      <c r="BT770" s="95" t="s">
        <v>464</v>
      </c>
      <c r="BU770" s="95" t="s">
        <v>1266</v>
      </c>
      <c r="BV770" s="95">
        <v>125</v>
      </c>
      <c r="BW770" s="95">
        <v>220</v>
      </c>
      <c r="BX770" s="95" t="s">
        <v>1287</v>
      </c>
      <c r="BY770" s="95">
        <f t="shared" si="211"/>
        <v>288</v>
      </c>
      <c r="BZ770" s="81">
        <v>40360</v>
      </c>
      <c r="CA770">
        <f t="shared" si="217"/>
        <v>10.605594474467546</v>
      </c>
    </row>
    <row r="771" spans="1:80" x14ac:dyDescent="0.3">
      <c r="A771" s="2" t="s">
        <v>349</v>
      </c>
      <c r="B771" s="18" t="s">
        <v>1021</v>
      </c>
      <c r="C771" s="13"/>
      <c r="D771" s="2">
        <v>3.5</v>
      </c>
      <c r="E771" s="97" t="s">
        <v>352</v>
      </c>
      <c r="F771" s="9">
        <v>-1</v>
      </c>
      <c r="G771">
        <v>-1</v>
      </c>
      <c r="I771" s="2">
        <v>1</v>
      </c>
      <c r="J771" s="25">
        <v>0</v>
      </c>
      <c r="K771">
        <v>0</v>
      </c>
      <c r="L771">
        <v>0</v>
      </c>
      <c r="M771" s="2">
        <v>3.87</v>
      </c>
      <c r="N771" s="2">
        <v>3.87</v>
      </c>
      <c r="O771" s="2">
        <v>22.1</v>
      </c>
      <c r="P771" s="2"/>
      <c r="Q771" s="2"/>
      <c r="R771" s="25">
        <v>0</v>
      </c>
      <c r="S771" s="25"/>
      <c r="T771" s="25"/>
      <c r="U771">
        <v>0</v>
      </c>
      <c r="X771">
        <v>0</v>
      </c>
      <c r="AA771" s="2"/>
      <c r="AB771">
        <v>20</v>
      </c>
      <c r="AC771" s="55">
        <f t="shared" si="215"/>
        <v>330.98949000000005</v>
      </c>
      <c r="AD771" s="57">
        <v>0</v>
      </c>
      <c r="AE771" s="55">
        <v>0</v>
      </c>
      <c r="AF771" s="55">
        <v>0</v>
      </c>
      <c r="AG771" s="52">
        <f t="shared" si="216"/>
        <v>6.0424879351909322E-2</v>
      </c>
      <c r="AH771" s="51"/>
      <c r="AI771" s="52"/>
      <c r="AJ771" s="52"/>
      <c r="AK771" s="28">
        <v>1.533333333333333</v>
      </c>
      <c r="AL771" s="28">
        <v>1.6</v>
      </c>
      <c r="AM771" s="28">
        <v>0.4</v>
      </c>
      <c r="AN771" s="28">
        <v>0</v>
      </c>
      <c r="AO771" s="28">
        <v>0.43396226415094352</v>
      </c>
      <c r="AP771" s="28">
        <v>0.45283018867924529</v>
      </c>
      <c r="AQ771" s="28">
        <v>0.1132075471698113</v>
      </c>
      <c r="AR771" s="28">
        <v>0</v>
      </c>
      <c r="AS771" s="25">
        <v>1</v>
      </c>
      <c r="AT771" s="25">
        <v>3.44</v>
      </c>
      <c r="AU771" s="25">
        <v>2.44</v>
      </c>
      <c r="AV771" s="25">
        <v>2.52</v>
      </c>
      <c r="AW771">
        <v>2.52</v>
      </c>
      <c r="AX771">
        <v>6.5678125330786994</v>
      </c>
      <c r="AY771" s="75"/>
      <c r="AZ771" s="75"/>
      <c r="BA771" s="75"/>
      <c r="BB771">
        <v>3.0212439675954661E-2</v>
      </c>
      <c r="BF771">
        <v>6.0424879351909322E-2</v>
      </c>
      <c r="BG771">
        <v>3.0212439675954661E-2</v>
      </c>
      <c r="BH771">
        <v>0</v>
      </c>
      <c r="BI771" s="79" t="s">
        <v>1264</v>
      </c>
      <c r="BJ771" s="79">
        <v>1373</v>
      </c>
      <c r="BK771" s="79">
        <v>24</v>
      </c>
      <c r="BM771" s="79" t="s">
        <v>1268</v>
      </c>
      <c r="BN771" s="79" t="s">
        <v>863</v>
      </c>
      <c r="BO771" s="79">
        <v>1</v>
      </c>
      <c r="BP771" s="79">
        <v>7.3</v>
      </c>
      <c r="BQ771" s="79">
        <v>0.5</v>
      </c>
      <c r="BR771" s="79">
        <v>0</v>
      </c>
      <c r="BS771" s="95" t="s">
        <v>464</v>
      </c>
      <c r="BT771" s="95" t="s">
        <v>464</v>
      </c>
      <c r="BU771" s="95" t="s">
        <v>1266</v>
      </c>
      <c r="BV771" s="95">
        <v>125</v>
      </c>
      <c r="BW771" s="95">
        <v>220</v>
      </c>
      <c r="BX771" s="95" t="s">
        <v>1287</v>
      </c>
      <c r="BY771" s="95">
        <f t="shared" si="211"/>
        <v>288</v>
      </c>
      <c r="BZ771" s="81">
        <v>46040</v>
      </c>
      <c r="CA771">
        <f t="shared" si="217"/>
        <v>10.73726586283582</v>
      </c>
    </row>
    <row r="772" spans="1:80" x14ac:dyDescent="0.3">
      <c r="A772" s="2" t="s">
        <v>350</v>
      </c>
      <c r="B772" s="18" t="s">
        <v>1022</v>
      </c>
      <c r="C772" s="13"/>
      <c r="D772" s="2">
        <v>3.47</v>
      </c>
      <c r="E772" s="97" t="s">
        <v>352</v>
      </c>
      <c r="F772" s="9">
        <v>-1</v>
      </c>
      <c r="G772">
        <v>-1</v>
      </c>
      <c r="I772" s="2">
        <v>1</v>
      </c>
      <c r="J772" s="25">
        <v>0</v>
      </c>
      <c r="K772">
        <v>0</v>
      </c>
      <c r="L772">
        <v>0</v>
      </c>
      <c r="M772" s="2">
        <v>3.87</v>
      </c>
      <c r="N772" s="2">
        <v>3.87</v>
      </c>
      <c r="O772" s="2">
        <v>26.4</v>
      </c>
      <c r="P772" s="2"/>
      <c r="Q772" s="2"/>
      <c r="R772" s="25">
        <v>0</v>
      </c>
      <c r="S772" s="25"/>
      <c r="T772" s="25"/>
      <c r="U772">
        <v>0</v>
      </c>
      <c r="X772">
        <v>0</v>
      </c>
      <c r="AA772" s="2"/>
      <c r="AB772">
        <v>20</v>
      </c>
      <c r="AC772" s="55">
        <f t="shared" si="215"/>
        <v>395.39015999999998</v>
      </c>
      <c r="AD772" s="57">
        <v>0</v>
      </c>
      <c r="AE772" s="55">
        <v>0</v>
      </c>
      <c r="AF772" s="55">
        <v>0</v>
      </c>
      <c r="AG772" s="52">
        <f t="shared" si="216"/>
        <v>5.0582948245348341E-2</v>
      </c>
      <c r="AH772" s="51"/>
      <c r="AI772" s="52"/>
      <c r="AJ772" s="52"/>
      <c r="AK772" s="28">
        <v>1.5</v>
      </c>
      <c r="AL772" s="28">
        <v>1.444444444444444</v>
      </c>
      <c r="AM772" s="28">
        <v>0.33333333333333331</v>
      </c>
      <c r="AN772" s="28">
        <v>0</v>
      </c>
      <c r="AO772" s="28">
        <v>0.4576271186440678</v>
      </c>
      <c r="AP772" s="28">
        <v>0.44067796610169491</v>
      </c>
      <c r="AQ772" s="28">
        <v>0.10169491525423729</v>
      </c>
      <c r="AR772" s="28">
        <v>0</v>
      </c>
      <c r="AS772" s="25">
        <v>1</v>
      </c>
      <c r="AT772" s="25">
        <v>3.44</v>
      </c>
      <c r="AU772" s="25">
        <v>2.44</v>
      </c>
      <c r="AV772" s="25">
        <v>2.4861111111111112</v>
      </c>
      <c r="AW772">
        <v>2.4861111111111112</v>
      </c>
      <c r="AX772">
        <v>6.6184123001045831</v>
      </c>
      <c r="AY772" s="75"/>
      <c r="AZ772" s="75"/>
      <c r="BA772" s="75"/>
      <c r="BB772">
        <v>2.5291474122674171E-2</v>
      </c>
      <c r="BF772">
        <v>5.0582948245348341E-2</v>
      </c>
      <c r="BG772">
        <v>2.5291474122674171E-2</v>
      </c>
      <c r="BH772">
        <v>0</v>
      </c>
      <c r="BI772" s="79" t="s">
        <v>1264</v>
      </c>
      <c r="BJ772" s="79">
        <v>1373</v>
      </c>
      <c r="BK772" s="79">
        <v>24</v>
      </c>
      <c r="BM772" s="79" t="s">
        <v>1268</v>
      </c>
      <c r="BN772" s="79" t="s">
        <v>863</v>
      </c>
      <c r="BO772" s="79">
        <v>1</v>
      </c>
      <c r="BP772" s="79">
        <v>10.7</v>
      </c>
      <c r="BQ772" s="79">
        <v>0.5</v>
      </c>
      <c r="BR772" s="79">
        <v>0</v>
      </c>
      <c r="BS772" s="95" t="s">
        <v>464</v>
      </c>
      <c r="BT772" s="95" t="s">
        <v>464</v>
      </c>
      <c r="BU772" s="95" t="s">
        <v>1266</v>
      </c>
      <c r="BV772" s="95">
        <v>125</v>
      </c>
      <c r="BW772" s="95">
        <v>220</v>
      </c>
      <c r="BX772" s="95" t="s">
        <v>1287</v>
      </c>
      <c r="BY772" s="95">
        <f t="shared" si="211"/>
        <v>288</v>
      </c>
      <c r="BZ772" s="81">
        <v>37520</v>
      </c>
      <c r="CA772">
        <f t="shared" si="217"/>
        <v>10.532629403120161</v>
      </c>
    </row>
    <row r="773" spans="1:80" x14ac:dyDescent="0.3">
      <c r="A773" s="2" t="s">
        <v>351</v>
      </c>
      <c r="B773" s="18" t="s">
        <v>1023</v>
      </c>
      <c r="C773" s="13"/>
      <c r="D773" s="2">
        <v>3.51</v>
      </c>
      <c r="E773" s="97" t="s">
        <v>352</v>
      </c>
      <c r="F773" s="9">
        <v>-1</v>
      </c>
      <c r="G773">
        <v>-1</v>
      </c>
      <c r="I773" s="2">
        <v>1</v>
      </c>
      <c r="J773" s="25">
        <v>0</v>
      </c>
      <c r="K773">
        <v>0</v>
      </c>
      <c r="L773">
        <v>0</v>
      </c>
      <c r="M773" s="2">
        <v>3.87</v>
      </c>
      <c r="N773" s="2">
        <v>3.87</v>
      </c>
      <c r="O773" s="2">
        <v>34.799999999999997</v>
      </c>
      <c r="P773" s="2"/>
      <c r="Q773" s="2"/>
      <c r="R773" s="25">
        <v>0</v>
      </c>
      <c r="S773" s="25"/>
      <c r="T773" s="25"/>
      <c r="U773">
        <v>0</v>
      </c>
      <c r="X773">
        <v>0</v>
      </c>
      <c r="AA773" s="2"/>
      <c r="AB773">
        <v>20</v>
      </c>
      <c r="AC773" s="55">
        <f t="shared" si="215"/>
        <v>521.19611999999995</v>
      </c>
      <c r="AD773" s="57">
        <v>0</v>
      </c>
      <c r="AE773" s="55">
        <v>0</v>
      </c>
      <c r="AF773" s="55">
        <v>0</v>
      </c>
      <c r="AG773" s="52">
        <f t="shared" si="216"/>
        <v>3.8373271082678052E-2</v>
      </c>
      <c r="AH773" s="51"/>
      <c r="AI773" s="52"/>
      <c r="AJ773" s="52"/>
      <c r="AK773" s="28">
        <v>1.4761904761904761</v>
      </c>
      <c r="AL773" s="28">
        <v>1.333333333333333</v>
      </c>
      <c r="AM773" s="28">
        <v>0.2857142857142857</v>
      </c>
      <c r="AN773" s="28">
        <v>0</v>
      </c>
      <c r="AO773" s="28">
        <v>0.47692307692307689</v>
      </c>
      <c r="AP773" s="28">
        <v>0.43076923076923068</v>
      </c>
      <c r="AQ773" s="28">
        <v>9.2307692307692299E-2</v>
      </c>
      <c r="AR773" s="28">
        <v>0</v>
      </c>
      <c r="AS773" s="25">
        <v>1</v>
      </c>
      <c r="AT773" s="25">
        <v>3.44</v>
      </c>
      <c r="AU773" s="25">
        <v>2.44</v>
      </c>
      <c r="AV773" s="25">
        <v>2.461904761904762</v>
      </c>
      <c r="AW773">
        <v>2.461904761904762</v>
      </c>
      <c r="AX773">
        <v>6.6545549908373571</v>
      </c>
      <c r="AY773" s="75"/>
      <c r="AZ773" s="75"/>
      <c r="BA773" s="75"/>
      <c r="BB773">
        <v>1.918663554133903E-2</v>
      </c>
      <c r="BF773">
        <v>3.8373271082678052E-2</v>
      </c>
      <c r="BG773">
        <v>1.918663554133903E-2</v>
      </c>
      <c r="BH773">
        <v>0</v>
      </c>
      <c r="BI773" s="79" t="s">
        <v>1264</v>
      </c>
      <c r="BJ773" s="79">
        <v>1373</v>
      </c>
      <c r="BK773" s="79">
        <v>24</v>
      </c>
      <c r="BM773" s="79" t="s">
        <v>1268</v>
      </c>
      <c r="BN773" s="79" t="s">
        <v>863</v>
      </c>
      <c r="BO773" s="79">
        <v>1</v>
      </c>
      <c r="BP773" s="79">
        <v>10.199999999999999</v>
      </c>
      <c r="BQ773" s="79">
        <v>0.5</v>
      </c>
      <c r="BR773" s="79">
        <v>0</v>
      </c>
      <c r="BS773" s="95" t="s">
        <v>464</v>
      </c>
      <c r="BT773" s="95" t="s">
        <v>464</v>
      </c>
      <c r="BU773" s="95" t="s">
        <v>1266</v>
      </c>
      <c r="BV773" s="95">
        <v>125</v>
      </c>
      <c r="BW773" s="95">
        <v>220</v>
      </c>
      <c r="BX773" s="95" t="s">
        <v>1287</v>
      </c>
      <c r="BY773" s="95">
        <f t="shared" si="211"/>
        <v>288</v>
      </c>
      <c r="BZ773" s="81">
        <v>40200</v>
      </c>
      <c r="CA773">
        <f t="shared" si="217"/>
        <v>10.601622274607113</v>
      </c>
    </row>
    <row r="774" spans="1:80" x14ac:dyDescent="0.3">
      <c r="A774" s="2" t="s">
        <v>180</v>
      </c>
      <c r="B774" s="13" t="s">
        <v>796</v>
      </c>
      <c r="C774" s="13"/>
      <c r="D774" s="2">
        <v>3.6</v>
      </c>
      <c r="E774" s="98" t="s">
        <v>354</v>
      </c>
      <c r="F774" s="9">
        <v>-1</v>
      </c>
      <c r="G774">
        <v>-1</v>
      </c>
      <c r="I774" s="2">
        <v>2</v>
      </c>
      <c r="J774" s="25">
        <v>0</v>
      </c>
      <c r="K774">
        <v>0</v>
      </c>
      <c r="L774">
        <v>0</v>
      </c>
      <c r="M774" s="2">
        <v>3.895</v>
      </c>
      <c r="N774" s="2">
        <v>3.895</v>
      </c>
      <c r="O774" s="2">
        <v>30.46</v>
      </c>
      <c r="P774" s="2" t="s">
        <v>440</v>
      </c>
      <c r="Q774" s="2"/>
      <c r="R774" s="25">
        <v>0</v>
      </c>
      <c r="S774" s="25"/>
      <c r="T774" s="25"/>
      <c r="U774">
        <v>0</v>
      </c>
      <c r="X774">
        <v>0</v>
      </c>
      <c r="AA774" s="2"/>
      <c r="AB774">
        <v>20</v>
      </c>
      <c r="AC774" s="55">
        <f t="shared" si="188"/>
        <v>462.1094215</v>
      </c>
      <c r="AD774" s="57">
        <v>0</v>
      </c>
      <c r="AE774" s="55">
        <v>0</v>
      </c>
      <c r="AF774" s="55">
        <v>0</v>
      </c>
      <c r="AG774" s="52">
        <f t="shared" si="195"/>
        <v>8.655958554179792E-2</v>
      </c>
      <c r="AH774" s="51"/>
      <c r="AI774" s="52"/>
      <c r="AJ774" s="52"/>
      <c r="AK774" s="28">
        <v>1.882352941176471</v>
      </c>
      <c r="AL774" s="28">
        <v>2.3529411764705879</v>
      </c>
      <c r="AM774" s="28">
        <v>0.47058823529411759</v>
      </c>
      <c r="AN774" s="28">
        <v>0</v>
      </c>
      <c r="AO774" s="28">
        <v>0.4</v>
      </c>
      <c r="AP774" s="28">
        <v>0.5</v>
      </c>
      <c r="AQ774" s="28">
        <v>9.9999999999999992E-2</v>
      </c>
      <c r="AR774" s="28">
        <v>0</v>
      </c>
      <c r="AS774" s="25">
        <v>0.82</v>
      </c>
      <c r="AT774" s="25">
        <v>3.44</v>
      </c>
      <c r="AU774" s="25">
        <v>2.62</v>
      </c>
      <c r="AV774" s="25">
        <v>2.5211764705882351</v>
      </c>
      <c r="AW774">
        <v>2.521176470588236</v>
      </c>
      <c r="AX774">
        <v>5.6793405594117647</v>
      </c>
      <c r="AY774" s="75"/>
      <c r="AZ774" s="75"/>
      <c r="BA774" s="75"/>
      <c r="BB774">
        <v>4.327979277089896E-2</v>
      </c>
      <c r="BF774">
        <v>8.655958554179792E-2</v>
      </c>
      <c r="BG774">
        <v>4.327979277089896E-2</v>
      </c>
      <c r="BH774">
        <v>0</v>
      </c>
      <c r="BI774" s="79" t="s">
        <v>1264</v>
      </c>
      <c r="BJ774" s="79">
        <v>1273</v>
      </c>
      <c r="BK774" s="79">
        <v>10</v>
      </c>
      <c r="BM774" s="79" t="s">
        <v>464</v>
      </c>
      <c r="BN774" s="79" t="s">
        <v>464</v>
      </c>
      <c r="BO774" s="79">
        <v>0</v>
      </c>
      <c r="BP774" s="79">
        <v>1.4</v>
      </c>
      <c r="BQ774" s="79">
        <v>0.5</v>
      </c>
      <c r="BR774" s="79">
        <v>0</v>
      </c>
      <c r="BS774" s="95" t="s">
        <v>464</v>
      </c>
      <c r="BT774" s="95" t="s">
        <v>464</v>
      </c>
      <c r="BU774" s="95" t="s">
        <v>1266</v>
      </c>
      <c r="BV774" s="95">
        <v>125</v>
      </c>
      <c r="BW774" s="95">
        <v>220</v>
      </c>
      <c r="BX774" s="95" t="s">
        <v>1287</v>
      </c>
      <c r="BY774" s="95">
        <f t="shared" si="211"/>
        <v>288</v>
      </c>
      <c r="BZ774" s="81">
        <v>707.99999999999989</v>
      </c>
      <c r="CA774">
        <f t="shared" si="198"/>
        <v>6.5624440936937196</v>
      </c>
    </row>
    <row r="775" spans="1:80" x14ac:dyDescent="0.3">
      <c r="A775" s="2" t="s">
        <v>952</v>
      </c>
      <c r="B775" s="17" t="s">
        <v>954</v>
      </c>
      <c r="C775" s="13"/>
      <c r="D775" s="2">
        <v>3.65</v>
      </c>
      <c r="E775" s="98" t="s">
        <v>354</v>
      </c>
      <c r="F775" s="9">
        <v>-1</v>
      </c>
      <c r="G775">
        <v>-1</v>
      </c>
      <c r="I775" s="2">
        <v>2</v>
      </c>
      <c r="J775" s="25">
        <v>0</v>
      </c>
      <c r="K775">
        <v>0</v>
      </c>
      <c r="L775">
        <v>0</v>
      </c>
      <c r="M775" s="2">
        <v>3.84</v>
      </c>
      <c r="N775" s="2">
        <v>3.84</v>
      </c>
      <c r="O775" s="2">
        <v>32.520000000000003</v>
      </c>
      <c r="P775" s="2" t="s">
        <v>1131</v>
      </c>
      <c r="Q775" s="2"/>
      <c r="R775" s="25">
        <v>0</v>
      </c>
      <c r="S775" s="25"/>
      <c r="T775" s="25"/>
      <c r="U775">
        <v>0</v>
      </c>
      <c r="X775">
        <v>0</v>
      </c>
      <c r="AA775" s="2"/>
      <c r="AB775">
        <v>20</v>
      </c>
      <c r="AC775" s="55">
        <f t="shared" si="188"/>
        <v>479.52691200000004</v>
      </c>
      <c r="AD775" s="57">
        <v>0</v>
      </c>
      <c r="AE775" s="55">
        <v>0</v>
      </c>
      <c r="AF775" s="55">
        <v>0</v>
      </c>
      <c r="AG775" s="52">
        <f t="shared" si="195"/>
        <v>8.3415547697143627E-2</v>
      </c>
      <c r="AH775" s="51"/>
      <c r="AI775" s="52"/>
      <c r="AJ775" s="52"/>
      <c r="AK775" s="28">
        <v>1.882352941176471</v>
      </c>
      <c r="AL775" s="28">
        <v>2.3529411764705879</v>
      </c>
      <c r="AM775" s="28">
        <v>0.47058823529411759</v>
      </c>
      <c r="AN775" s="28">
        <v>0</v>
      </c>
      <c r="AO775" s="28">
        <v>0.4</v>
      </c>
      <c r="AP775" s="28">
        <v>0.5</v>
      </c>
      <c r="AQ775" s="28">
        <v>9.9999999999999992E-2</v>
      </c>
      <c r="AR775" s="28">
        <v>0</v>
      </c>
      <c r="AS775" s="25">
        <v>0.82</v>
      </c>
      <c r="AT775" s="25">
        <v>3.44</v>
      </c>
      <c r="AU775" s="25">
        <v>2.62</v>
      </c>
      <c r="AV775" s="25">
        <v>2.6023529411764699</v>
      </c>
      <c r="AW775">
        <v>2.6023529411764712</v>
      </c>
      <c r="AX775">
        <v>5.9643402149912346</v>
      </c>
      <c r="AY775" s="75"/>
      <c r="AZ775" s="75"/>
      <c r="BA775" s="75"/>
      <c r="BB775">
        <v>4.1707773848571807E-2</v>
      </c>
      <c r="BF775">
        <v>8.3415547697143627E-2</v>
      </c>
      <c r="BG775">
        <v>4.1707773848571807E-2</v>
      </c>
      <c r="BH775">
        <v>0</v>
      </c>
      <c r="BI775" s="79" t="s">
        <v>1264</v>
      </c>
      <c r="BJ775" s="79">
        <v>1273</v>
      </c>
      <c r="BK775" s="79">
        <v>10</v>
      </c>
      <c r="BM775" s="79" t="s">
        <v>464</v>
      </c>
      <c r="BN775" s="79" t="s">
        <v>464</v>
      </c>
      <c r="BO775" s="79">
        <v>0</v>
      </c>
      <c r="BP775" s="79">
        <v>7.1</v>
      </c>
      <c r="BQ775" s="79">
        <v>0.5</v>
      </c>
      <c r="BR775" s="79">
        <v>0</v>
      </c>
      <c r="BS775" s="95" t="s">
        <v>464</v>
      </c>
      <c r="BT775" s="95" t="s">
        <v>464</v>
      </c>
      <c r="BU775" s="95" t="s">
        <v>1266</v>
      </c>
      <c r="BV775" s="95">
        <v>125</v>
      </c>
      <c r="BW775" s="95">
        <v>220</v>
      </c>
      <c r="BX775" s="95" t="s">
        <v>1287</v>
      </c>
      <c r="BY775" s="95">
        <f t="shared" si="211"/>
        <v>288</v>
      </c>
      <c r="BZ775" s="81">
        <v>243.99999999999997</v>
      </c>
      <c r="CA775">
        <f t="shared" si="198"/>
        <v>5.4971682252932021</v>
      </c>
    </row>
    <row r="776" spans="1:80" x14ac:dyDescent="0.3">
      <c r="A776" s="2" t="s">
        <v>953</v>
      </c>
      <c r="B776" s="17" t="s">
        <v>955</v>
      </c>
      <c r="C776" s="13"/>
      <c r="D776" s="2">
        <v>3.58</v>
      </c>
      <c r="E776" s="98" t="s">
        <v>354</v>
      </c>
      <c r="F776" s="9">
        <v>-1</v>
      </c>
      <c r="G776">
        <v>-1</v>
      </c>
      <c r="I776" s="2">
        <v>1</v>
      </c>
      <c r="J776" s="25">
        <v>0</v>
      </c>
      <c r="K776">
        <v>0</v>
      </c>
      <c r="L776">
        <v>0</v>
      </c>
      <c r="M776" s="2">
        <v>3.82</v>
      </c>
      <c r="N776" s="2">
        <v>3.82</v>
      </c>
      <c r="O776" s="2">
        <v>14.9</v>
      </c>
      <c r="P776" s="2" t="s">
        <v>439</v>
      </c>
      <c r="Q776" s="2"/>
      <c r="R776" s="25">
        <v>0</v>
      </c>
      <c r="S776" s="25"/>
      <c r="T776" s="25"/>
      <c r="U776">
        <v>0</v>
      </c>
      <c r="X776">
        <v>0</v>
      </c>
      <c r="AA776" s="2"/>
      <c r="AB776">
        <v>20</v>
      </c>
      <c r="AC776" s="55">
        <f t="shared" si="188"/>
        <v>217.42676</v>
      </c>
      <c r="AD776" s="57">
        <v>0</v>
      </c>
      <c r="AE776" s="55">
        <v>0</v>
      </c>
      <c r="AF776" s="55">
        <v>0</v>
      </c>
      <c r="AG776" s="52">
        <f t="shared" si="195"/>
        <v>9.1984997614829006E-2</v>
      </c>
      <c r="AH776" s="51"/>
      <c r="AI776" s="52"/>
      <c r="AJ776" s="52"/>
      <c r="AK776" s="28">
        <v>1.882352941176471</v>
      </c>
      <c r="AL776" s="28">
        <v>2.3529411764705879</v>
      </c>
      <c r="AM776" s="28">
        <v>0.47058823529411759</v>
      </c>
      <c r="AN776" s="28">
        <v>0</v>
      </c>
      <c r="AO776" s="28">
        <v>0.4</v>
      </c>
      <c r="AP776" s="28">
        <v>0.5</v>
      </c>
      <c r="AQ776" s="28">
        <v>9.9999999999999992E-2</v>
      </c>
      <c r="AR776" s="28">
        <v>0</v>
      </c>
      <c r="AS776" s="25">
        <v>0.82</v>
      </c>
      <c r="AT776" s="25">
        <v>3.44</v>
      </c>
      <c r="AU776" s="25">
        <v>2.62</v>
      </c>
      <c r="AV776" s="25">
        <v>2.6429411764705879</v>
      </c>
      <c r="AW776">
        <v>2.6429411764705879</v>
      </c>
      <c r="AX776">
        <v>6.1068400427809717</v>
      </c>
      <c r="AY776" s="75"/>
      <c r="AZ776" s="75"/>
      <c r="BA776" s="75"/>
      <c r="BB776">
        <v>4.5992498807414503E-2</v>
      </c>
      <c r="BF776">
        <v>9.1984997614829006E-2</v>
      </c>
      <c r="BG776">
        <v>4.5992498807414503E-2</v>
      </c>
      <c r="BH776">
        <v>0</v>
      </c>
      <c r="BI776" s="79" t="s">
        <v>1264</v>
      </c>
      <c r="BJ776" s="79">
        <v>1273</v>
      </c>
      <c r="BK776" s="79">
        <v>10</v>
      </c>
      <c r="BM776" s="79" t="s">
        <v>464</v>
      </c>
      <c r="BN776" s="79" t="s">
        <v>464</v>
      </c>
      <c r="BO776" s="79">
        <v>0</v>
      </c>
      <c r="BP776" s="79">
        <v>7.8</v>
      </c>
      <c r="BQ776" s="79">
        <v>0.5</v>
      </c>
      <c r="BR776" s="79">
        <v>0</v>
      </c>
      <c r="BS776" s="95" t="s">
        <v>464</v>
      </c>
      <c r="BT776" s="95" t="s">
        <v>464</v>
      </c>
      <c r="BU776" s="95" t="s">
        <v>1266</v>
      </c>
      <c r="BV776" s="95">
        <v>125</v>
      </c>
      <c r="BW776" s="95">
        <v>220</v>
      </c>
      <c r="BX776" s="95" t="s">
        <v>1287</v>
      </c>
      <c r="BY776" s="95">
        <f t="shared" si="211"/>
        <v>288</v>
      </c>
      <c r="BZ776" s="81">
        <v>47.999999999999993</v>
      </c>
      <c r="CA776">
        <f t="shared" si="198"/>
        <v>3.8712010109078907</v>
      </c>
    </row>
    <row r="777" spans="1:80" x14ac:dyDescent="0.3">
      <c r="A777" s="2" t="s">
        <v>353</v>
      </c>
      <c r="B777" s="13" t="s">
        <v>834</v>
      </c>
      <c r="C777" s="13"/>
      <c r="D777" s="2">
        <v>3.55</v>
      </c>
      <c r="E777" s="98" t="s">
        <v>354</v>
      </c>
      <c r="F777" s="9">
        <v>-1</v>
      </c>
      <c r="G777">
        <v>-1</v>
      </c>
      <c r="I777" s="2">
        <v>2</v>
      </c>
      <c r="J777" s="25">
        <v>0</v>
      </c>
      <c r="K777">
        <v>0</v>
      </c>
      <c r="L777">
        <v>0</v>
      </c>
      <c r="M777" s="2">
        <v>3.8050000000000002</v>
      </c>
      <c r="N777" s="2">
        <v>3.8050000000000002</v>
      </c>
      <c r="O777" s="2">
        <v>27.44</v>
      </c>
      <c r="P777" s="2" t="s">
        <v>1131</v>
      </c>
      <c r="Q777" s="2"/>
      <c r="R777" s="25">
        <v>0</v>
      </c>
      <c r="S777" s="25"/>
      <c r="T777" s="25"/>
      <c r="U777">
        <v>0</v>
      </c>
      <c r="X777">
        <v>0</v>
      </c>
      <c r="AA777" s="2"/>
      <c r="AB777">
        <v>20</v>
      </c>
      <c r="AC777" s="55">
        <f t="shared" si="188"/>
        <v>397.27700600000003</v>
      </c>
      <c r="AD777" s="57">
        <v>0</v>
      </c>
      <c r="AE777" s="55">
        <v>0</v>
      </c>
      <c r="AF777" s="55">
        <v>0</v>
      </c>
      <c r="AG777" s="52">
        <f t="shared" si="195"/>
        <v>0.10068541444857747</v>
      </c>
      <c r="AH777" s="51"/>
      <c r="AI777" s="52"/>
      <c r="AJ777" s="52"/>
      <c r="AK777" s="28">
        <v>1.882352941176471</v>
      </c>
      <c r="AL777" s="28">
        <v>2.3529411764705879</v>
      </c>
      <c r="AM777" s="28">
        <v>0.47058823529411759</v>
      </c>
      <c r="AN777" s="28">
        <v>0</v>
      </c>
      <c r="AO777" s="28">
        <v>0.4</v>
      </c>
      <c r="AP777" s="28">
        <v>0.5</v>
      </c>
      <c r="AQ777" s="28">
        <v>9.9999999999999992E-2</v>
      </c>
      <c r="AR777" s="28">
        <v>0</v>
      </c>
      <c r="AS777" s="25">
        <v>1.1000000000000001</v>
      </c>
      <c r="AT777" s="25">
        <v>3.44</v>
      </c>
      <c r="AU777" s="25">
        <v>2.34</v>
      </c>
      <c r="AV777" s="25">
        <v>2.6835294117647059</v>
      </c>
      <c r="AW777">
        <v>2.6835294117647059</v>
      </c>
      <c r="AX777">
        <v>6.2493398705707062</v>
      </c>
      <c r="AY777" s="75"/>
      <c r="AZ777" s="75"/>
      <c r="BA777" s="75"/>
      <c r="BB777">
        <v>5.0342707224288727E-2</v>
      </c>
      <c r="BF777">
        <v>0.1006854144485775</v>
      </c>
      <c r="BG777">
        <v>5.0342707224288727E-2</v>
      </c>
      <c r="BH777">
        <v>0</v>
      </c>
      <c r="BI777" s="79" t="s">
        <v>1264</v>
      </c>
      <c r="BJ777" s="79">
        <v>1273</v>
      </c>
      <c r="BK777" s="79">
        <v>10</v>
      </c>
      <c r="BM777" s="79" t="s">
        <v>464</v>
      </c>
      <c r="BN777" s="79" t="s">
        <v>464</v>
      </c>
      <c r="BO777" s="79">
        <v>0</v>
      </c>
      <c r="BP777" s="79">
        <v>8.1</v>
      </c>
      <c r="BQ777" s="79">
        <v>0.5</v>
      </c>
      <c r="BR777" s="79">
        <v>0</v>
      </c>
      <c r="BS777" s="95" t="s">
        <v>464</v>
      </c>
      <c r="BT777" s="95" t="s">
        <v>464</v>
      </c>
      <c r="BU777" s="95" t="s">
        <v>1266</v>
      </c>
      <c r="BV777" s="95">
        <v>125</v>
      </c>
      <c r="BW777" s="95">
        <v>220</v>
      </c>
      <c r="BX777" s="95" t="s">
        <v>1287</v>
      </c>
      <c r="BY777" s="95">
        <f t="shared" si="211"/>
        <v>288</v>
      </c>
      <c r="BZ777" s="81">
        <v>16</v>
      </c>
      <c r="CA777">
        <f t="shared" si="198"/>
        <v>2.7725887222397811</v>
      </c>
    </row>
    <row r="778" spans="1:80" x14ac:dyDescent="0.3">
      <c r="A778" s="2" t="s">
        <v>8</v>
      </c>
      <c r="B778" s="13"/>
      <c r="C778" s="13"/>
      <c r="D778" s="2"/>
      <c r="E778" s="98" t="s">
        <v>354</v>
      </c>
      <c r="F778" s="9" t="s">
        <v>530</v>
      </c>
      <c r="G778" t="s">
        <v>612</v>
      </c>
      <c r="I778" s="2"/>
      <c r="J778" s="25"/>
      <c r="M778" s="2"/>
      <c r="N778" s="2"/>
      <c r="O778" s="2"/>
      <c r="P778" s="2"/>
      <c r="Q778" s="2"/>
      <c r="R778" s="25"/>
      <c r="S778" s="25"/>
      <c r="T778" s="25"/>
      <c r="AA778" s="2"/>
      <c r="AC778" s="55"/>
      <c r="AD778" s="57"/>
      <c r="AE778" s="55"/>
      <c r="AF778" s="55"/>
      <c r="AG778" s="52"/>
      <c r="AH778" s="51"/>
      <c r="AI778" s="52"/>
      <c r="AJ778" s="52"/>
      <c r="AK778" s="28"/>
      <c r="AL778" s="28"/>
      <c r="AM778" s="28"/>
      <c r="AN778" s="28"/>
      <c r="AO778" s="28"/>
      <c r="AP778" s="28"/>
      <c r="AQ778" s="28"/>
      <c r="AR778" s="28"/>
      <c r="AS778" s="25"/>
      <c r="AT778" s="25"/>
      <c r="AU778" s="25"/>
      <c r="AV778" s="25"/>
      <c r="AY778" s="75"/>
      <c r="AZ778" s="75"/>
      <c r="BA778" s="75"/>
      <c r="BI778" s="79" t="s">
        <v>1461</v>
      </c>
      <c r="BM778" s="79" t="s">
        <v>464</v>
      </c>
      <c r="BN778" s="79" t="s">
        <v>464</v>
      </c>
      <c r="BO778" s="79">
        <v>0</v>
      </c>
      <c r="BP778" s="79">
        <v>49</v>
      </c>
      <c r="BQ778" s="79">
        <v>0.5</v>
      </c>
      <c r="BR778" s="79">
        <v>0</v>
      </c>
      <c r="BS778" s="95" t="s">
        <v>464</v>
      </c>
      <c r="BT778" s="95" t="s">
        <v>464</v>
      </c>
      <c r="BU778" s="95" t="s">
        <v>1266</v>
      </c>
      <c r="BV778" s="95">
        <v>125</v>
      </c>
      <c r="BW778" s="95">
        <v>220</v>
      </c>
      <c r="BX778" s="95" t="s">
        <v>1287</v>
      </c>
      <c r="BY778" s="95">
        <f t="shared" si="211"/>
        <v>288</v>
      </c>
      <c r="BZ778" s="81">
        <v>32</v>
      </c>
      <c r="CA778">
        <f t="shared" si="198"/>
        <v>3.4657359027997265</v>
      </c>
    </row>
    <row r="779" spans="1:80" x14ac:dyDescent="0.3">
      <c r="A779" s="2" t="s">
        <v>142</v>
      </c>
      <c r="B779" s="34" t="s">
        <v>766</v>
      </c>
      <c r="C779" s="34"/>
      <c r="D779" s="2">
        <v>4.3600000000000003</v>
      </c>
      <c r="E779" s="96" t="s">
        <v>357</v>
      </c>
      <c r="F779" s="35">
        <v>-1</v>
      </c>
      <c r="G779" s="2">
        <v>-1</v>
      </c>
      <c r="H779" s="2" t="s">
        <v>1164</v>
      </c>
      <c r="I779" s="2">
        <v>1</v>
      </c>
      <c r="J779" s="29">
        <v>0</v>
      </c>
      <c r="K779">
        <v>0</v>
      </c>
      <c r="L779">
        <v>1</v>
      </c>
      <c r="M779" s="2">
        <v>3.89</v>
      </c>
      <c r="N779" s="2">
        <v>3.89</v>
      </c>
      <c r="O779" s="2">
        <v>10.48</v>
      </c>
      <c r="P779" s="2" t="s">
        <v>440</v>
      </c>
      <c r="Q779" s="2"/>
      <c r="R779" s="29">
        <v>0</v>
      </c>
      <c r="S779" s="2"/>
      <c r="T779" s="2"/>
      <c r="U779">
        <v>0</v>
      </c>
      <c r="X779">
        <v>3.88</v>
      </c>
      <c r="Y779">
        <v>3.88</v>
      </c>
      <c r="Z779">
        <v>10.66</v>
      </c>
      <c r="AA779" s="2"/>
      <c r="AB779" s="2">
        <v>14</v>
      </c>
      <c r="AC779" s="55">
        <f t="shared" si="188"/>
        <v>158.58440800000002</v>
      </c>
      <c r="AD779" s="57">
        <v>0</v>
      </c>
      <c r="AE779" s="55">
        <v>0</v>
      </c>
      <c r="AF779" s="55">
        <v>160.479904</v>
      </c>
      <c r="AG779" s="52">
        <f t="shared" si="195"/>
        <v>8.8281062284509063E-2</v>
      </c>
      <c r="AH779" s="52"/>
      <c r="AI779" s="52"/>
      <c r="AJ779" s="67">
        <f t="shared" ref="AJ779:AJ784" si="218">L779*AB779/AF779</f>
        <v>8.7238337331009372E-2</v>
      </c>
      <c r="AK779" s="2">
        <v>1.9090909090909089</v>
      </c>
      <c r="AL779" s="2">
        <v>2.545454545454545</v>
      </c>
      <c r="AM779" s="2">
        <v>0.54545454545454541</v>
      </c>
      <c r="AN779" s="2">
        <v>2.9090909090909092</v>
      </c>
      <c r="AO779" s="2">
        <v>0.2413793103448276</v>
      </c>
      <c r="AP779" s="2">
        <v>0.32183908045977011</v>
      </c>
      <c r="AQ779" s="2">
        <v>6.8965517241379309E-2</v>
      </c>
      <c r="AR779" s="2">
        <v>0.36781609195402298</v>
      </c>
      <c r="AS779" s="29">
        <v>1.1399999999999999</v>
      </c>
      <c r="AT779" s="29">
        <v>3.44</v>
      </c>
      <c r="AU779" s="29">
        <v>2.2999999999999998</v>
      </c>
      <c r="AV779" s="29">
        <v>2.7654545454545452</v>
      </c>
      <c r="AW779" s="2">
        <v>2.7654545454545461</v>
      </c>
      <c r="AX779" s="2">
        <v>6.4215922727137267</v>
      </c>
      <c r="AY779" s="75"/>
      <c r="AZ779" s="75"/>
      <c r="BA779" s="75">
        <v>0</v>
      </c>
      <c r="BB779">
        <v>4.4140531142254531E-2</v>
      </c>
      <c r="BE779">
        <v>4.3619168665504693E-2</v>
      </c>
      <c r="BF779">
        <v>8.7759699807759217E-2</v>
      </c>
      <c r="BG779">
        <v>4.3879849903879609E-2</v>
      </c>
      <c r="BH779">
        <v>0</v>
      </c>
      <c r="BI779" s="79" t="s">
        <v>1264</v>
      </c>
      <c r="BJ779" s="79">
        <v>1373</v>
      </c>
      <c r="BK779" s="79">
        <v>10</v>
      </c>
      <c r="BP779" s="79">
        <v>3.9</v>
      </c>
      <c r="BQ779" s="79">
        <v>0.5</v>
      </c>
      <c r="BR779" s="79">
        <v>0.1</v>
      </c>
      <c r="BS779" s="95" t="s">
        <v>464</v>
      </c>
      <c r="BT779" s="95" t="s">
        <v>464</v>
      </c>
      <c r="BU779" s="95" t="s">
        <v>1266</v>
      </c>
      <c r="BV779" s="95">
        <v>125</v>
      </c>
      <c r="BW779" s="95">
        <v>220</v>
      </c>
      <c r="BX779" s="95" t="s">
        <v>1287</v>
      </c>
      <c r="BY779" s="95">
        <f t="shared" si="211"/>
        <v>288</v>
      </c>
      <c r="BZ779" s="81">
        <v>1800</v>
      </c>
      <c r="CA779">
        <f t="shared" si="198"/>
        <v>7.4955419438842563</v>
      </c>
      <c r="CB779" s="2"/>
    </row>
    <row r="780" spans="1:80" x14ac:dyDescent="0.3">
      <c r="A780" s="2" t="s">
        <v>355</v>
      </c>
      <c r="B780" s="13" t="s">
        <v>835</v>
      </c>
      <c r="C780" s="13"/>
      <c r="D780" s="2">
        <v>4.49</v>
      </c>
      <c r="E780" s="96" t="s">
        <v>357</v>
      </c>
      <c r="F780" s="9">
        <v>-1</v>
      </c>
      <c r="G780">
        <v>-1</v>
      </c>
      <c r="H780" t="s">
        <v>1180</v>
      </c>
      <c r="I780" s="2"/>
      <c r="J780" s="25">
        <v>0</v>
      </c>
      <c r="K780">
        <v>0</v>
      </c>
      <c r="L780">
        <v>4</v>
      </c>
      <c r="M780" s="2">
        <v>-1</v>
      </c>
      <c r="N780" s="2"/>
      <c r="O780" s="2"/>
      <c r="P780" s="2"/>
      <c r="Q780" s="2"/>
      <c r="R780" s="25">
        <v>0</v>
      </c>
      <c r="U780">
        <v>0</v>
      </c>
      <c r="X780">
        <v>5.4092000000000002</v>
      </c>
      <c r="Y780">
        <v>20.501100000000001</v>
      </c>
      <c r="Z780">
        <v>5.4427000000000003</v>
      </c>
      <c r="AA780" s="2"/>
      <c r="AB780">
        <v>14</v>
      </c>
      <c r="AC780" s="55">
        <f t="shared" si="188"/>
        <v>0</v>
      </c>
      <c r="AD780" s="57">
        <v>0</v>
      </c>
      <c r="AE780" s="55">
        <v>0</v>
      </c>
      <c r="AF780" s="55">
        <v>603.57000000000005</v>
      </c>
      <c r="AG780" s="52"/>
      <c r="AH780" s="52"/>
      <c r="AI780" s="52"/>
      <c r="AJ780" s="67">
        <f t="shared" si="218"/>
        <v>9.2781284689431212E-2</v>
      </c>
      <c r="AK780" s="28">
        <v>1.9090909090909089</v>
      </c>
      <c r="AL780" s="28">
        <v>2.545454545454545</v>
      </c>
      <c r="AM780" s="28">
        <v>0.54545454545454541</v>
      </c>
      <c r="AN780" s="28">
        <v>2.9090909090909092</v>
      </c>
      <c r="AO780" s="28">
        <v>0.2413793103448276</v>
      </c>
      <c r="AP780" s="28">
        <v>0.32183908045977011</v>
      </c>
      <c r="AQ780" s="28">
        <v>6.8965517241379309E-2</v>
      </c>
      <c r="AR780" s="28">
        <v>0.36781609195402298</v>
      </c>
      <c r="AS780" s="25">
        <v>0.98</v>
      </c>
      <c r="AT780" s="25">
        <v>3.44</v>
      </c>
      <c r="AU780" s="25">
        <v>2.46</v>
      </c>
      <c r="AV780" s="25">
        <v>2.6545454545454539</v>
      </c>
      <c r="AW780">
        <v>2.6545454545454539</v>
      </c>
      <c r="AX780">
        <v>6.0423528007272722</v>
      </c>
      <c r="AY780" s="75"/>
      <c r="AZ780" s="75"/>
      <c r="BA780" s="75">
        <v>0.47461723217425672</v>
      </c>
      <c r="BE780">
        <v>4.6390642344715613E-2</v>
      </c>
      <c r="BF780">
        <v>9.2781284689431212E-2</v>
      </c>
      <c r="BG780">
        <v>4.6390642344715613E-2</v>
      </c>
      <c r="BH780">
        <v>0.47461723217425672</v>
      </c>
      <c r="BI780" s="79" t="s">
        <v>1264</v>
      </c>
      <c r="BJ780" s="79">
        <v>1373</v>
      </c>
      <c r="BK780" s="79">
        <v>10</v>
      </c>
      <c r="BP780" s="79">
        <v>4.3</v>
      </c>
      <c r="BQ780" s="79">
        <v>0.5</v>
      </c>
      <c r="BR780" s="79">
        <v>0.1</v>
      </c>
      <c r="BS780" s="95" t="s">
        <v>464</v>
      </c>
      <c r="BT780" s="95" t="s">
        <v>464</v>
      </c>
      <c r="BU780" s="95" t="s">
        <v>1266</v>
      </c>
      <c r="BV780" s="95">
        <v>125</v>
      </c>
      <c r="BW780" s="95">
        <v>220</v>
      </c>
      <c r="BX780" s="95" t="s">
        <v>1287</v>
      </c>
      <c r="BY780" s="95">
        <f t="shared" si="211"/>
        <v>288</v>
      </c>
      <c r="BZ780" s="81">
        <v>240</v>
      </c>
      <c r="CA780">
        <f t="shared" si="198"/>
        <v>5.4806389233419912</v>
      </c>
      <c r="CB780" s="2"/>
    </row>
    <row r="781" spans="1:80" x14ac:dyDescent="0.3">
      <c r="A781" s="2" t="s">
        <v>143</v>
      </c>
      <c r="B781" s="13" t="s">
        <v>767</v>
      </c>
      <c r="C781" s="13"/>
      <c r="D781" s="2">
        <v>4.38</v>
      </c>
      <c r="E781" s="96" t="s">
        <v>357</v>
      </c>
      <c r="F781" s="9">
        <v>-1</v>
      </c>
      <c r="G781">
        <v>-1</v>
      </c>
      <c r="H781" t="s">
        <v>1181</v>
      </c>
      <c r="I781" s="2"/>
      <c r="J781" s="25">
        <v>0</v>
      </c>
      <c r="K781">
        <v>0</v>
      </c>
      <c r="L781">
        <v>4</v>
      </c>
      <c r="M781" s="2">
        <v>-1</v>
      </c>
      <c r="N781" s="2"/>
      <c r="O781" s="2">
        <v>21.024000000000001</v>
      </c>
      <c r="P781" s="2"/>
      <c r="Q781" s="2"/>
      <c r="R781" s="25">
        <v>0</v>
      </c>
      <c r="U781">
        <v>0</v>
      </c>
      <c r="X781">
        <v>5.4686000000000003</v>
      </c>
      <c r="Y781">
        <v>5.4686000000000003</v>
      </c>
      <c r="Z781">
        <v>21.134499999999999</v>
      </c>
      <c r="AA781" s="2"/>
      <c r="AB781">
        <v>14</v>
      </c>
      <c r="AC781" s="55">
        <f t="shared" si="188"/>
        <v>0</v>
      </c>
      <c r="AD781" s="57">
        <v>0</v>
      </c>
      <c r="AE781" s="55">
        <v>0</v>
      </c>
      <c r="AF781" s="55">
        <v>632</v>
      </c>
      <c r="AG781" s="52"/>
      <c r="AH781" s="52"/>
      <c r="AI781" s="52"/>
      <c r="AJ781" s="67">
        <f t="shared" si="218"/>
        <v>8.8607594936708861E-2</v>
      </c>
      <c r="AK781" s="28">
        <v>1.9090909090909089</v>
      </c>
      <c r="AL781" s="28">
        <v>2.545454545454545</v>
      </c>
      <c r="AM781" s="28">
        <v>0.54545454545454541</v>
      </c>
      <c r="AN781" s="28">
        <v>2.9090909090909092</v>
      </c>
      <c r="AO781" s="28">
        <v>0.2413793103448276</v>
      </c>
      <c r="AP781" s="28">
        <v>0.32183908045977011</v>
      </c>
      <c r="AQ781" s="28">
        <v>6.8965517241379309E-2</v>
      </c>
      <c r="AR781" s="28">
        <v>0.36781609195402298</v>
      </c>
      <c r="AS781" s="25">
        <v>0.93</v>
      </c>
      <c r="AT781" s="25">
        <v>3.44</v>
      </c>
      <c r="AU781" s="25">
        <v>2.5099999999999998</v>
      </c>
      <c r="AV781" s="25">
        <v>2.65</v>
      </c>
      <c r="AW781">
        <v>2.649999999999999</v>
      </c>
      <c r="AX781">
        <v>6.0276818459090906</v>
      </c>
      <c r="AY781" s="75"/>
      <c r="AZ781" s="75"/>
      <c r="BA781" s="75">
        <v>0.47528867242311779</v>
      </c>
      <c r="BE781">
        <v>4.4303797468354431E-2</v>
      </c>
      <c r="BF781">
        <v>8.8607594936708861E-2</v>
      </c>
      <c r="BG781">
        <v>4.4303797468354431E-2</v>
      </c>
      <c r="BH781">
        <v>0.47528867242311779</v>
      </c>
      <c r="BI781" s="79" t="s">
        <v>1264</v>
      </c>
      <c r="BJ781" s="79">
        <v>1373</v>
      </c>
      <c r="BK781" s="79">
        <v>10</v>
      </c>
      <c r="BP781" s="79">
        <v>5</v>
      </c>
      <c r="BQ781" s="79">
        <v>0.5</v>
      </c>
      <c r="BR781" s="79">
        <v>0.1</v>
      </c>
      <c r="BS781" s="95" t="s">
        <v>464</v>
      </c>
      <c r="BT781" s="95" t="s">
        <v>464</v>
      </c>
      <c r="BU781" s="95" t="s">
        <v>1266</v>
      </c>
      <c r="BV781" s="95">
        <v>125</v>
      </c>
      <c r="BW781" s="95">
        <v>220</v>
      </c>
      <c r="BX781" s="95" t="s">
        <v>1287</v>
      </c>
      <c r="BY781" s="95">
        <f t="shared" si="211"/>
        <v>288</v>
      </c>
      <c r="BZ781" s="81">
        <v>4160</v>
      </c>
      <c r="CA781">
        <f t="shared" si="198"/>
        <v>8.3332703532553083</v>
      </c>
      <c r="CB781" s="2"/>
    </row>
    <row r="782" spans="1:80" x14ac:dyDescent="0.3">
      <c r="A782" s="2" t="s">
        <v>356</v>
      </c>
      <c r="B782" s="13" t="s">
        <v>836</v>
      </c>
      <c r="C782" s="13"/>
      <c r="D782" s="2">
        <v>4.38</v>
      </c>
      <c r="E782" s="96" t="s">
        <v>357</v>
      </c>
      <c r="F782" s="9">
        <v>-1</v>
      </c>
      <c r="G782">
        <v>-1</v>
      </c>
      <c r="H782" t="s">
        <v>1182</v>
      </c>
      <c r="I782" s="2"/>
      <c r="J782" s="25">
        <v>0</v>
      </c>
      <c r="K782">
        <v>0</v>
      </c>
      <c r="L782">
        <v>4</v>
      </c>
      <c r="M782" s="2">
        <v>-1</v>
      </c>
      <c r="N782" s="2"/>
      <c r="O782" s="2"/>
      <c r="P782" s="2"/>
      <c r="Q782" s="2"/>
      <c r="R782" s="25">
        <v>0</v>
      </c>
      <c r="U782">
        <v>0</v>
      </c>
      <c r="X782">
        <v>7.7018000000000004</v>
      </c>
      <c r="Y782">
        <v>21.768799999999999</v>
      </c>
      <c r="Z782">
        <v>3.8613</v>
      </c>
      <c r="AA782" s="2"/>
      <c r="AB782">
        <v>14</v>
      </c>
      <c r="AC782" s="55">
        <f t="shared" si="188"/>
        <v>0</v>
      </c>
      <c r="AD782" s="57">
        <v>0</v>
      </c>
      <c r="AE782" s="55">
        <v>0</v>
      </c>
      <c r="AF782" s="55">
        <v>647.38</v>
      </c>
      <c r="AG782" s="52"/>
      <c r="AH782" s="52"/>
      <c r="AI782" s="52"/>
      <c r="AJ782" s="67">
        <f t="shared" si="218"/>
        <v>8.6502517841144308E-2</v>
      </c>
      <c r="AK782" s="28">
        <v>1.9090909090909089</v>
      </c>
      <c r="AL782" s="28">
        <v>2.545454545454545</v>
      </c>
      <c r="AM782" s="28">
        <v>0.54545454545454541</v>
      </c>
      <c r="AN782" s="28">
        <v>2.9090909090909092</v>
      </c>
      <c r="AO782" s="28">
        <v>0.2413793103448276</v>
      </c>
      <c r="AP782" s="28">
        <v>0.32183908045977011</v>
      </c>
      <c r="AQ782" s="28">
        <v>6.8965517241379309E-2</v>
      </c>
      <c r="AR782" s="28">
        <v>0.36781609195402298</v>
      </c>
      <c r="AS782" s="25">
        <v>0.82</v>
      </c>
      <c r="AT782" s="25">
        <v>3.44</v>
      </c>
      <c r="AU782" s="25">
        <v>2.62</v>
      </c>
      <c r="AV782" s="25">
        <v>2.64</v>
      </c>
      <c r="AW782">
        <v>2.64</v>
      </c>
      <c r="AX782">
        <v>5.9892781936363626</v>
      </c>
      <c r="AY782" s="75"/>
      <c r="AZ782" s="75"/>
      <c r="BA782" s="75">
        <v>0.51451751424865833</v>
      </c>
      <c r="BE782">
        <v>4.3251258920572147E-2</v>
      </c>
      <c r="BF782">
        <v>8.6502517841144308E-2</v>
      </c>
      <c r="BG782">
        <v>4.3251258920572147E-2</v>
      </c>
      <c r="BH782">
        <v>0.51451751424865833</v>
      </c>
      <c r="BI782" s="79" t="s">
        <v>1264</v>
      </c>
      <c r="BJ782" s="79">
        <v>1373</v>
      </c>
      <c r="BK782" s="79">
        <v>10</v>
      </c>
      <c r="BP782" s="79">
        <v>1.2</v>
      </c>
      <c r="BQ782" s="79">
        <v>0.5</v>
      </c>
      <c r="BR782" s="79">
        <v>0.1</v>
      </c>
      <c r="BS782" s="95" t="s">
        <v>464</v>
      </c>
      <c r="BT782" s="95" t="s">
        <v>464</v>
      </c>
      <c r="BU782" s="95" t="s">
        <v>1266</v>
      </c>
      <c r="BV782" s="95">
        <v>125</v>
      </c>
      <c r="BW782" s="95">
        <v>220</v>
      </c>
      <c r="BX782" s="95" t="s">
        <v>1287</v>
      </c>
      <c r="BY782" s="95">
        <f t="shared" si="211"/>
        <v>288</v>
      </c>
      <c r="BZ782" s="81">
        <v>1680</v>
      </c>
      <c r="CA782">
        <f t="shared" si="198"/>
        <v>7.4265490723973047</v>
      </c>
      <c r="CB782" s="2"/>
    </row>
    <row r="783" spans="1:80" x14ac:dyDescent="0.3">
      <c r="A783" s="2" t="s">
        <v>12</v>
      </c>
      <c r="B783" s="13" t="s">
        <v>697</v>
      </c>
      <c r="C783" s="13"/>
      <c r="D783" s="2">
        <v>4.54</v>
      </c>
      <c r="E783" s="96" t="s">
        <v>357</v>
      </c>
      <c r="F783" s="9">
        <v>-1</v>
      </c>
      <c r="G783">
        <v>-1</v>
      </c>
      <c r="H783" t="s">
        <v>1145</v>
      </c>
      <c r="I783" s="2"/>
      <c r="J783" s="25">
        <v>0</v>
      </c>
      <c r="K783">
        <v>0</v>
      </c>
      <c r="L783">
        <v>1</v>
      </c>
      <c r="M783" s="2">
        <v>-1</v>
      </c>
      <c r="N783" s="2"/>
      <c r="O783" s="2"/>
      <c r="P783" s="2"/>
      <c r="Q783" s="2"/>
      <c r="R783" s="25">
        <v>0</v>
      </c>
      <c r="U783">
        <v>0</v>
      </c>
      <c r="X783">
        <v>3.8445</v>
      </c>
      <c r="Y783">
        <v>3.8445</v>
      </c>
      <c r="Z783">
        <v>11.03</v>
      </c>
      <c r="AA783" s="2"/>
      <c r="AB783">
        <v>14</v>
      </c>
      <c r="AC783" s="55">
        <f t="shared" si="188"/>
        <v>0</v>
      </c>
      <c r="AD783" s="57">
        <v>0</v>
      </c>
      <c r="AE783" s="55">
        <v>0</v>
      </c>
      <c r="AF783" s="55">
        <v>163.0253881575</v>
      </c>
      <c r="AG783" s="52"/>
      <c r="AH783" s="52"/>
      <c r="AI783" s="52"/>
      <c r="AJ783" s="67">
        <f t="shared" si="218"/>
        <v>8.5876194856683907E-2</v>
      </c>
      <c r="AK783" s="28">
        <v>1.9090909090909089</v>
      </c>
      <c r="AL783" s="28">
        <v>2.545454545454545</v>
      </c>
      <c r="AM783" s="28">
        <v>0.54545454545454541</v>
      </c>
      <c r="AN783" s="28">
        <v>2.9090909090909092</v>
      </c>
      <c r="AO783" s="28">
        <v>0.2413793103448276</v>
      </c>
      <c r="AP783" s="28">
        <v>0.32183908045977011</v>
      </c>
      <c r="AQ783" s="28">
        <v>6.8965517241379309E-2</v>
      </c>
      <c r="AR783" s="28">
        <v>0.36781609195402298</v>
      </c>
      <c r="AS783" s="25">
        <v>0.82</v>
      </c>
      <c r="AT783" s="25">
        <v>3.44</v>
      </c>
      <c r="AU783" s="25">
        <v>2.62</v>
      </c>
      <c r="AV783" s="25">
        <v>2.64</v>
      </c>
      <c r="AW783">
        <v>2.64</v>
      </c>
      <c r="AX783">
        <v>5.9811382595454541</v>
      </c>
      <c r="AY783" s="75"/>
      <c r="AZ783" s="75"/>
      <c r="BA783" s="75">
        <v>0.53809297903977493</v>
      </c>
      <c r="BE783">
        <v>4.2938097428341947E-2</v>
      </c>
      <c r="BF783">
        <v>8.5876194856683907E-2</v>
      </c>
      <c r="BG783">
        <v>4.2938097428341947E-2</v>
      </c>
      <c r="BH783">
        <v>0.53809297903977493</v>
      </c>
      <c r="BI783" s="79" t="s">
        <v>1264</v>
      </c>
      <c r="BJ783" s="79">
        <v>1373</v>
      </c>
      <c r="BK783" s="79">
        <v>10</v>
      </c>
      <c r="BP783" s="79">
        <v>0.8</v>
      </c>
      <c r="BQ783" s="79">
        <v>0.5</v>
      </c>
      <c r="BR783" s="79">
        <v>0.1</v>
      </c>
      <c r="BS783" s="95" t="s">
        <v>464</v>
      </c>
      <c r="BT783" s="95" t="s">
        <v>464</v>
      </c>
      <c r="BU783" s="95" t="s">
        <v>1266</v>
      </c>
      <c r="BV783" s="95">
        <v>125</v>
      </c>
      <c r="BW783" s="95">
        <v>220</v>
      </c>
      <c r="BX783" s="95" t="s">
        <v>1287</v>
      </c>
      <c r="BY783" s="95">
        <f t="shared" si="211"/>
        <v>288</v>
      </c>
      <c r="BZ783" s="81">
        <v>10520</v>
      </c>
      <c r="CA783">
        <f t="shared" si="198"/>
        <v>9.2610334862917014</v>
      </c>
      <c r="CB783" s="2"/>
    </row>
    <row r="784" spans="1:80" x14ac:dyDescent="0.3">
      <c r="A784" s="2" t="s">
        <v>144</v>
      </c>
      <c r="B784" s="13" t="s">
        <v>768</v>
      </c>
      <c r="C784" s="13"/>
      <c r="D784" s="2">
        <v>4.4000000000000004</v>
      </c>
      <c r="E784" s="96" t="s">
        <v>357</v>
      </c>
      <c r="F784" s="9">
        <v>-1</v>
      </c>
      <c r="G784">
        <v>-1</v>
      </c>
      <c r="H784" t="s">
        <v>1183</v>
      </c>
      <c r="I784" s="2"/>
      <c r="J784" s="25">
        <v>0</v>
      </c>
      <c r="K784">
        <v>0</v>
      </c>
      <c r="L784">
        <v>1</v>
      </c>
      <c r="M784" s="2">
        <v>-1</v>
      </c>
      <c r="N784" s="2"/>
      <c r="O784" s="2"/>
      <c r="P784" s="2"/>
      <c r="Q784" s="2"/>
      <c r="R784" s="25">
        <v>0</v>
      </c>
      <c r="U784">
        <v>0</v>
      </c>
      <c r="X784">
        <v>3.8898000000000001</v>
      </c>
      <c r="Y784">
        <v>3.8898000000000001</v>
      </c>
      <c r="Z784">
        <v>11.3665</v>
      </c>
      <c r="AA784" s="2"/>
      <c r="AB784">
        <v>14</v>
      </c>
      <c r="AC784" s="55">
        <f t="shared" si="188"/>
        <v>0</v>
      </c>
      <c r="AD784" s="57">
        <v>0</v>
      </c>
      <c r="AE784" s="55">
        <v>0</v>
      </c>
      <c r="AF784" s="55">
        <v>172</v>
      </c>
      <c r="AG784" s="52"/>
      <c r="AH784" s="52"/>
      <c r="AI784" s="52"/>
      <c r="AJ784" s="67">
        <f t="shared" si="218"/>
        <v>8.1395348837209308E-2</v>
      </c>
      <c r="AK784" s="28">
        <v>1.9090909090909089</v>
      </c>
      <c r="AL784" s="28">
        <v>2.545454545454545</v>
      </c>
      <c r="AM784" s="28">
        <v>0.54545454545454541</v>
      </c>
      <c r="AN784" s="28">
        <v>2.9090909090909092</v>
      </c>
      <c r="AO784" s="28">
        <v>0.2413793103448276</v>
      </c>
      <c r="AP784" s="28">
        <v>0.32183908045977011</v>
      </c>
      <c r="AQ784" s="28">
        <v>6.8965517241379309E-2</v>
      </c>
      <c r="AR784" s="28">
        <v>0.36781609195402298</v>
      </c>
      <c r="AS784" s="25">
        <v>0.79</v>
      </c>
      <c r="AT784" s="25">
        <v>3.44</v>
      </c>
      <c r="AU784" s="25">
        <v>2.65</v>
      </c>
      <c r="AV784" s="25">
        <v>2.6372727272727272</v>
      </c>
      <c r="AW784">
        <v>2.6372727272727272</v>
      </c>
      <c r="AX784">
        <v>5.967615153519545</v>
      </c>
      <c r="AY784" s="75"/>
      <c r="AZ784" s="75"/>
      <c r="BA784" s="75">
        <v>0.54308506712305693</v>
      </c>
      <c r="BE784">
        <v>4.0697674418604647E-2</v>
      </c>
      <c r="BF784">
        <v>8.1395348837209308E-2</v>
      </c>
      <c r="BG784">
        <v>4.0697674418604647E-2</v>
      </c>
      <c r="BH784">
        <v>0.54308506712305693</v>
      </c>
      <c r="BI784" s="79" t="s">
        <v>1264</v>
      </c>
      <c r="BJ784" s="79">
        <v>1373</v>
      </c>
      <c r="BK784" s="79">
        <v>10</v>
      </c>
      <c r="BP784" s="79">
        <v>2</v>
      </c>
      <c r="BQ784" s="79">
        <v>0.5</v>
      </c>
      <c r="BR784" s="79">
        <v>0.1</v>
      </c>
      <c r="BS784" s="95" t="s">
        <v>464</v>
      </c>
      <c r="BT784" s="95" t="s">
        <v>464</v>
      </c>
      <c r="BU784" s="95" t="s">
        <v>1266</v>
      </c>
      <c r="BV784" s="95">
        <v>125</v>
      </c>
      <c r="BW784" s="95">
        <v>220</v>
      </c>
      <c r="BX784" s="95" t="s">
        <v>1287</v>
      </c>
      <c r="BY784" s="95">
        <f t="shared" si="211"/>
        <v>288</v>
      </c>
      <c r="BZ784" s="81">
        <v>7320</v>
      </c>
      <c r="CA784">
        <f t="shared" si="198"/>
        <v>8.8983656069553572</v>
      </c>
      <c r="CB784" s="2"/>
    </row>
    <row r="785" spans="1:79" x14ac:dyDescent="0.3">
      <c r="A785" s="2" t="s">
        <v>63</v>
      </c>
      <c r="B785" s="13" t="s">
        <v>773</v>
      </c>
      <c r="C785" s="13"/>
      <c r="D785" s="2">
        <v>3.5</v>
      </c>
      <c r="E785" s="97" t="s">
        <v>361</v>
      </c>
      <c r="F785" s="9">
        <v>-1</v>
      </c>
      <c r="G785">
        <v>-1</v>
      </c>
      <c r="I785" s="2">
        <v>1</v>
      </c>
      <c r="J785" s="25">
        <v>0</v>
      </c>
      <c r="K785">
        <v>0</v>
      </c>
      <c r="L785">
        <v>0</v>
      </c>
      <c r="M785" s="2">
        <v>3.82</v>
      </c>
      <c r="N785" s="2">
        <v>3.82</v>
      </c>
      <c r="O785" s="2">
        <v>16</v>
      </c>
      <c r="P785" s="2" t="s">
        <v>519</v>
      </c>
      <c r="Q785" s="2">
        <v>16</v>
      </c>
      <c r="R785" s="25">
        <v>0</v>
      </c>
      <c r="U785">
        <v>0</v>
      </c>
      <c r="X785">
        <v>0</v>
      </c>
      <c r="AA785" s="2"/>
      <c r="AB785">
        <v>20</v>
      </c>
      <c r="AC785" s="55">
        <f t="shared" si="188"/>
        <v>233.47839999999999</v>
      </c>
      <c r="AD785" s="57">
        <v>0</v>
      </c>
      <c r="AE785" s="55">
        <v>0</v>
      </c>
      <c r="AF785" s="55">
        <v>0</v>
      </c>
      <c r="AG785" s="52">
        <f t="shared" ref="AG785" si="219">I785*AB785/AC785</f>
        <v>8.5661029028809524E-2</v>
      </c>
      <c r="AH785" s="52"/>
      <c r="AI785" s="52"/>
      <c r="AJ785" s="52"/>
      <c r="AK785" s="28">
        <v>1.75</v>
      </c>
      <c r="AL785" s="28">
        <v>2.5</v>
      </c>
      <c r="AM785" s="28">
        <v>0.75</v>
      </c>
      <c r="AN785" s="28">
        <v>0</v>
      </c>
      <c r="AO785" s="28">
        <v>0.35</v>
      </c>
      <c r="AP785" s="28">
        <v>0.5</v>
      </c>
      <c r="AQ785" s="28">
        <v>0.15</v>
      </c>
      <c r="AR785" s="28">
        <v>0</v>
      </c>
      <c r="AS785" s="25">
        <v>1</v>
      </c>
      <c r="AT785" s="25">
        <v>3.44</v>
      </c>
      <c r="AU785" s="25">
        <v>2.44</v>
      </c>
      <c r="AV785" s="25">
        <v>2.7124999999999999</v>
      </c>
      <c r="AW785">
        <v>2.7124999999999999</v>
      </c>
      <c r="AX785">
        <v>6.264025610615688</v>
      </c>
      <c r="AY785" s="75"/>
      <c r="AZ785" s="75"/>
      <c r="BA785" s="75"/>
      <c r="BB785">
        <v>4.2830514514404762E-2</v>
      </c>
      <c r="BF785">
        <v>8.5661029028809524E-2</v>
      </c>
      <c r="BG785">
        <v>4.2830514514404762E-2</v>
      </c>
      <c r="BH785">
        <v>0</v>
      </c>
      <c r="BI785" s="79" t="s">
        <v>1264</v>
      </c>
      <c r="BJ785" s="79">
        <v>1373</v>
      </c>
      <c r="BK785" s="79">
        <v>24</v>
      </c>
      <c r="BP785" s="79">
        <v>7.6</v>
      </c>
      <c r="BS785" s="79" t="s">
        <v>464</v>
      </c>
      <c r="BT785" s="79" t="s">
        <v>464</v>
      </c>
      <c r="CA785" t="e">
        <f t="shared" si="198"/>
        <v>#NUM!</v>
      </c>
    </row>
    <row r="786" spans="1:79" x14ac:dyDescent="0.3">
      <c r="A786" s="2" t="s">
        <v>366</v>
      </c>
      <c r="B786" s="18" t="s">
        <v>1024</v>
      </c>
      <c r="C786" s="13"/>
      <c r="D786" s="2">
        <v>3.62</v>
      </c>
      <c r="E786" s="97" t="s">
        <v>361</v>
      </c>
      <c r="F786" s="9">
        <v>-1</v>
      </c>
      <c r="G786">
        <v>-1</v>
      </c>
      <c r="I786" s="2">
        <v>1</v>
      </c>
      <c r="J786" s="25">
        <v>0</v>
      </c>
      <c r="K786">
        <v>0</v>
      </c>
      <c r="L786">
        <v>0</v>
      </c>
      <c r="M786" s="2">
        <v>3.86</v>
      </c>
      <c r="N786" s="2">
        <v>3.86</v>
      </c>
      <c r="O786" s="2">
        <v>25.4</v>
      </c>
      <c r="P786" s="2" t="s">
        <v>519</v>
      </c>
      <c r="Q786" s="2">
        <v>25.4</v>
      </c>
      <c r="R786" s="25">
        <v>0</v>
      </c>
      <c r="U786">
        <v>0</v>
      </c>
      <c r="X786">
        <v>0</v>
      </c>
      <c r="AA786" s="2"/>
      <c r="AB786">
        <v>20</v>
      </c>
      <c r="AC786" s="55">
        <f t="shared" si="188"/>
        <v>378.44983999999999</v>
      </c>
      <c r="AD786" s="57">
        <v>0</v>
      </c>
      <c r="AE786" s="55">
        <v>0</v>
      </c>
      <c r="AF786" s="55">
        <v>0</v>
      </c>
      <c r="AG786" s="52"/>
      <c r="AH786" s="52"/>
      <c r="AI786" s="52"/>
      <c r="AJ786" s="52"/>
      <c r="AK786" s="28">
        <v>1.53125</v>
      </c>
      <c r="AL786" s="28">
        <v>1.59375</v>
      </c>
      <c r="AM786" s="28">
        <v>0.375</v>
      </c>
      <c r="AN786" s="28">
        <v>0</v>
      </c>
      <c r="AO786" s="28">
        <v>0.4375</v>
      </c>
      <c r="AP786" s="28">
        <v>0.45535714285714279</v>
      </c>
      <c r="AQ786" s="28">
        <v>0.1071428571428571</v>
      </c>
      <c r="AR786" s="28">
        <v>0</v>
      </c>
      <c r="AS786" s="25">
        <v>1</v>
      </c>
      <c r="AT786" s="25">
        <v>3.44</v>
      </c>
      <c r="AU786" s="25">
        <v>2.44</v>
      </c>
      <c r="AV786" s="25">
        <v>2.5262500000000001</v>
      </c>
      <c r="AW786">
        <v>2.5262500000000001</v>
      </c>
      <c r="AX786">
        <v>6.6075924153816246</v>
      </c>
      <c r="AY786" s="75"/>
      <c r="AZ786" s="75"/>
      <c r="BA786" s="75"/>
      <c r="BB786">
        <v>2.6423580995568661E-2</v>
      </c>
      <c r="BF786">
        <v>0</v>
      </c>
      <c r="BG786">
        <v>2.6423580995568661E-2</v>
      </c>
      <c r="BH786">
        <v>0</v>
      </c>
      <c r="BI786" s="79" t="s">
        <v>1264</v>
      </c>
      <c r="BJ786" s="79">
        <v>1373</v>
      </c>
      <c r="BK786" s="79">
        <v>24</v>
      </c>
      <c r="BP786" s="79">
        <v>5</v>
      </c>
      <c r="BS786" s="79" t="s">
        <v>464</v>
      </c>
      <c r="BT786" s="79" t="s">
        <v>464</v>
      </c>
      <c r="CA786" t="e">
        <f t="shared" si="198"/>
        <v>#NUM!</v>
      </c>
    </row>
    <row r="787" spans="1:79" x14ac:dyDescent="0.3">
      <c r="A787" s="2" t="s">
        <v>347</v>
      </c>
      <c r="B787" s="18" t="s">
        <v>1025</v>
      </c>
      <c r="C787" s="13"/>
      <c r="D787" s="2">
        <v>3.5</v>
      </c>
      <c r="E787" s="97" t="s">
        <v>361</v>
      </c>
      <c r="F787" s="9">
        <v>-1</v>
      </c>
      <c r="G787">
        <v>-1</v>
      </c>
      <c r="I787" s="2">
        <v>2</v>
      </c>
      <c r="J787" s="25">
        <v>0</v>
      </c>
      <c r="K787">
        <v>0</v>
      </c>
      <c r="L787">
        <v>0</v>
      </c>
      <c r="M787" s="2">
        <v>3.86</v>
      </c>
      <c r="N787" s="2">
        <v>3.86</v>
      </c>
      <c r="O787" s="2">
        <v>35.799999999999997</v>
      </c>
      <c r="P787" s="2" t="s">
        <v>519</v>
      </c>
      <c r="Q787" s="2">
        <v>17.899999999999999</v>
      </c>
      <c r="R787" s="25">
        <v>0</v>
      </c>
      <c r="U787">
        <v>0</v>
      </c>
      <c r="X787">
        <v>0</v>
      </c>
      <c r="AA787" s="2"/>
      <c r="AB787">
        <v>22</v>
      </c>
      <c r="AC787" s="55">
        <f t="shared" si="188"/>
        <v>533.40567999999996</v>
      </c>
      <c r="AD787" s="57">
        <v>0</v>
      </c>
      <c r="AE787" s="55">
        <v>0</v>
      </c>
      <c r="AF787" s="55">
        <v>0</v>
      </c>
      <c r="AG787" s="52"/>
      <c r="AH787" s="52"/>
      <c r="AI787" s="52"/>
      <c r="AJ787" s="52"/>
      <c r="AK787" s="28">
        <v>1.6</v>
      </c>
      <c r="AL787" s="28">
        <v>1.92</v>
      </c>
      <c r="AM787" s="28">
        <v>0.48</v>
      </c>
      <c r="AN787" s="28">
        <v>0</v>
      </c>
      <c r="AO787" s="28">
        <v>0.4</v>
      </c>
      <c r="AP787" s="28">
        <v>0.48</v>
      </c>
      <c r="AQ787" s="28">
        <v>0.12</v>
      </c>
      <c r="AR787" s="28">
        <v>0</v>
      </c>
      <c r="AS787" s="25">
        <v>1</v>
      </c>
      <c r="AT787" s="25">
        <v>3.44</v>
      </c>
      <c r="AU787" s="25">
        <v>2.44</v>
      </c>
      <c r="AV787" s="25">
        <v>2.6055999999999999</v>
      </c>
      <c r="AW787">
        <v>2.6055999999999999</v>
      </c>
      <c r="AX787">
        <v>6.5338195732382802</v>
      </c>
      <c r="AY787" s="75"/>
      <c r="AZ787" s="75"/>
      <c r="BA787" s="75"/>
      <c r="BB787">
        <v>4.1244405196435109E-2</v>
      </c>
      <c r="BF787">
        <v>0</v>
      </c>
      <c r="BG787">
        <v>4.1244405196435109E-2</v>
      </c>
      <c r="BH787">
        <v>0</v>
      </c>
      <c r="BI787" s="79" t="s">
        <v>1264</v>
      </c>
      <c r="BJ787" s="79">
        <v>1373</v>
      </c>
      <c r="BK787" s="79">
        <v>24</v>
      </c>
      <c r="BP787" s="79">
        <v>3.9</v>
      </c>
      <c r="BS787" s="79" t="s">
        <v>464</v>
      </c>
      <c r="BT787" s="79" t="s">
        <v>464</v>
      </c>
      <c r="CA787" t="e">
        <f t="shared" si="198"/>
        <v>#NUM!</v>
      </c>
    </row>
    <row r="788" spans="1:79" x14ac:dyDescent="0.3">
      <c r="A788" s="2" t="s">
        <v>353</v>
      </c>
      <c r="B788" s="13" t="s">
        <v>837</v>
      </c>
      <c r="C788" s="13"/>
      <c r="D788" s="2">
        <v>3.44</v>
      </c>
      <c r="E788" s="97" t="s">
        <v>361</v>
      </c>
      <c r="F788" s="9">
        <v>-1</v>
      </c>
      <c r="G788">
        <v>-1</v>
      </c>
      <c r="H788" t="s">
        <v>1242</v>
      </c>
      <c r="I788" s="2">
        <v>2</v>
      </c>
      <c r="J788" s="25">
        <v>0</v>
      </c>
      <c r="K788">
        <v>0</v>
      </c>
      <c r="L788">
        <v>0</v>
      </c>
      <c r="M788" s="2">
        <v>3.79</v>
      </c>
      <c r="N788" s="2">
        <v>3.79</v>
      </c>
      <c r="O788" s="2">
        <v>27.2</v>
      </c>
      <c r="P788" s="2" t="s">
        <v>519</v>
      </c>
      <c r="Q788" s="2">
        <v>13.6</v>
      </c>
      <c r="R788" s="25">
        <v>0</v>
      </c>
      <c r="U788">
        <v>0</v>
      </c>
      <c r="X788">
        <v>3.8113999999999999</v>
      </c>
      <c r="Y788">
        <v>3.8113999999999999</v>
      </c>
      <c r="Z788">
        <v>27.478000000000002</v>
      </c>
      <c r="AA788" s="2"/>
      <c r="AB788">
        <v>20</v>
      </c>
      <c r="AC788" s="55">
        <f t="shared" si="188"/>
        <v>390.70352000000003</v>
      </c>
      <c r="AD788" s="57">
        <v>0</v>
      </c>
      <c r="AE788" s="55">
        <v>0</v>
      </c>
      <c r="AF788" s="55">
        <v>399.2</v>
      </c>
      <c r="AG788" s="52">
        <f t="shared" ref="AG788:AG858" si="220">I788*AB788/AC788</f>
        <v>0.10237942058981193</v>
      </c>
      <c r="AH788" s="52"/>
      <c r="AI788" s="52"/>
      <c r="AJ788" s="52"/>
      <c r="AK788" s="28">
        <v>1.9375</v>
      </c>
      <c r="AL788" s="28">
        <v>2.5</v>
      </c>
      <c r="AM788" s="28">
        <v>0.5</v>
      </c>
      <c r="AN788" s="28">
        <v>0</v>
      </c>
      <c r="AO788" s="28">
        <v>0.39240506329113922</v>
      </c>
      <c r="AP788" s="28">
        <v>0.50632911392405067</v>
      </c>
      <c r="AQ788" s="28">
        <v>0.1012658227848101</v>
      </c>
      <c r="AR788" s="28">
        <v>0</v>
      </c>
      <c r="AS788" s="25">
        <v>1.1000000000000001</v>
      </c>
      <c r="AT788" s="25">
        <v>3.44</v>
      </c>
      <c r="AU788" s="25">
        <v>2.34</v>
      </c>
      <c r="AV788" s="25">
        <v>2.7137500000000001</v>
      </c>
      <c r="AW788">
        <v>2.7137500000000001</v>
      </c>
      <c r="AX788">
        <v>6.1913913437406878</v>
      </c>
      <c r="AY788" s="75"/>
      <c r="AZ788" s="75"/>
      <c r="BA788" s="75">
        <v>0</v>
      </c>
      <c r="BB788">
        <v>5.1189710294905967E-2</v>
      </c>
      <c r="BE788">
        <v>0</v>
      </c>
      <c r="BF788">
        <v>0.10237942058981191</v>
      </c>
      <c r="BG788">
        <v>2.559485514745298E-2</v>
      </c>
      <c r="BH788">
        <v>0</v>
      </c>
      <c r="BI788" s="79" t="s">
        <v>1264</v>
      </c>
      <c r="BJ788" s="79">
        <v>1373</v>
      </c>
      <c r="BK788" s="79">
        <v>12</v>
      </c>
      <c r="BP788" s="79">
        <v>3.2</v>
      </c>
      <c r="BS788" s="79" t="s">
        <v>464</v>
      </c>
      <c r="BT788" s="79" t="s">
        <v>464</v>
      </c>
      <c r="CA788" t="e">
        <f t="shared" si="198"/>
        <v>#NUM!</v>
      </c>
    </row>
    <row r="789" spans="1:79" x14ac:dyDescent="0.3">
      <c r="A789" s="2" t="s">
        <v>370</v>
      </c>
      <c r="B789" s="18" t="s">
        <v>1026</v>
      </c>
      <c r="C789" s="13"/>
      <c r="D789" s="2">
        <v>3.39</v>
      </c>
      <c r="E789" s="97" t="s">
        <v>361</v>
      </c>
      <c r="F789" s="9">
        <v>-1</v>
      </c>
      <c r="G789">
        <v>-1</v>
      </c>
      <c r="I789" s="2">
        <v>1</v>
      </c>
      <c r="J789" s="25">
        <v>0</v>
      </c>
      <c r="K789">
        <v>0</v>
      </c>
      <c r="L789">
        <v>0</v>
      </c>
      <c r="M789" s="2">
        <v>3.82</v>
      </c>
      <c r="N789" s="2">
        <v>3.82</v>
      </c>
      <c r="O789" s="2">
        <v>20.2</v>
      </c>
      <c r="P789" s="2" t="s">
        <v>519</v>
      </c>
      <c r="Q789" s="2">
        <v>20.2</v>
      </c>
      <c r="R789" s="25">
        <v>0</v>
      </c>
      <c r="U789">
        <v>0</v>
      </c>
      <c r="X789">
        <v>0</v>
      </c>
      <c r="AA789" s="2"/>
      <c r="AB789">
        <v>20</v>
      </c>
      <c r="AC789" s="55">
        <f t="shared" si="188"/>
        <v>294.76648</v>
      </c>
      <c r="AD789" s="57">
        <v>0</v>
      </c>
      <c r="AE789" s="55">
        <v>0</v>
      </c>
      <c r="AF789" s="55">
        <v>0</v>
      </c>
      <c r="AG789" s="52">
        <f t="shared" si="220"/>
        <v>6.7850320022819419E-2</v>
      </c>
      <c r="AH789" s="52"/>
      <c r="AI789" s="52"/>
      <c r="AJ789" s="52"/>
      <c r="AK789" s="28">
        <v>1.6923076923076921</v>
      </c>
      <c r="AL789" s="28">
        <v>1.8076923076923079</v>
      </c>
      <c r="AM789" s="28">
        <v>0.30769230769230771</v>
      </c>
      <c r="AN789" s="28">
        <v>0</v>
      </c>
      <c r="AO789" s="28">
        <v>0.44444444444444448</v>
      </c>
      <c r="AP789" s="28">
        <v>0.47474747474747481</v>
      </c>
      <c r="AQ789" s="28">
        <v>8.0808080808080815E-2</v>
      </c>
      <c r="AR789" s="28">
        <v>0</v>
      </c>
      <c r="AS789" s="25">
        <v>1.1000000000000001</v>
      </c>
      <c r="AT789" s="25">
        <v>3.44</v>
      </c>
      <c r="AU789" s="25">
        <v>2.34</v>
      </c>
      <c r="AV789" s="25">
        <v>2.5753846153846158</v>
      </c>
      <c r="AW789">
        <v>2.5753846153846149</v>
      </c>
      <c r="AX789">
        <v>6.5020131619541548</v>
      </c>
      <c r="AY789" s="75"/>
      <c r="AZ789" s="75"/>
      <c r="BA789" s="75"/>
      <c r="BB789">
        <v>3.3925160011409709E-2</v>
      </c>
      <c r="BF789">
        <v>6.7850320022819419E-2</v>
      </c>
      <c r="BG789">
        <v>3.3925160011409709E-2</v>
      </c>
      <c r="BH789">
        <v>0</v>
      </c>
      <c r="BI789" s="79" t="s">
        <v>1264</v>
      </c>
      <c r="BJ789" s="79">
        <v>1373</v>
      </c>
      <c r="BK789" s="79">
        <v>12</v>
      </c>
      <c r="BS789" s="79" t="s">
        <v>464</v>
      </c>
      <c r="BT789" s="79" t="s">
        <v>464</v>
      </c>
      <c r="CA789" t="e">
        <f t="shared" si="198"/>
        <v>#NUM!</v>
      </c>
    </row>
    <row r="790" spans="1:79" x14ac:dyDescent="0.3">
      <c r="A790" s="2" t="s">
        <v>376</v>
      </c>
      <c r="B790" s="18" t="s">
        <v>1027</v>
      </c>
      <c r="C790" s="13"/>
      <c r="D790" s="2">
        <v>3.41</v>
      </c>
      <c r="E790" s="97" t="s">
        <v>361</v>
      </c>
      <c r="F790" s="9">
        <v>-1</v>
      </c>
      <c r="G790">
        <v>-1</v>
      </c>
      <c r="I790" s="2">
        <v>2</v>
      </c>
      <c r="J790" s="25">
        <v>0</v>
      </c>
      <c r="K790">
        <v>0</v>
      </c>
      <c r="L790">
        <v>0</v>
      </c>
      <c r="M790" s="2">
        <v>3.83</v>
      </c>
      <c r="N790" s="2">
        <v>3.83</v>
      </c>
      <c r="O790" s="2">
        <v>39.5</v>
      </c>
      <c r="P790" s="2" t="s">
        <v>519</v>
      </c>
      <c r="Q790" s="2">
        <v>19.8</v>
      </c>
      <c r="R790" s="25">
        <v>0</v>
      </c>
      <c r="U790">
        <v>0</v>
      </c>
      <c r="X790">
        <v>0</v>
      </c>
      <c r="AA790" s="2"/>
      <c r="AB790">
        <v>20</v>
      </c>
      <c r="AC790" s="55">
        <f t="shared" si="188"/>
        <v>579.42155000000002</v>
      </c>
      <c r="AD790" s="57">
        <v>0</v>
      </c>
      <c r="AE790" s="55">
        <v>0</v>
      </c>
      <c r="AF790" s="55">
        <v>0</v>
      </c>
      <c r="AG790" s="52">
        <f t="shared" si="220"/>
        <v>6.9034367120104523E-2</v>
      </c>
      <c r="AH790" s="52"/>
      <c r="AI790" s="52"/>
      <c r="AJ790" s="52"/>
      <c r="AK790" s="28">
        <v>1.72</v>
      </c>
      <c r="AL790" s="28">
        <v>1.92</v>
      </c>
      <c r="AM790" s="28">
        <v>0.32</v>
      </c>
      <c r="AN790" s="28">
        <v>0</v>
      </c>
      <c r="AO790" s="28">
        <v>0.43434343434343442</v>
      </c>
      <c r="AP790" s="28">
        <v>0.48484848484848492</v>
      </c>
      <c r="AQ790" s="28">
        <v>8.0808080808080815E-2</v>
      </c>
      <c r="AR790" s="28">
        <v>0</v>
      </c>
      <c r="AS790" s="25">
        <v>1.1000000000000001</v>
      </c>
      <c r="AT790" s="25">
        <v>3.44</v>
      </c>
      <c r="AU790" s="25">
        <v>2.34</v>
      </c>
      <c r="AV790" s="25">
        <v>2.6063999999999998</v>
      </c>
      <c r="AW790">
        <v>2.6063999999999998</v>
      </c>
      <c r="AX790">
        <v>6.4873336424382799</v>
      </c>
      <c r="AY790" s="75"/>
      <c r="AZ790" s="75"/>
      <c r="BA790" s="75"/>
      <c r="BB790">
        <v>3.7968901916057493E-2</v>
      </c>
      <c r="BF790">
        <v>6.9034367120104523E-2</v>
      </c>
      <c r="BG790">
        <v>3.7968901916057493E-2</v>
      </c>
      <c r="BH790">
        <v>0</v>
      </c>
      <c r="BI790" s="79" t="s">
        <v>1264</v>
      </c>
      <c r="BJ790" s="79">
        <v>1373</v>
      </c>
      <c r="BK790" s="79">
        <v>12</v>
      </c>
      <c r="BS790" s="79" t="s">
        <v>464</v>
      </c>
      <c r="BT790" s="79" t="s">
        <v>464</v>
      </c>
      <c r="CA790" t="e">
        <f t="shared" si="198"/>
        <v>#NUM!</v>
      </c>
    </row>
    <row r="791" spans="1:79" x14ac:dyDescent="0.3">
      <c r="A791" s="2" t="s">
        <v>63</v>
      </c>
      <c r="B791" s="34" t="s">
        <v>773</v>
      </c>
      <c r="C791" s="34"/>
      <c r="D791" s="2">
        <v>3.49</v>
      </c>
      <c r="E791" s="55" t="s">
        <v>362</v>
      </c>
      <c r="F791" s="35">
        <v>-1</v>
      </c>
      <c r="G791" s="2">
        <v>-1</v>
      </c>
      <c r="H791" s="2"/>
      <c r="I791" s="2">
        <v>1</v>
      </c>
      <c r="J791" s="29">
        <v>0</v>
      </c>
      <c r="K791">
        <v>0</v>
      </c>
      <c r="L791">
        <v>0</v>
      </c>
      <c r="M791" s="2">
        <v>3.8531</v>
      </c>
      <c r="N791" s="2">
        <v>3.8531</v>
      </c>
      <c r="O791" s="2">
        <v>16.2151</v>
      </c>
      <c r="P791" s="2" t="s">
        <v>519</v>
      </c>
      <c r="Q791" s="5"/>
      <c r="R791" s="41">
        <v>0</v>
      </c>
      <c r="S791" s="5"/>
      <c r="T791" s="5"/>
      <c r="U791">
        <v>0</v>
      </c>
      <c r="X791">
        <v>0</v>
      </c>
      <c r="AA791" s="5"/>
      <c r="AB791" s="5">
        <v>20</v>
      </c>
      <c r="AC791" s="55">
        <f t="shared" si="188"/>
        <v>240.73553001411099</v>
      </c>
      <c r="AD791" s="57">
        <v>0</v>
      </c>
      <c r="AE791" s="55">
        <v>0</v>
      </c>
      <c r="AF791" s="55">
        <v>0</v>
      </c>
      <c r="AG791" s="52">
        <f t="shared" si="220"/>
        <v>8.3078721279022161E-2</v>
      </c>
      <c r="AH791" s="52"/>
      <c r="AI791" s="52"/>
      <c r="AJ791" s="52"/>
      <c r="AK791" s="5">
        <v>1.75</v>
      </c>
      <c r="AL791" s="5">
        <v>2.5</v>
      </c>
      <c r="AM791" s="5">
        <v>0.75</v>
      </c>
      <c r="AN791" s="5">
        <v>0</v>
      </c>
      <c r="AO791" s="5">
        <v>0.35</v>
      </c>
      <c r="AP791" s="5">
        <v>0.5</v>
      </c>
      <c r="AQ791" s="5">
        <v>0.15</v>
      </c>
      <c r="AR791" s="5">
        <v>0</v>
      </c>
      <c r="AS791" s="41">
        <v>1</v>
      </c>
      <c r="AT791" s="41">
        <v>3.44</v>
      </c>
      <c r="AU791" s="41">
        <v>2.44</v>
      </c>
      <c r="AV791" s="41">
        <v>2.7124999999999999</v>
      </c>
      <c r="AW791" s="5">
        <v>2.7124999999999999</v>
      </c>
      <c r="AX791" s="5">
        <v>6.264025610615688</v>
      </c>
      <c r="AY791" s="75"/>
      <c r="AZ791" s="75"/>
      <c r="BA791" s="75"/>
      <c r="BB791">
        <v>4.153936063951108E-2</v>
      </c>
      <c r="BF791">
        <v>8.3078721279022161E-2</v>
      </c>
      <c r="BG791">
        <v>4.153936063951108E-2</v>
      </c>
      <c r="BH791">
        <v>0</v>
      </c>
      <c r="BI791" s="79" t="s">
        <v>1264</v>
      </c>
      <c r="BJ791" s="79">
        <f>273+812</f>
        <v>1085</v>
      </c>
      <c r="BK791" s="79">
        <v>12</v>
      </c>
      <c r="BS791" s="79" t="s">
        <v>464</v>
      </c>
      <c r="BT791" s="79" t="s">
        <v>464</v>
      </c>
      <c r="CA791" t="e">
        <f t="shared" si="198"/>
        <v>#NUM!</v>
      </c>
    </row>
    <row r="792" spans="1:79" x14ac:dyDescent="0.3">
      <c r="A792" s="2" t="s">
        <v>363</v>
      </c>
      <c r="B792" s="48" t="s">
        <v>1028</v>
      </c>
      <c r="C792" s="34"/>
      <c r="D792" s="2">
        <v>3.56</v>
      </c>
      <c r="E792" s="55" t="s">
        <v>362</v>
      </c>
      <c r="F792" s="35">
        <v>-1</v>
      </c>
      <c r="G792" s="2">
        <v>-1</v>
      </c>
      <c r="H792" s="2"/>
      <c r="I792" s="2">
        <v>1</v>
      </c>
      <c r="J792" s="29">
        <v>0</v>
      </c>
      <c r="K792">
        <v>0</v>
      </c>
      <c r="L792">
        <v>0</v>
      </c>
      <c r="M792" s="2">
        <v>3.86</v>
      </c>
      <c r="N792" s="2">
        <v>3.86</v>
      </c>
      <c r="O792" s="2">
        <v>16.079999999999998</v>
      </c>
      <c r="P792" s="2" t="s">
        <v>519</v>
      </c>
      <c r="Q792" s="5"/>
      <c r="R792" s="41">
        <v>0</v>
      </c>
      <c r="S792" s="5"/>
      <c r="T792" s="5"/>
      <c r="U792">
        <v>0</v>
      </c>
      <c r="X792">
        <v>0</v>
      </c>
      <c r="AA792" s="5"/>
      <c r="AB792" s="5">
        <v>20</v>
      </c>
      <c r="AC792" s="55">
        <f t="shared" si="188"/>
        <v>239.58556799999997</v>
      </c>
      <c r="AD792" s="57">
        <v>0</v>
      </c>
      <c r="AE792" s="55">
        <v>0</v>
      </c>
      <c r="AF792" s="55">
        <v>0</v>
      </c>
      <c r="AG792" s="52">
        <f t="shared" si="220"/>
        <v>8.34774822496821E-2</v>
      </c>
      <c r="AH792" s="52"/>
      <c r="AI792" s="52"/>
      <c r="AJ792" s="52"/>
      <c r="AK792" s="5">
        <v>1.5909090909090911</v>
      </c>
      <c r="AL792" s="5">
        <v>1.9090909090909089</v>
      </c>
      <c r="AM792" s="5">
        <v>0.54545454545454541</v>
      </c>
      <c r="AN792" s="5">
        <v>0</v>
      </c>
      <c r="AO792" s="5">
        <v>0.3932584269662921</v>
      </c>
      <c r="AP792" s="5">
        <v>0.47191011235955049</v>
      </c>
      <c r="AQ792" s="5">
        <v>0.1348314606741573</v>
      </c>
      <c r="AR792" s="5">
        <v>0</v>
      </c>
      <c r="AS792" s="41">
        <v>1</v>
      </c>
      <c r="AT792" s="41">
        <v>3.44</v>
      </c>
      <c r="AU792" s="41">
        <v>2.44</v>
      </c>
      <c r="AV792" s="41">
        <v>2.5886363636363638</v>
      </c>
      <c r="AW792" s="5">
        <v>2.588636363636363</v>
      </c>
      <c r="AX792" s="5">
        <v>6.4712814579593632</v>
      </c>
      <c r="AY792" s="75"/>
      <c r="AZ792" s="75"/>
      <c r="BA792" s="75"/>
      <c r="BB792">
        <v>4.173874112484105E-2</v>
      </c>
      <c r="BF792">
        <v>8.34774822496821E-2</v>
      </c>
      <c r="BG792">
        <v>4.173874112484105E-2</v>
      </c>
      <c r="BH792">
        <v>0</v>
      </c>
      <c r="BI792" s="79" t="s">
        <v>1264</v>
      </c>
      <c r="BJ792" s="79">
        <f>273+812</f>
        <v>1085</v>
      </c>
      <c r="BK792" s="79">
        <v>12</v>
      </c>
      <c r="BS792" s="79" t="s">
        <v>464</v>
      </c>
      <c r="BT792" s="79" t="s">
        <v>464</v>
      </c>
      <c r="CA792" t="e">
        <f t="shared" si="198"/>
        <v>#NUM!</v>
      </c>
    </row>
    <row r="793" spans="1:79" x14ac:dyDescent="0.3">
      <c r="A793" s="2" t="s">
        <v>364</v>
      </c>
      <c r="B793" s="48" t="s">
        <v>1029</v>
      </c>
      <c r="C793" s="34"/>
      <c r="D793" s="2">
        <v>3.6</v>
      </c>
      <c r="E793" s="55" t="s">
        <v>362</v>
      </c>
      <c r="F793" s="35">
        <v>-1</v>
      </c>
      <c r="G793" s="2">
        <v>-1</v>
      </c>
      <c r="H793" s="2"/>
      <c r="I793" s="2">
        <v>1</v>
      </c>
      <c r="J793" s="29">
        <v>0</v>
      </c>
      <c r="K793">
        <v>0</v>
      </c>
      <c r="L793">
        <v>0</v>
      </c>
      <c r="M793" s="2">
        <v>3.87</v>
      </c>
      <c r="N793" s="2">
        <v>3.87</v>
      </c>
      <c r="O793" s="2">
        <v>20.49</v>
      </c>
      <c r="P793" s="2" t="s">
        <v>519</v>
      </c>
      <c r="Q793" s="5"/>
      <c r="R793" s="41">
        <v>0</v>
      </c>
      <c r="S793" s="5"/>
      <c r="T793" s="5"/>
      <c r="U793">
        <v>0</v>
      </c>
      <c r="X793">
        <v>0</v>
      </c>
      <c r="AA793" s="5"/>
      <c r="AB793" s="5">
        <v>20</v>
      </c>
      <c r="AC793" s="55">
        <f t="shared" si="188"/>
        <v>306.87668099999996</v>
      </c>
      <c r="AD793" s="57">
        <v>0</v>
      </c>
      <c r="AE793" s="55">
        <v>0</v>
      </c>
      <c r="AF793" s="55">
        <v>0</v>
      </c>
      <c r="AG793" s="52">
        <f t="shared" si="220"/>
        <v>6.517275908624677E-2</v>
      </c>
      <c r="AH793" s="52"/>
      <c r="AI793" s="52"/>
      <c r="AJ793" s="52"/>
      <c r="AK793" s="5">
        <v>1.56</v>
      </c>
      <c r="AL793" s="5">
        <v>1.76</v>
      </c>
      <c r="AM793" s="5">
        <v>0.48</v>
      </c>
      <c r="AN793" s="5">
        <v>0</v>
      </c>
      <c r="AO793" s="5">
        <v>0.41052631578947368</v>
      </c>
      <c r="AP793" s="5">
        <v>0.4631578947368421</v>
      </c>
      <c r="AQ793" s="5">
        <v>0.12631578947368419</v>
      </c>
      <c r="AR793" s="5">
        <v>0</v>
      </c>
      <c r="AS793" s="41">
        <v>1</v>
      </c>
      <c r="AT793" s="41">
        <v>3.44</v>
      </c>
      <c r="AU793" s="41">
        <v>2.44</v>
      </c>
      <c r="AV793" s="41">
        <v>2.556</v>
      </c>
      <c r="AW793" s="5">
        <v>2.556</v>
      </c>
      <c r="AX793" s="5">
        <v>6.5192970192323214</v>
      </c>
      <c r="AY793" s="75"/>
      <c r="AZ793" s="75"/>
      <c r="BA793" s="75"/>
      <c r="BB793">
        <v>3.2586379543123392E-2</v>
      </c>
      <c r="BF793">
        <v>6.517275908624677E-2</v>
      </c>
      <c r="BG793">
        <v>3.2586379543123392E-2</v>
      </c>
      <c r="BH793">
        <v>0</v>
      </c>
      <c r="BI793" s="79" t="s">
        <v>1264</v>
      </c>
      <c r="BJ793" s="79">
        <f>273+812</f>
        <v>1085</v>
      </c>
      <c r="BK793" s="79">
        <v>12</v>
      </c>
      <c r="BS793" s="79" t="s">
        <v>464</v>
      </c>
      <c r="BT793" s="79" t="s">
        <v>464</v>
      </c>
      <c r="CA793" t="e">
        <f t="shared" si="198"/>
        <v>#NUM!</v>
      </c>
    </row>
    <row r="794" spans="1:79" x14ac:dyDescent="0.3">
      <c r="A794" s="2" t="s">
        <v>365</v>
      </c>
      <c r="B794" s="48" t="s">
        <v>1030</v>
      </c>
      <c r="C794" s="34"/>
      <c r="D794" s="2">
        <v>3.55</v>
      </c>
      <c r="E794" s="55" t="s">
        <v>362</v>
      </c>
      <c r="F794" s="35">
        <v>-1</v>
      </c>
      <c r="G794" s="2">
        <v>-1</v>
      </c>
      <c r="H794" s="2"/>
      <c r="I794" s="2">
        <v>1</v>
      </c>
      <c r="J794" s="29">
        <v>0</v>
      </c>
      <c r="K794">
        <v>0</v>
      </c>
      <c r="L794">
        <v>0</v>
      </c>
      <c r="M794" s="2">
        <v>3.87</v>
      </c>
      <c r="N794" s="2">
        <v>3.87</v>
      </c>
      <c r="O794" s="2">
        <v>22.22</v>
      </c>
      <c r="P794" s="2" t="s">
        <v>519</v>
      </c>
      <c r="Q794" s="5"/>
      <c r="R794" s="41">
        <v>0</v>
      </c>
      <c r="S794" s="5"/>
      <c r="T794" s="5"/>
      <c r="U794">
        <v>0</v>
      </c>
      <c r="X794">
        <v>0</v>
      </c>
      <c r="AA794" s="5"/>
      <c r="AB794" s="5">
        <v>20</v>
      </c>
      <c r="AC794" s="55">
        <f t="shared" si="188"/>
        <v>332.78671800000001</v>
      </c>
      <c r="AD794" s="57">
        <v>0</v>
      </c>
      <c r="AE794" s="55">
        <v>0</v>
      </c>
      <c r="AF794" s="55">
        <v>0</v>
      </c>
      <c r="AG794" s="52">
        <f t="shared" si="220"/>
        <v>6.0098552370710899E-2</v>
      </c>
      <c r="AH794" s="52"/>
      <c r="AI794" s="52"/>
      <c r="AJ794" s="52"/>
      <c r="AK794" s="5">
        <v>1.535714285714286</v>
      </c>
      <c r="AL794" s="5">
        <v>1.642857142857143</v>
      </c>
      <c r="AM794" s="5">
        <v>0.42857142857142849</v>
      </c>
      <c r="AN794" s="5">
        <v>0</v>
      </c>
      <c r="AO794" s="5">
        <v>0.42574257425742579</v>
      </c>
      <c r="AP794" s="5">
        <v>0.45544554455445541</v>
      </c>
      <c r="AQ794" s="5">
        <v>0.11881188118811881</v>
      </c>
      <c r="AR794" s="5">
        <v>0</v>
      </c>
      <c r="AS794" s="41">
        <v>1</v>
      </c>
      <c r="AT794" s="41">
        <v>3.44</v>
      </c>
      <c r="AU794" s="41">
        <v>2.44</v>
      </c>
      <c r="AV794" s="41">
        <v>2.530357142857143</v>
      </c>
      <c r="AW794" s="5">
        <v>2.530357142857143</v>
      </c>
      <c r="AX794" s="5">
        <v>6.5570235316610717</v>
      </c>
      <c r="AY794" s="75"/>
      <c r="AZ794" s="75"/>
      <c r="BA794" s="75"/>
      <c r="BB794">
        <v>3.004927618535545E-2</v>
      </c>
      <c r="BF794">
        <v>6.0098552370710899E-2</v>
      </c>
      <c r="BG794">
        <v>3.004927618535545E-2</v>
      </c>
      <c r="BH794">
        <v>0</v>
      </c>
      <c r="BI794" s="79" t="s">
        <v>1264</v>
      </c>
      <c r="BJ794" s="79">
        <f>273+812</f>
        <v>1085</v>
      </c>
      <c r="BK794" s="79">
        <v>12</v>
      </c>
      <c r="BS794" s="79" t="s">
        <v>464</v>
      </c>
      <c r="BT794" s="79" t="s">
        <v>464</v>
      </c>
      <c r="CA794" t="e">
        <f t="shared" ref="CA794:CA902" si="221">LN(BZ794)</f>
        <v>#NUM!</v>
      </c>
    </row>
    <row r="795" spans="1:79" x14ac:dyDescent="0.3">
      <c r="A795" s="2" t="s">
        <v>366</v>
      </c>
      <c r="B795" s="48" t="s">
        <v>1031</v>
      </c>
      <c r="C795" s="34"/>
      <c r="D795" s="2">
        <v>3.62</v>
      </c>
      <c r="E795" s="55" t="s">
        <v>362</v>
      </c>
      <c r="F795" s="35">
        <v>-1</v>
      </c>
      <c r="G795" s="2">
        <v>-1</v>
      </c>
      <c r="H795" s="2"/>
      <c r="I795" s="2">
        <v>1</v>
      </c>
      <c r="J795" s="29">
        <v>0</v>
      </c>
      <c r="K795">
        <v>0</v>
      </c>
      <c r="L795">
        <v>0</v>
      </c>
      <c r="M795" s="2">
        <v>3.86</v>
      </c>
      <c r="N795" s="2">
        <v>3.86</v>
      </c>
      <c r="O795" s="2">
        <v>25.35</v>
      </c>
      <c r="P795" s="2" t="s">
        <v>519</v>
      </c>
      <c r="Q795" s="5"/>
      <c r="R795" s="41">
        <v>0</v>
      </c>
      <c r="S795" s="5"/>
      <c r="T795" s="5"/>
      <c r="U795">
        <v>0</v>
      </c>
      <c r="X795">
        <v>0</v>
      </c>
      <c r="AA795" s="5"/>
      <c r="AB795" s="5">
        <v>20</v>
      </c>
      <c r="AC795" s="55">
        <f t="shared" si="188"/>
        <v>377.70486</v>
      </c>
      <c r="AD795" s="57">
        <v>0</v>
      </c>
      <c r="AE795" s="55">
        <v>0</v>
      </c>
      <c r="AF795" s="55">
        <v>0</v>
      </c>
      <c r="AG795" s="52">
        <f t="shared" si="220"/>
        <v>5.2951397024650411E-2</v>
      </c>
      <c r="AH795" s="52"/>
      <c r="AI795" s="52"/>
      <c r="AJ795" s="52"/>
      <c r="AK795" s="5">
        <v>1.5161290322580649</v>
      </c>
      <c r="AL795" s="5">
        <v>1.5483870967741939</v>
      </c>
      <c r="AM795" s="5">
        <v>0.38709677419354838</v>
      </c>
      <c r="AN795" s="5">
        <v>0</v>
      </c>
      <c r="AO795" s="5">
        <v>0.43925233644859812</v>
      </c>
      <c r="AP795" s="5">
        <v>0.44859813084112149</v>
      </c>
      <c r="AQ795" s="5">
        <v>0.1121495327102804</v>
      </c>
      <c r="AR795" s="5">
        <v>0</v>
      </c>
      <c r="AS795" s="41">
        <v>1</v>
      </c>
      <c r="AT795" s="41">
        <v>3.44</v>
      </c>
      <c r="AU795" s="41">
        <v>2.44</v>
      </c>
      <c r="AV795" s="41">
        <v>2.5096774193548388</v>
      </c>
      <c r="AW795" s="5">
        <v>2.5096774193548388</v>
      </c>
      <c r="AX795" s="5">
        <v>6.587448138458452</v>
      </c>
      <c r="AY795" s="75"/>
      <c r="AZ795" s="75"/>
      <c r="BA795" s="75"/>
      <c r="BB795">
        <v>2.6475698512325209E-2</v>
      </c>
      <c r="BF795">
        <v>5.2951397024650411E-2</v>
      </c>
      <c r="BG795">
        <v>2.6475698512325209E-2</v>
      </c>
      <c r="BH795">
        <v>0</v>
      </c>
      <c r="BI795" s="79" t="s">
        <v>1264</v>
      </c>
      <c r="BJ795" s="79">
        <f>273+812</f>
        <v>1085</v>
      </c>
      <c r="BK795" s="79">
        <v>12</v>
      </c>
      <c r="BS795" s="79" t="s">
        <v>464</v>
      </c>
      <c r="BT795" s="79" t="s">
        <v>464</v>
      </c>
      <c r="CA795" t="e">
        <f t="shared" si="221"/>
        <v>#NUM!</v>
      </c>
    </row>
    <row r="796" spans="1:79" x14ac:dyDescent="0.3">
      <c r="A796" s="2" t="s">
        <v>367</v>
      </c>
      <c r="B796" s="48" t="s">
        <v>1032</v>
      </c>
      <c r="C796" s="34"/>
      <c r="D796" s="2">
        <v>3.55</v>
      </c>
      <c r="E796" s="55" t="s">
        <v>362</v>
      </c>
      <c r="F796" s="35">
        <v>-1</v>
      </c>
      <c r="G796" s="2">
        <v>-1</v>
      </c>
      <c r="H796" s="2"/>
      <c r="I796" s="2">
        <v>1</v>
      </c>
      <c r="J796" s="29">
        <v>0</v>
      </c>
      <c r="K796">
        <v>0</v>
      </c>
      <c r="L796">
        <v>0</v>
      </c>
      <c r="M796" s="2">
        <v>3.86</v>
      </c>
      <c r="N796" s="2">
        <v>3.86</v>
      </c>
      <c r="O796" s="2">
        <v>29.53</v>
      </c>
      <c r="P796" s="2" t="s">
        <v>519</v>
      </c>
      <c r="Q796" s="5"/>
      <c r="R796" s="41">
        <v>0</v>
      </c>
      <c r="S796" s="5"/>
      <c r="T796" s="5"/>
      <c r="U796">
        <v>0</v>
      </c>
      <c r="X796">
        <v>0</v>
      </c>
      <c r="AA796" s="5"/>
      <c r="AB796" s="5">
        <v>20</v>
      </c>
      <c r="AC796" s="55">
        <f t="shared" si="188"/>
        <v>439.98518799999999</v>
      </c>
      <c r="AD796" s="57">
        <v>0</v>
      </c>
      <c r="AE796" s="55">
        <v>0</v>
      </c>
      <c r="AF796" s="55">
        <v>0</v>
      </c>
      <c r="AG796" s="52">
        <f t="shared" si="220"/>
        <v>4.5456075671347372E-2</v>
      </c>
      <c r="AH796" s="52"/>
      <c r="AI796" s="52"/>
      <c r="AJ796" s="52"/>
      <c r="AK796" s="5">
        <v>1.486486486486486</v>
      </c>
      <c r="AL796" s="5">
        <v>1.405405405405405</v>
      </c>
      <c r="AM796" s="5">
        <v>0.32432432432432429</v>
      </c>
      <c r="AN796" s="5">
        <v>0</v>
      </c>
      <c r="AO796" s="5">
        <v>0.4621848739495798</v>
      </c>
      <c r="AP796" s="5">
        <v>0.43697478991596639</v>
      </c>
      <c r="AQ796" s="5">
        <v>0.1008403361344538</v>
      </c>
      <c r="AR796" s="5">
        <v>0</v>
      </c>
      <c r="AS796" s="41">
        <v>1</v>
      </c>
      <c r="AT796" s="41">
        <v>3.44</v>
      </c>
      <c r="AU796" s="41">
        <v>2.44</v>
      </c>
      <c r="AV796" s="41">
        <v>2.4783783783783782</v>
      </c>
      <c r="AW796" s="5">
        <v>2.478378378378379</v>
      </c>
      <c r="AX796" s="5">
        <v>6.6334961919896216</v>
      </c>
      <c r="AY796" s="75"/>
      <c r="AZ796" s="75"/>
      <c r="BA796" s="75"/>
      <c r="BB796">
        <v>2.272803783567369E-2</v>
      </c>
      <c r="BF796">
        <v>4.5456075671347372E-2</v>
      </c>
      <c r="BG796">
        <v>2.272803783567369E-2</v>
      </c>
      <c r="BH796">
        <v>0</v>
      </c>
      <c r="BI796" s="79" t="s">
        <v>1264</v>
      </c>
      <c r="BJ796" s="79">
        <f>273+812</f>
        <v>1085</v>
      </c>
      <c r="BK796" s="79">
        <v>12</v>
      </c>
      <c r="BS796" s="79" t="s">
        <v>464</v>
      </c>
      <c r="BT796" s="79" t="s">
        <v>464</v>
      </c>
      <c r="CA796" t="e">
        <f t="shared" si="221"/>
        <v>#NUM!</v>
      </c>
    </row>
    <row r="797" spans="1:79" x14ac:dyDescent="0.3">
      <c r="A797" s="2" t="s">
        <v>368</v>
      </c>
      <c r="B797" s="48" t="s">
        <v>1033</v>
      </c>
      <c r="C797" s="34"/>
      <c r="D797" s="2">
        <v>2.6</v>
      </c>
      <c r="E797" s="55" t="s">
        <v>362</v>
      </c>
      <c r="F797" s="35">
        <v>-1</v>
      </c>
      <c r="G797" s="2">
        <v>-1</v>
      </c>
      <c r="H797" s="2"/>
      <c r="I797" s="2">
        <v>1</v>
      </c>
      <c r="J797" s="29">
        <v>0</v>
      </c>
      <c r="K797">
        <v>0</v>
      </c>
      <c r="L797">
        <v>0</v>
      </c>
      <c r="M797" s="2">
        <v>3.86</v>
      </c>
      <c r="N797" s="2">
        <v>3.86</v>
      </c>
      <c r="O797" s="2">
        <v>33.53</v>
      </c>
      <c r="P797" s="2" t="s">
        <v>519</v>
      </c>
      <c r="Q797" s="5"/>
      <c r="R797" s="41">
        <v>0</v>
      </c>
      <c r="S797" s="5"/>
      <c r="T797" s="5"/>
      <c r="U797">
        <v>0</v>
      </c>
      <c r="X797">
        <v>0</v>
      </c>
      <c r="AA797" s="5"/>
      <c r="AB797" s="5">
        <v>20</v>
      </c>
      <c r="AC797" s="55">
        <f t="shared" si="188"/>
        <v>499.58358800000002</v>
      </c>
      <c r="AD797" s="57">
        <v>0</v>
      </c>
      <c r="AE797" s="55">
        <v>0</v>
      </c>
      <c r="AF797" s="55">
        <v>0</v>
      </c>
      <c r="AG797" s="52">
        <f t="shared" si="220"/>
        <v>4.0033340726957585E-2</v>
      </c>
      <c r="AH797" s="52"/>
      <c r="AI797" s="52"/>
      <c r="AJ797" s="52"/>
      <c r="AK797" s="5">
        <v>1.4651162790697669</v>
      </c>
      <c r="AL797" s="5">
        <v>1.3023255813953489</v>
      </c>
      <c r="AM797" s="5">
        <v>0.27906976744186052</v>
      </c>
      <c r="AN797" s="5">
        <v>0</v>
      </c>
      <c r="AO797" s="5">
        <v>0.48091603053435111</v>
      </c>
      <c r="AP797" s="5">
        <v>0.4274809160305344</v>
      </c>
      <c r="AQ797" s="5">
        <v>9.1603053435114504E-2</v>
      </c>
      <c r="AR797" s="5">
        <v>0</v>
      </c>
      <c r="AS797" s="41">
        <v>1</v>
      </c>
      <c r="AT797" s="41">
        <v>3.44</v>
      </c>
      <c r="AU797" s="41">
        <v>2.44</v>
      </c>
      <c r="AV797" s="41">
        <v>2.4558139534883718</v>
      </c>
      <c r="AW797" s="5">
        <v>2.4558139534883718</v>
      </c>
      <c r="AX797" s="5">
        <v>6.6666936259306979</v>
      </c>
      <c r="AY797" s="75"/>
      <c r="AZ797" s="75"/>
      <c r="BA797" s="75"/>
      <c r="BB797">
        <v>2.0016670363478789E-2</v>
      </c>
      <c r="BF797">
        <v>4.0033340726957578E-2</v>
      </c>
      <c r="BG797">
        <v>2.0016670363478789E-2</v>
      </c>
      <c r="BH797">
        <v>0</v>
      </c>
      <c r="BI797" s="79" t="s">
        <v>1264</v>
      </c>
      <c r="BJ797" s="79">
        <f>273+812</f>
        <v>1085</v>
      </c>
      <c r="BK797" s="79">
        <v>12</v>
      </c>
      <c r="BS797" s="79" t="s">
        <v>464</v>
      </c>
      <c r="BT797" s="79" t="s">
        <v>464</v>
      </c>
      <c r="CA797" t="e">
        <f t="shared" si="221"/>
        <v>#NUM!</v>
      </c>
    </row>
    <row r="798" spans="1:79" x14ac:dyDescent="0.3">
      <c r="A798" s="2" t="s">
        <v>353</v>
      </c>
      <c r="B798" s="13" t="s">
        <v>834</v>
      </c>
      <c r="C798" s="13"/>
      <c r="D798" s="2">
        <v>3.44</v>
      </c>
      <c r="E798" s="2" t="s">
        <v>380</v>
      </c>
      <c r="F798" s="9">
        <v>-1</v>
      </c>
      <c r="G798">
        <v>-1</v>
      </c>
      <c r="I798" s="2">
        <v>2</v>
      </c>
      <c r="J798" s="25">
        <v>0</v>
      </c>
      <c r="K798">
        <v>0</v>
      </c>
      <c r="L798">
        <v>0</v>
      </c>
      <c r="M798" s="2">
        <v>3.79</v>
      </c>
      <c r="N798" s="2">
        <v>3.79</v>
      </c>
      <c r="O798" s="2">
        <v>27.2</v>
      </c>
      <c r="P798" s="2" t="s">
        <v>519</v>
      </c>
      <c r="Q798" s="2">
        <v>13.6</v>
      </c>
      <c r="R798" s="25">
        <v>0</v>
      </c>
      <c r="U798">
        <v>0</v>
      </c>
      <c r="X798">
        <v>0</v>
      </c>
      <c r="AA798" s="2"/>
      <c r="AB798">
        <v>20</v>
      </c>
      <c r="AC798" s="55">
        <f t="shared" si="188"/>
        <v>390.70352000000003</v>
      </c>
      <c r="AD798" s="57">
        <v>0</v>
      </c>
      <c r="AE798" s="55">
        <v>0</v>
      </c>
      <c r="AF798" s="55">
        <v>0</v>
      </c>
      <c r="AG798" s="52">
        <f t="shared" si="220"/>
        <v>0.10237942058981193</v>
      </c>
      <c r="AH798" s="52"/>
      <c r="AI798" s="52"/>
      <c r="AJ798" s="52"/>
      <c r="AK798" s="28">
        <v>1.882352941176471</v>
      </c>
      <c r="AL798" s="28">
        <v>2.3529411764705879</v>
      </c>
      <c r="AM798" s="28">
        <v>0.47058823529411759</v>
      </c>
      <c r="AN798" s="28">
        <v>0</v>
      </c>
      <c r="AO798" s="28">
        <v>0.4</v>
      </c>
      <c r="AP798" s="28">
        <v>0.5</v>
      </c>
      <c r="AQ798" s="28">
        <v>9.9999999999999992E-2</v>
      </c>
      <c r="AR798" s="28">
        <v>0</v>
      </c>
      <c r="AS798" s="25">
        <v>1.1000000000000001</v>
      </c>
      <c r="AT798" s="25">
        <v>3.44</v>
      </c>
      <c r="AU798" s="25">
        <v>2.34</v>
      </c>
      <c r="AV798" s="25">
        <v>2.6835294117647059</v>
      </c>
      <c r="AW798">
        <v>2.6835294117647059</v>
      </c>
      <c r="AX798">
        <v>6.2493398705707062</v>
      </c>
      <c r="AY798" s="75"/>
      <c r="AZ798" s="75"/>
      <c r="BA798" s="75"/>
      <c r="BB798">
        <v>5.1189710294905967E-2</v>
      </c>
      <c r="BF798">
        <v>0.10237942058981191</v>
      </c>
      <c r="BG798">
        <v>5.1189710294905967E-2</v>
      </c>
      <c r="BH798">
        <v>0</v>
      </c>
      <c r="BI798" s="79" t="s">
        <v>1264</v>
      </c>
      <c r="BJ798" s="79">
        <v>1373</v>
      </c>
      <c r="BK798" s="79">
        <v>12</v>
      </c>
      <c r="BM798" s="79" t="s">
        <v>464</v>
      </c>
      <c r="BN798" s="79" t="s">
        <v>464</v>
      </c>
      <c r="BO798" s="79">
        <v>0</v>
      </c>
      <c r="BP798" s="79">
        <v>3.24</v>
      </c>
      <c r="BQ798" s="79">
        <v>0.5</v>
      </c>
      <c r="BR798" s="79">
        <v>1</v>
      </c>
      <c r="BS798" s="95" t="s">
        <v>464</v>
      </c>
      <c r="BT798" s="95" t="s">
        <v>464</v>
      </c>
      <c r="BU798" s="95" t="s">
        <v>1266</v>
      </c>
      <c r="BV798" s="95">
        <v>125</v>
      </c>
      <c r="BW798" s="95">
        <v>220</v>
      </c>
      <c r="BX798" s="95" t="s">
        <v>1287</v>
      </c>
      <c r="BY798" s="95">
        <f t="shared" ref="BY798:BY849" si="222">273+15</f>
        <v>288</v>
      </c>
      <c r="BZ798" s="81">
        <v>50.8</v>
      </c>
      <c r="CA798" s="2"/>
    </row>
    <row r="799" spans="1:79" x14ac:dyDescent="0.3">
      <c r="A799" s="2" t="s">
        <v>369</v>
      </c>
      <c r="B799" s="18" t="s">
        <v>1034</v>
      </c>
      <c r="C799" s="13"/>
      <c r="D799" s="2">
        <v>3.34</v>
      </c>
      <c r="E799" s="2" t="s">
        <v>380</v>
      </c>
      <c r="F799" s="9">
        <v>-1</v>
      </c>
      <c r="G799">
        <v>-1</v>
      </c>
      <c r="I799" s="2">
        <v>2</v>
      </c>
      <c r="J799" s="25">
        <v>0</v>
      </c>
      <c r="K799">
        <v>0</v>
      </c>
      <c r="L799">
        <v>0</v>
      </c>
      <c r="M799" s="2">
        <v>3.83</v>
      </c>
      <c r="N799" s="2">
        <v>3.83</v>
      </c>
      <c r="O799" s="2">
        <v>36.700000000000003</v>
      </c>
      <c r="P799" s="2" t="s">
        <v>519</v>
      </c>
      <c r="Q799" s="2">
        <v>18.399999999999999</v>
      </c>
      <c r="R799" s="25">
        <v>0</v>
      </c>
      <c r="U799">
        <v>0</v>
      </c>
      <c r="X799">
        <v>0</v>
      </c>
      <c r="AA799" s="2"/>
      <c r="AB799">
        <v>20</v>
      </c>
      <c r="AC799" s="55">
        <f t="shared" ref="AC799:AC907" si="223">M799*N799*O799</f>
        <v>538.34863000000007</v>
      </c>
      <c r="AD799" s="57">
        <v>0</v>
      </c>
      <c r="AE799" s="55">
        <v>0</v>
      </c>
      <c r="AF799" s="55">
        <v>0</v>
      </c>
      <c r="AG799" s="52">
        <f t="shared" si="220"/>
        <v>7.4301294311829108E-2</v>
      </c>
      <c r="AH799" s="52"/>
      <c r="AI799" s="52"/>
      <c r="AJ799" s="52"/>
      <c r="AK799" s="28">
        <v>1.7391304347826091</v>
      </c>
      <c r="AL799" s="28">
        <v>1.956521739130435</v>
      </c>
      <c r="AM799" s="28">
        <v>0.34782608695652167</v>
      </c>
      <c r="AN799" s="28">
        <v>0</v>
      </c>
      <c r="AO799" s="28">
        <v>0.43010752688172038</v>
      </c>
      <c r="AP799" s="28">
        <v>0.48387096774193539</v>
      </c>
      <c r="AQ799" s="28">
        <v>8.6021505376344079E-2</v>
      </c>
      <c r="AR799" s="28">
        <v>0</v>
      </c>
      <c r="AS799" s="25">
        <v>1.1000000000000001</v>
      </c>
      <c r="AT799" s="25">
        <v>3.44</v>
      </c>
      <c r="AU799" s="25">
        <v>2.34</v>
      </c>
      <c r="AV799" s="25">
        <v>2.609130434782609</v>
      </c>
      <c r="AW799">
        <v>2.609130434782609</v>
      </c>
      <c r="AX799">
        <v>6.4538308176133041</v>
      </c>
      <c r="AY799" s="75"/>
      <c r="AZ799" s="75"/>
      <c r="BA799" s="75"/>
      <c r="BB799">
        <v>3.7150647155914547E-2</v>
      </c>
      <c r="BF799">
        <v>7.4301294311829108E-2</v>
      </c>
      <c r="BG799">
        <v>3.7150647155914547E-2</v>
      </c>
      <c r="BH799">
        <v>0</v>
      </c>
      <c r="BI799" s="79" t="s">
        <v>1264</v>
      </c>
      <c r="BJ799" s="79">
        <v>1373</v>
      </c>
      <c r="BK799" s="79">
        <v>12</v>
      </c>
      <c r="BM799" s="79" t="s">
        <v>464</v>
      </c>
      <c r="BN799" s="79" t="s">
        <v>464</v>
      </c>
      <c r="BO799" s="79">
        <v>0</v>
      </c>
      <c r="BP799" s="79">
        <v>3.88</v>
      </c>
      <c r="BQ799" s="79">
        <v>0.5</v>
      </c>
      <c r="BR799" s="79">
        <v>1</v>
      </c>
      <c r="BS799" s="95" t="s">
        <v>464</v>
      </c>
      <c r="BT799" s="95" t="s">
        <v>464</v>
      </c>
      <c r="BU799" s="95" t="s">
        <v>1266</v>
      </c>
      <c r="BV799" s="95">
        <v>125</v>
      </c>
      <c r="BW799" s="95">
        <v>220</v>
      </c>
      <c r="BX799" s="95" t="s">
        <v>1287</v>
      </c>
      <c r="BY799" s="95">
        <f t="shared" si="222"/>
        <v>288</v>
      </c>
      <c r="BZ799" s="81">
        <v>3276</v>
      </c>
      <c r="CA799" s="2"/>
    </row>
    <row r="800" spans="1:79" x14ac:dyDescent="0.3">
      <c r="A800" s="2" t="s">
        <v>370</v>
      </c>
      <c r="B800" s="18" t="s">
        <v>1026</v>
      </c>
      <c r="C800" s="13"/>
      <c r="D800" s="2">
        <v>3.39</v>
      </c>
      <c r="E800" s="2" t="s">
        <v>380</v>
      </c>
      <c r="F800" s="9">
        <v>-1</v>
      </c>
      <c r="G800">
        <v>-1</v>
      </c>
      <c r="I800" s="2">
        <v>1</v>
      </c>
      <c r="J800" s="25">
        <v>0</v>
      </c>
      <c r="K800">
        <v>0</v>
      </c>
      <c r="L800">
        <v>0</v>
      </c>
      <c r="M800" s="2">
        <v>3.82</v>
      </c>
      <c r="N800" s="2">
        <v>3.82</v>
      </c>
      <c r="O800" s="2">
        <v>20.2</v>
      </c>
      <c r="P800" s="2" t="s">
        <v>519</v>
      </c>
      <c r="Q800" s="2">
        <v>20.2</v>
      </c>
      <c r="R800" s="25">
        <v>0</v>
      </c>
      <c r="U800">
        <v>0</v>
      </c>
      <c r="X800">
        <v>0</v>
      </c>
      <c r="AA800" s="2"/>
      <c r="AB800">
        <v>20</v>
      </c>
      <c r="AC800" s="55">
        <f t="shared" si="223"/>
        <v>294.76648</v>
      </c>
      <c r="AD800" s="57">
        <v>0</v>
      </c>
      <c r="AE800" s="55">
        <v>0</v>
      </c>
      <c r="AF800" s="55">
        <v>0</v>
      </c>
      <c r="AG800" s="52">
        <f t="shared" si="220"/>
        <v>6.7850320022819419E-2</v>
      </c>
      <c r="AH800" s="52"/>
      <c r="AI800" s="52"/>
      <c r="AJ800" s="52"/>
      <c r="AK800" s="28">
        <v>1.6923076923076921</v>
      </c>
      <c r="AL800" s="28">
        <v>1.8076923076923079</v>
      </c>
      <c r="AM800" s="28">
        <v>0.30769230769230771</v>
      </c>
      <c r="AN800" s="28">
        <v>0</v>
      </c>
      <c r="AO800" s="28">
        <v>0.44444444444444448</v>
      </c>
      <c r="AP800" s="28">
        <v>0.47474747474747481</v>
      </c>
      <c r="AQ800" s="28">
        <v>8.0808080808080815E-2</v>
      </c>
      <c r="AR800" s="28">
        <v>0</v>
      </c>
      <c r="AS800" s="25">
        <v>1.1000000000000001</v>
      </c>
      <c r="AT800" s="25">
        <v>3.44</v>
      </c>
      <c r="AU800" s="25">
        <v>2.34</v>
      </c>
      <c r="AV800" s="25">
        <v>2.5753846153846158</v>
      </c>
      <c r="AW800">
        <v>2.5753846153846149</v>
      </c>
      <c r="AX800">
        <v>6.5020131619541548</v>
      </c>
      <c r="AY800" s="75"/>
      <c r="AZ800" s="75"/>
      <c r="BA800" s="75"/>
      <c r="BB800">
        <v>3.3925160011409709E-2</v>
      </c>
      <c r="BF800">
        <v>6.7850320022819419E-2</v>
      </c>
      <c r="BG800">
        <v>3.3925160011409709E-2</v>
      </c>
      <c r="BH800">
        <v>0</v>
      </c>
      <c r="BI800" s="79" t="s">
        <v>1264</v>
      </c>
      <c r="BJ800" s="79">
        <v>1373</v>
      </c>
      <c r="BK800" s="79">
        <v>12</v>
      </c>
      <c r="BM800" s="79" t="s">
        <v>464</v>
      </c>
      <c r="BN800" s="79" t="s">
        <v>464</v>
      </c>
      <c r="BO800" s="79">
        <v>0</v>
      </c>
      <c r="BQ800" s="79">
        <v>0.5</v>
      </c>
      <c r="BR800" s="79">
        <v>1</v>
      </c>
      <c r="BS800" s="95" t="s">
        <v>464</v>
      </c>
      <c r="BT800" s="95" t="s">
        <v>464</v>
      </c>
      <c r="BU800" s="95" t="s">
        <v>1266</v>
      </c>
      <c r="BV800" s="95">
        <v>125</v>
      </c>
      <c r="BW800" s="95">
        <v>220</v>
      </c>
      <c r="BX800" s="95" t="s">
        <v>1287</v>
      </c>
      <c r="BY800" s="95">
        <f t="shared" si="222"/>
        <v>288</v>
      </c>
      <c r="BZ800" s="81">
        <v>2464</v>
      </c>
      <c r="CA800" s="2"/>
    </row>
    <row r="801" spans="1:79" x14ac:dyDescent="0.3">
      <c r="A801" s="2" t="s">
        <v>371</v>
      </c>
      <c r="B801" s="18" t="s">
        <v>1035</v>
      </c>
      <c r="C801" s="13"/>
      <c r="D801" s="2">
        <v>3.4</v>
      </c>
      <c r="E801" s="2" t="s">
        <v>380</v>
      </c>
      <c r="F801" s="9">
        <v>-1</v>
      </c>
      <c r="G801">
        <v>-1</v>
      </c>
      <c r="I801" s="2">
        <v>1</v>
      </c>
      <c r="J801" s="25">
        <v>0</v>
      </c>
      <c r="K801">
        <v>0</v>
      </c>
      <c r="L801">
        <v>0</v>
      </c>
      <c r="M801" s="2">
        <v>3.82</v>
      </c>
      <c r="N801" s="2">
        <v>3.82</v>
      </c>
      <c r="O801" s="2">
        <v>21.7</v>
      </c>
      <c r="P801" s="2" t="s">
        <v>519</v>
      </c>
      <c r="Q801" s="2">
        <v>21.7</v>
      </c>
      <c r="R801" s="25">
        <v>0</v>
      </c>
      <c r="U801">
        <v>0</v>
      </c>
      <c r="X801">
        <v>0</v>
      </c>
      <c r="AA801" s="2"/>
      <c r="AB801">
        <v>20</v>
      </c>
      <c r="AC801" s="55">
        <f t="shared" si="223"/>
        <v>316.65508</v>
      </c>
      <c r="AD801" s="57">
        <v>0</v>
      </c>
      <c r="AE801" s="55">
        <v>0</v>
      </c>
      <c r="AF801" s="55">
        <v>0</v>
      </c>
      <c r="AG801" s="52">
        <f t="shared" si="220"/>
        <v>6.3160205735527761E-2</v>
      </c>
      <c r="AH801" s="52"/>
      <c r="AI801" s="52"/>
      <c r="AJ801" s="52"/>
      <c r="AK801" s="28">
        <v>1.655172413793103</v>
      </c>
      <c r="AL801" s="28">
        <v>1.6896551724137929</v>
      </c>
      <c r="AM801" s="28">
        <v>0.27586206896551718</v>
      </c>
      <c r="AN801" s="28">
        <v>0</v>
      </c>
      <c r="AO801" s="28">
        <v>0.45714285714285707</v>
      </c>
      <c r="AP801" s="28">
        <v>0.46666666666666667</v>
      </c>
      <c r="AQ801" s="28">
        <v>7.6190476190476197E-2</v>
      </c>
      <c r="AR801" s="28">
        <v>0</v>
      </c>
      <c r="AS801" s="25">
        <v>1.1000000000000001</v>
      </c>
      <c r="AT801" s="25">
        <v>3.44</v>
      </c>
      <c r="AU801" s="25">
        <v>2.34</v>
      </c>
      <c r="AV801" s="25">
        <v>2.5486206896551722</v>
      </c>
      <c r="AW801">
        <v>2.5486206896551722</v>
      </c>
      <c r="AX801">
        <v>6.5402267453968976</v>
      </c>
      <c r="AY801" s="75"/>
      <c r="AZ801" s="75"/>
      <c r="BA801" s="75"/>
      <c r="BB801">
        <v>3.158010286776388E-2</v>
      </c>
      <c r="BF801">
        <v>6.3160205735527761E-2</v>
      </c>
      <c r="BG801">
        <v>3.158010286776388E-2</v>
      </c>
      <c r="BH801">
        <v>0</v>
      </c>
      <c r="BI801" s="79" t="s">
        <v>1264</v>
      </c>
      <c r="BJ801" s="79">
        <v>1373</v>
      </c>
      <c r="BK801" s="79">
        <v>12</v>
      </c>
      <c r="BM801" s="79" t="s">
        <v>464</v>
      </c>
      <c r="BN801" s="79" t="s">
        <v>464</v>
      </c>
      <c r="BO801" s="79">
        <v>0</v>
      </c>
      <c r="BQ801" s="79">
        <v>0.5</v>
      </c>
      <c r="BR801" s="79">
        <v>1</v>
      </c>
      <c r="BS801" s="95" t="s">
        <v>464</v>
      </c>
      <c r="BT801" s="95" t="s">
        <v>464</v>
      </c>
      <c r="BU801" s="95" t="s">
        <v>1266</v>
      </c>
      <c r="BV801" s="95">
        <v>125</v>
      </c>
      <c r="BW801" s="95">
        <v>220</v>
      </c>
      <c r="BX801" s="95" t="s">
        <v>1287</v>
      </c>
      <c r="BY801" s="95">
        <f t="shared" si="222"/>
        <v>288</v>
      </c>
      <c r="BZ801" s="81">
        <v>1835.9999999999998</v>
      </c>
      <c r="CA801" s="2"/>
    </row>
    <row r="802" spans="1:79" x14ac:dyDescent="0.3">
      <c r="A802" s="2" t="s">
        <v>372</v>
      </c>
      <c r="B802" s="18" t="s">
        <v>1036</v>
      </c>
      <c r="C802" s="13"/>
      <c r="D802" s="2">
        <v>3.42</v>
      </c>
      <c r="E802" s="2" t="s">
        <v>380</v>
      </c>
      <c r="F802" s="9">
        <v>-1</v>
      </c>
      <c r="G802">
        <v>-1</v>
      </c>
      <c r="I802" s="2">
        <v>1</v>
      </c>
      <c r="J802" s="25">
        <v>0</v>
      </c>
      <c r="K802">
        <v>0</v>
      </c>
      <c r="L802">
        <v>0</v>
      </c>
      <c r="M802" s="2">
        <v>3.81</v>
      </c>
      <c r="N802" s="2">
        <v>3.81</v>
      </c>
      <c r="O802" s="2">
        <v>24.7</v>
      </c>
      <c r="P802" s="2" t="s">
        <v>519</v>
      </c>
      <c r="Q802" s="2">
        <v>24.7</v>
      </c>
      <c r="R802" s="25">
        <v>0</v>
      </c>
      <c r="U802">
        <v>0</v>
      </c>
      <c r="X802">
        <v>0</v>
      </c>
      <c r="AA802" s="2"/>
      <c r="AB802">
        <v>20</v>
      </c>
      <c r="AC802" s="55">
        <f t="shared" si="223"/>
        <v>358.54766999999998</v>
      </c>
      <c r="AD802" s="57">
        <v>0</v>
      </c>
      <c r="AE802" s="55">
        <v>0</v>
      </c>
      <c r="AF802" s="55">
        <v>0</v>
      </c>
      <c r="AG802" s="52">
        <f t="shared" si="220"/>
        <v>5.5780588394285201E-2</v>
      </c>
      <c r="AH802" s="52"/>
      <c r="AI802" s="52"/>
      <c r="AJ802" s="52"/>
      <c r="AK802" s="28">
        <v>1.625</v>
      </c>
      <c r="AL802" s="28">
        <v>1.59375</v>
      </c>
      <c r="AM802" s="28">
        <v>0.25</v>
      </c>
      <c r="AN802" s="28">
        <v>0</v>
      </c>
      <c r="AO802" s="28">
        <v>0.46846846846846851</v>
      </c>
      <c r="AP802" s="28">
        <v>0.45945945945945948</v>
      </c>
      <c r="AQ802" s="28">
        <v>7.2072072072072071E-2</v>
      </c>
      <c r="AR802" s="28">
        <v>0</v>
      </c>
      <c r="AS802" s="25">
        <v>1.1000000000000001</v>
      </c>
      <c r="AT802" s="25">
        <v>3.44</v>
      </c>
      <c r="AU802" s="25">
        <v>2.34</v>
      </c>
      <c r="AV802" s="25">
        <v>2.526875</v>
      </c>
      <c r="AW802">
        <v>2.526875</v>
      </c>
      <c r="AX802">
        <v>6.5712752819441249</v>
      </c>
      <c r="AY802" s="75"/>
      <c r="AZ802" s="75"/>
      <c r="BA802" s="75"/>
      <c r="BB802">
        <v>2.78902941971426E-2</v>
      </c>
      <c r="BF802">
        <v>5.5780588394285201E-2</v>
      </c>
      <c r="BG802">
        <v>2.78902941971426E-2</v>
      </c>
      <c r="BH802">
        <v>0</v>
      </c>
      <c r="BI802" s="79" t="s">
        <v>1264</v>
      </c>
      <c r="BJ802" s="79">
        <v>1373</v>
      </c>
      <c r="BK802" s="79">
        <v>12</v>
      </c>
      <c r="BM802" s="79" t="s">
        <v>464</v>
      </c>
      <c r="BN802" s="79" t="s">
        <v>464</v>
      </c>
      <c r="BO802" s="79">
        <v>0</v>
      </c>
      <c r="BP802" s="79">
        <v>4.09</v>
      </c>
      <c r="BQ802" s="79">
        <v>0.5</v>
      </c>
      <c r="BR802" s="79">
        <v>1</v>
      </c>
      <c r="BS802" s="95" t="s">
        <v>464</v>
      </c>
      <c r="BT802" s="95" t="s">
        <v>464</v>
      </c>
      <c r="BU802" s="95" t="s">
        <v>1266</v>
      </c>
      <c r="BV802" s="95">
        <v>125</v>
      </c>
      <c r="BW802" s="95">
        <v>220</v>
      </c>
      <c r="BX802" s="95" t="s">
        <v>1287</v>
      </c>
      <c r="BY802" s="95">
        <f t="shared" si="222"/>
        <v>288</v>
      </c>
      <c r="BZ802" s="81">
        <v>2891.9999999999995</v>
      </c>
      <c r="CA802" s="2"/>
    </row>
    <row r="803" spans="1:79" x14ac:dyDescent="0.3">
      <c r="A803" s="2" t="s">
        <v>373</v>
      </c>
      <c r="B803" s="18" t="s">
        <v>1037</v>
      </c>
      <c r="C803" s="13"/>
      <c r="D803" s="2">
        <v>3.41</v>
      </c>
      <c r="E803" s="2" t="s">
        <v>380</v>
      </c>
      <c r="F803" s="9">
        <v>-1</v>
      </c>
      <c r="G803">
        <v>-1</v>
      </c>
      <c r="I803" s="2">
        <v>1</v>
      </c>
      <c r="J803" s="25">
        <v>0</v>
      </c>
      <c r="K803">
        <v>0</v>
      </c>
      <c r="L803">
        <v>0</v>
      </c>
      <c r="M803" s="2">
        <v>3.87</v>
      </c>
      <c r="N803" s="2">
        <v>3.87</v>
      </c>
      <c r="O803" s="2">
        <v>29.4</v>
      </c>
      <c r="P803" s="2" t="s">
        <v>519</v>
      </c>
      <c r="Q803" s="2">
        <v>29.4</v>
      </c>
      <c r="R803" s="25">
        <v>0</v>
      </c>
      <c r="U803">
        <v>0</v>
      </c>
      <c r="X803">
        <v>0</v>
      </c>
      <c r="AA803" s="2"/>
      <c r="AB803">
        <v>20</v>
      </c>
      <c r="AC803" s="55">
        <f t="shared" si="223"/>
        <v>440.32085999999998</v>
      </c>
      <c r="AD803" s="57">
        <v>0</v>
      </c>
      <c r="AE803" s="55">
        <v>0</v>
      </c>
      <c r="AF803" s="55">
        <v>0</v>
      </c>
      <c r="AG803" s="52">
        <f t="shared" si="220"/>
        <v>4.5421422914190351E-2</v>
      </c>
      <c r="AH803" s="52"/>
      <c r="AI803" s="52"/>
      <c r="AJ803" s="52"/>
      <c r="AK803" s="28">
        <v>1.5789473684210531</v>
      </c>
      <c r="AL803" s="28">
        <v>1.4473684210526321</v>
      </c>
      <c r="AM803" s="28">
        <v>0.2105263157894737</v>
      </c>
      <c r="AN803" s="28">
        <v>0</v>
      </c>
      <c r="AO803" s="28">
        <v>0.48780487804878048</v>
      </c>
      <c r="AP803" s="28">
        <v>0.44715447154471538</v>
      </c>
      <c r="AQ803" s="28">
        <v>6.5040650406504058E-2</v>
      </c>
      <c r="AR803" s="28">
        <v>0</v>
      </c>
      <c r="AS803" s="25">
        <v>1.1000000000000001</v>
      </c>
      <c r="AT803" s="25">
        <v>3.44</v>
      </c>
      <c r="AU803" s="25">
        <v>2.34</v>
      </c>
      <c r="AV803" s="25">
        <v>2.4936842105263159</v>
      </c>
      <c r="AW803">
        <v>2.4936842105263159</v>
      </c>
      <c r="AX803">
        <v>6.6186651535162104</v>
      </c>
      <c r="AY803" s="75"/>
      <c r="AZ803" s="75"/>
      <c r="BA803" s="75"/>
      <c r="BB803">
        <v>2.2710711457095179E-2</v>
      </c>
      <c r="BF803">
        <v>4.5421422914190351E-2</v>
      </c>
      <c r="BG803">
        <v>2.2710711457095179E-2</v>
      </c>
      <c r="BH803">
        <v>0</v>
      </c>
      <c r="BI803" s="79" t="s">
        <v>1264</v>
      </c>
      <c r="BJ803" s="79">
        <v>1373</v>
      </c>
      <c r="BK803" s="79">
        <v>12</v>
      </c>
      <c r="BM803" s="79" t="s">
        <v>464</v>
      </c>
      <c r="BN803" s="79" t="s">
        <v>464</v>
      </c>
      <c r="BO803" s="79">
        <v>0</v>
      </c>
      <c r="BQ803" s="79">
        <v>0.5</v>
      </c>
      <c r="BR803" s="79">
        <v>1</v>
      </c>
      <c r="BS803" s="95" t="s">
        <v>464</v>
      </c>
      <c r="BT803" s="95" t="s">
        <v>464</v>
      </c>
      <c r="BU803" s="95" t="s">
        <v>1266</v>
      </c>
      <c r="BV803" s="95">
        <v>125</v>
      </c>
      <c r="BW803" s="95">
        <v>220</v>
      </c>
      <c r="BX803" s="95" t="s">
        <v>1287</v>
      </c>
      <c r="BY803" s="95">
        <f t="shared" si="222"/>
        <v>288</v>
      </c>
      <c r="BZ803" s="81">
        <v>2151.9999999999995</v>
      </c>
      <c r="CA803" s="2"/>
    </row>
    <row r="804" spans="1:79" x14ac:dyDescent="0.3">
      <c r="A804" s="2" t="s">
        <v>374</v>
      </c>
      <c r="B804" s="18" t="s">
        <v>1038</v>
      </c>
      <c r="C804" s="13"/>
      <c r="D804" s="2">
        <v>3.4</v>
      </c>
      <c r="E804" s="2" t="s">
        <v>380</v>
      </c>
      <c r="F804" s="9">
        <v>-1</v>
      </c>
      <c r="G804">
        <v>-1</v>
      </c>
      <c r="I804" s="2">
        <v>1</v>
      </c>
      <c r="J804" s="25">
        <v>0</v>
      </c>
      <c r="K804">
        <v>0</v>
      </c>
      <c r="L804">
        <v>0</v>
      </c>
      <c r="M804" s="2">
        <v>3.85</v>
      </c>
      <c r="N804" s="2">
        <v>3.85</v>
      </c>
      <c r="O804" s="2">
        <v>34.200000000000003</v>
      </c>
      <c r="P804" s="2" t="s">
        <v>519</v>
      </c>
      <c r="Q804" s="2">
        <v>34.200000000000003</v>
      </c>
      <c r="R804" s="25">
        <v>0</v>
      </c>
      <c r="U804">
        <v>0</v>
      </c>
      <c r="X804">
        <v>0</v>
      </c>
      <c r="AA804" s="2"/>
      <c r="AB804">
        <v>20</v>
      </c>
      <c r="AC804" s="55">
        <f t="shared" si="223"/>
        <v>506.92950000000008</v>
      </c>
      <c r="AD804" s="57">
        <v>0</v>
      </c>
      <c r="AE804" s="55">
        <v>0</v>
      </c>
      <c r="AF804" s="55">
        <v>0</v>
      </c>
      <c r="AG804" s="52">
        <f t="shared" si="220"/>
        <v>3.9453217853764669E-2</v>
      </c>
      <c r="AH804" s="52"/>
      <c r="AI804" s="52"/>
      <c r="AJ804" s="52"/>
      <c r="AK804" s="28">
        <v>1.545454545454545</v>
      </c>
      <c r="AL804" s="28">
        <v>1.3409090909090911</v>
      </c>
      <c r="AM804" s="28">
        <v>0.1818181818181818</v>
      </c>
      <c r="AN804" s="28">
        <v>0</v>
      </c>
      <c r="AO804" s="28">
        <v>0.50370370370370365</v>
      </c>
      <c r="AP804" s="28">
        <v>0.437037037037037</v>
      </c>
      <c r="AQ804" s="28">
        <v>5.9259259259259248E-2</v>
      </c>
      <c r="AR804" s="28">
        <v>0</v>
      </c>
      <c r="AS804" s="25">
        <v>1.1000000000000001</v>
      </c>
      <c r="AT804" s="25">
        <v>3.44</v>
      </c>
      <c r="AU804" s="25">
        <v>2.34</v>
      </c>
      <c r="AV804" s="25">
        <v>2.4695454545454552</v>
      </c>
      <c r="AW804">
        <v>2.4695454545454538</v>
      </c>
      <c r="AX804">
        <v>6.6531305146595452</v>
      </c>
      <c r="AY804" s="75"/>
      <c r="AZ804" s="75"/>
      <c r="BA804" s="75"/>
      <c r="BB804">
        <v>1.9726608926882331E-2</v>
      </c>
      <c r="BF804">
        <v>3.9453217853764669E-2</v>
      </c>
      <c r="BG804">
        <v>1.9726608926882331E-2</v>
      </c>
      <c r="BH804">
        <v>0</v>
      </c>
      <c r="BI804" s="79" t="s">
        <v>1264</v>
      </c>
      <c r="BJ804" s="79">
        <v>1373</v>
      </c>
      <c r="BK804" s="79">
        <v>12</v>
      </c>
      <c r="BM804" s="79" t="s">
        <v>464</v>
      </c>
      <c r="BN804" s="79" t="s">
        <v>464</v>
      </c>
      <c r="BO804" s="79">
        <v>0</v>
      </c>
      <c r="BP804" s="79">
        <v>4.38</v>
      </c>
      <c r="BQ804" s="79">
        <v>0.5</v>
      </c>
      <c r="BR804" s="79">
        <v>1</v>
      </c>
      <c r="BS804" s="95" t="s">
        <v>464</v>
      </c>
      <c r="BT804" s="95" t="s">
        <v>464</v>
      </c>
      <c r="BU804" s="95" t="s">
        <v>1266</v>
      </c>
      <c r="BV804" s="95">
        <v>125</v>
      </c>
      <c r="BW804" s="95">
        <v>220</v>
      </c>
      <c r="BX804" s="95" t="s">
        <v>1287</v>
      </c>
      <c r="BY804" s="95">
        <f t="shared" si="222"/>
        <v>288</v>
      </c>
      <c r="BZ804" s="81">
        <v>5960</v>
      </c>
      <c r="CA804" s="2"/>
    </row>
    <row r="805" spans="1:79" x14ac:dyDescent="0.3">
      <c r="A805" s="2" t="s">
        <v>375</v>
      </c>
      <c r="B805" s="18" t="s">
        <v>1039</v>
      </c>
      <c r="C805" s="13"/>
      <c r="D805" s="2">
        <v>3.33</v>
      </c>
      <c r="E805" s="2" t="s">
        <v>380</v>
      </c>
      <c r="F805" s="9">
        <v>-1</v>
      </c>
      <c r="G805">
        <v>-1</v>
      </c>
      <c r="I805" s="2">
        <v>2</v>
      </c>
      <c r="J805" s="25">
        <v>0</v>
      </c>
      <c r="K805">
        <v>0</v>
      </c>
      <c r="L805">
        <v>0</v>
      </c>
      <c r="M805" s="2">
        <v>3.81</v>
      </c>
      <c r="N805" s="2">
        <v>3.81</v>
      </c>
      <c r="O805" s="2">
        <v>35.1</v>
      </c>
      <c r="P805" s="2" t="s">
        <v>519</v>
      </c>
      <c r="Q805" s="2">
        <v>17.600000000000001</v>
      </c>
      <c r="R805" s="25">
        <v>0</v>
      </c>
      <c r="U805">
        <v>0</v>
      </c>
      <c r="X805">
        <v>0</v>
      </c>
      <c r="AA805" s="2"/>
      <c r="AB805">
        <v>20</v>
      </c>
      <c r="AC805" s="55">
        <f t="shared" si="223"/>
        <v>509.51510999999999</v>
      </c>
      <c r="AD805" s="57">
        <v>0</v>
      </c>
      <c r="AE805" s="55">
        <v>0</v>
      </c>
      <c r="AF805" s="55">
        <v>0</v>
      </c>
      <c r="AG805" s="52">
        <f t="shared" si="220"/>
        <v>7.8506013295660648E-2</v>
      </c>
      <c r="AH805" s="52"/>
      <c r="AI805" s="52"/>
      <c r="AJ805" s="52"/>
      <c r="AK805" s="28">
        <v>1.7727272727272729</v>
      </c>
      <c r="AL805" s="28">
        <v>2.0909090909090908</v>
      </c>
      <c r="AM805" s="28">
        <v>0.36363636363636359</v>
      </c>
      <c r="AN805" s="28">
        <v>0</v>
      </c>
      <c r="AO805" s="28">
        <v>0.41935483870967738</v>
      </c>
      <c r="AP805" s="28">
        <v>0.49462365591397839</v>
      </c>
      <c r="AQ805" s="28">
        <v>8.6021505376344079E-2</v>
      </c>
      <c r="AR805" s="28">
        <v>0</v>
      </c>
      <c r="AS805" s="25">
        <v>1.1000000000000001</v>
      </c>
      <c r="AT805" s="25">
        <v>3.44</v>
      </c>
      <c r="AU805" s="25">
        <v>2.34</v>
      </c>
      <c r="AV805" s="25">
        <v>2.645909090909091</v>
      </c>
      <c r="AW805">
        <v>2.645909090909091</v>
      </c>
      <c r="AX805">
        <v>6.4349594388752269</v>
      </c>
      <c r="AY805" s="75"/>
      <c r="AZ805" s="75"/>
      <c r="BA805" s="75"/>
      <c r="BB805">
        <v>4.3178307312613358E-2</v>
      </c>
      <c r="BF805">
        <v>7.8506013295660648E-2</v>
      </c>
      <c r="BG805">
        <v>4.3178307312613358E-2</v>
      </c>
      <c r="BH805">
        <v>0</v>
      </c>
      <c r="BI805" s="79" t="s">
        <v>1264</v>
      </c>
      <c r="BJ805" s="79">
        <v>1373</v>
      </c>
      <c r="BK805" s="79">
        <v>12</v>
      </c>
      <c r="BM805" s="79" t="s">
        <v>464</v>
      </c>
      <c r="BN805" s="79" t="s">
        <v>464</v>
      </c>
      <c r="BO805" s="79">
        <v>0</v>
      </c>
      <c r="BP805" s="79">
        <v>5.73</v>
      </c>
      <c r="BQ805" s="79">
        <v>0.5</v>
      </c>
      <c r="BR805" s="79">
        <v>1</v>
      </c>
      <c r="BS805" s="95" t="s">
        <v>464</v>
      </c>
      <c r="BT805" s="95" t="s">
        <v>464</v>
      </c>
      <c r="BU805" s="95" t="s">
        <v>1266</v>
      </c>
      <c r="BV805" s="95">
        <v>125</v>
      </c>
      <c r="BW805" s="95">
        <v>220</v>
      </c>
      <c r="BX805" s="95" t="s">
        <v>1287</v>
      </c>
      <c r="BY805" s="95">
        <f t="shared" si="222"/>
        <v>288</v>
      </c>
      <c r="BZ805" s="81">
        <v>3711.9999999999995</v>
      </c>
      <c r="CA805" s="2"/>
    </row>
    <row r="806" spans="1:79" x14ac:dyDescent="0.3">
      <c r="A806" s="2" t="s">
        <v>376</v>
      </c>
      <c r="B806" s="18" t="s">
        <v>1027</v>
      </c>
      <c r="C806" s="13"/>
      <c r="D806" s="2">
        <v>3.41</v>
      </c>
      <c r="E806" s="2" t="s">
        <v>380</v>
      </c>
      <c r="F806" s="9">
        <v>-1</v>
      </c>
      <c r="G806">
        <v>-1</v>
      </c>
      <c r="I806" s="2">
        <v>2</v>
      </c>
      <c r="J806" s="25">
        <v>0</v>
      </c>
      <c r="K806">
        <v>0</v>
      </c>
      <c r="L806">
        <v>0</v>
      </c>
      <c r="M806" s="2">
        <v>3.83</v>
      </c>
      <c r="N806" s="2">
        <v>3.83</v>
      </c>
      <c r="O806" s="2">
        <v>39.5</v>
      </c>
      <c r="P806" s="2" t="s">
        <v>519</v>
      </c>
      <c r="Q806" s="2">
        <v>19.8</v>
      </c>
      <c r="R806" s="25">
        <v>0</v>
      </c>
      <c r="U806">
        <v>0</v>
      </c>
      <c r="X806">
        <v>0</v>
      </c>
      <c r="AA806" s="2"/>
      <c r="AB806">
        <v>20</v>
      </c>
      <c r="AC806" s="55">
        <f t="shared" si="223"/>
        <v>579.42155000000002</v>
      </c>
      <c r="AD806" s="57">
        <v>0</v>
      </c>
      <c r="AE806" s="55">
        <v>0</v>
      </c>
      <c r="AF806" s="55">
        <v>0</v>
      </c>
      <c r="AG806" s="52">
        <f t="shared" si="220"/>
        <v>6.9034367120104523E-2</v>
      </c>
      <c r="AH806" s="52"/>
      <c r="AI806" s="52"/>
      <c r="AJ806" s="52"/>
      <c r="AK806" s="28">
        <v>1.72</v>
      </c>
      <c r="AL806" s="28">
        <v>1.92</v>
      </c>
      <c r="AM806" s="28">
        <v>0.32</v>
      </c>
      <c r="AN806" s="28">
        <v>0</v>
      </c>
      <c r="AO806" s="28">
        <v>0.43434343434343442</v>
      </c>
      <c r="AP806" s="28">
        <v>0.48484848484848492</v>
      </c>
      <c r="AQ806" s="28">
        <v>8.0808080808080815E-2</v>
      </c>
      <c r="AR806" s="28">
        <v>0</v>
      </c>
      <c r="AS806" s="25">
        <v>1.1000000000000001</v>
      </c>
      <c r="AT806" s="25">
        <v>3.44</v>
      </c>
      <c r="AU806" s="25">
        <v>2.34</v>
      </c>
      <c r="AV806" s="25">
        <v>2.6063999999999998</v>
      </c>
      <c r="AW806">
        <v>2.6063999999999998</v>
      </c>
      <c r="AX806">
        <v>6.4873336424382799</v>
      </c>
      <c r="AY806" s="75"/>
      <c r="AZ806" s="75"/>
      <c r="BA806" s="75"/>
      <c r="BB806">
        <v>3.7968901916057493E-2</v>
      </c>
      <c r="BF806">
        <v>6.9034367120104523E-2</v>
      </c>
      <c r="BG806">
        <v>3.7968901916057493E-2</v>
      </c>
      <c r="BH806">
        <v>0</v>
      </c>
      <c r="BI806" s="79" t="s">
        <v>1264</v>
      </c>
      <c r="BJ806" s="79">
        <v>1373</v>
      </c>
      <c r="BK806" s="79">
        <v>12</v>
      </c>
      <c r="BM806" s="79" t="s">
        <v>464</v>
      </c>
      <c r="BN806" s="79" t="s">
        <v>464</v>
      </c>
      <c r="BO806" s="79">
        <v>0</v>
      </c>
      <c r="BQ806" s="79">
        <v>0.5</v>
      </c>
      <c r="BR806" s="79">
        <v>1</v>
      </c>
      <c r="BS806" s="95" t="s">
        <v>464</v>
      </c>
      <c r="BT806" s="95" t="s">
        <v>464</v>
      </c>
      <c r="BU806" s="95" t="s">
        <v>1266</v>
      </c>
      <c r="BV806" s="95">
        <v>125</v>
      </c>
      <c r="BW806" s="95">
        <v>220</v>
      </c>
      <c r="BX806" s="95" t="s">
        <v>1287</v>
      </c>
      <c r="BY806" s="95">
        <f t="shared" si="222"/>
        <v>288</v>
      </c>
      <c r="BZ806" s="81">
        <v>3140</v>
      </c>
      <c r="CA806" s="2"/>
    </row>
    <row r="807" spans="1:79" x14ac:dyDescent="0.3">
      <c r="A807" s="2" t="s">
        <v>377</v>
      </c>
      <c r="B807" s="18" t="s">
        <v>1040</v>
      </c>
      <c r="C807" s="13"/>
      <c r="D807" s="2">
        <v>3.38</v>
      </c>
      <c r="E807" s="2" t="s">
        <v>380</v>
      </c>
      <c r="F807" s="9">
        <v>-1</v>
      </c>
      <c r="G807">
        <v>-1</v>
      </c>
      <c r="I807" s="2">
        <v>2</v>
      </c>
      <c r="J807" s="25">
        <v>0</v>
      </c>
      <c r="K807">
        <v>0</v>
      </c>
      <c r="L807">
        <v>0</v>
      </c>
      <c r="M807" s="2">
        <v>3.83</v>
      </c>
      <c r="N807" s="2">
        <v>3.83</v>
      </c>
      <c r="O807" s="2">
        <v>44.2</v>
      </c>
      <c r="P807" s="2" t="s">
        <v>519</v>
      </c>
      <c r="Q807" s="2">
        <v>22.1</v>
      </c>
      <c r="R807" s="25">
        <v>0</v>
      </c>
      <c r="U807">
        <v>0</v>
      </c>
      <c r="X807">
        <v>0</v>
      </c>
      <c r="AA807" s="2"/>
      <c r="AB807">
        <v>20</v>
      </c>
      <c r="AC807" s="55">
        <f t="shared" si="223"/>
        <v>648.36538000000007</v>
      </c>
      <c r="AD807" s="57">
        <v>0</v>
      </c>
      <c r="AE807" s="55">
        <v>0</v>
      </c>
      <c r="AF807" s="55">
        <v>0</v>
      </c>
      <c r="AG807" s="52">
        <f t="shared" si="220"/>
        <v>6.1693608625432772E-2</v>
      </c>
      <c r="AH807" s="52"/>
      <c r="AI807" s="52"/>
      <c r="AJ807" s="52"/>
      <c r="AK807" s="28">
        <v>1.678571428571429</v>
      </c>
      <c r="AL807" s="28">
        <v>1.785714285714286</v>
      </c>
      <c r="AM807" s="28">
        <v>0.2857142857142857</v>
      </c>
      <c r="AN807" s="28">
        <v>0</v>
      </c>
      <c r="AO807" s="28">
        <v>0.44761904761904758</v>
      </c>
      <c r="AP807" s="28">
        <v>0.47619047619047622</v>
      </c>
      <c r="AQ807" s="28">
        <v>7.6190476190476183E-2</v>
      </c>
      <c r="AR807" s="28">
        <v>0</v>
      </c>
      <c r="AS807" s="25">
        <v>1.1000000000000001</v>
      </c>
      <c r="AT807" s="25">
        <v>3.44</v>
      </c>
      <c r="AU807" s="25">
        <v>2.34</v>
      </c>
      <c r="AV807" s="25">
        <v>2.5753571428571429</v>
      </c>
      <c r="AW807">
        <v>2.5753571428571429</v>
      </c>
      <c r="AX807">
        <v>6.5284848023806781</v>
      </c>
      <c r="AY807" s="75"/>
      <c r="AZ807" s="75"/>
      <c r="BA807" s="75"/>
      <c r="BB807">
        <v>3.3931484743988022E-2</v>
      </c>
      <c r="BF807">
        <v>6.1693608625432772E-2</v>
      </c>
      <c r="BG807">
        <v>3.3931484743988022E-2</v>
      </c>
      <c r="BH807">
        <v>0</v>
      </c>
      <c r="BI807" s="79" t="s">
        <v>1264</v>
      </c>
      <c r="BJ807" s="79">
        <v>1373</v>
      </c>
      <c r="BK807" s="79">
        <v>12</v>
      </c>
      <c r="BM807" s="79" t="s">
        <v>464</v>
      </c>
      <c r="BN807" s="79" t="s">
        <v>464</v>
      </c>
      <c r="BO807" s="79">
        <v>0</v>
      </c>
      <c r="BQ807" s="79">
        <v>0.5</v>
      </c>
      <c r="BR807" s="79">
        <v>1</v>
      </c>
      <c r="BS807" s="95" t="s">
        <v>464</v>
      </c>
      <c r="BT807" s="95" t="s">
        <v>464</v>
      </c>
      <c r="BU807" s="95" t="s">
        <v>1266</v>
      </c>
      <c r="BV807" s="95">
        <v>125</v>
      </c>
      <c r="BW807" s="95">
        <v>220</v>
      </c>
      <c r="BX807" s="95" t="s">
        <v>1287</v>
      </c>
      <c r="BY807" s="95">
        <f t="shared" si="222"/>
        <v>288</v>
      </c>
      <c r="BZ807" s="81">
        <v>5520</v>
      </c>
      <c r="CA807" s="2"/>
    </row>
    <row r="808" spans="1:79" x14ac:dyDescent="0.3">
      <c r="A808" s="2" t="s">
        <v>378</v>
      </c>
      <c r="B808" s="18" t="s">
        <v>1041</v>
      </c>
      <c r="C808" s="13"/>
      <c r="D808" s="2">
        <v>3.4</v>
      </c>
      <c r="E808" s="2" t="s">
        <v>380</v>
      </c>
      <c r="F808" s="9">
        <v>-1</v>
      </c>
      <c r="G808">
        <v>-1</v>
      </c>
      <c r="I808" s="2">
        <v>2</v>
      </c>
      <c r="J808" s="25">
        <v>0</v>
      </c>
      <c r="K808">
        <v>0</v>
      </c>
      <c r="L808">
        <v>0</v>
      </c>
      <c r="M808" s="2">
        <v>3.82</v>
      </c>
      <c r="N808" s="2">
        <v>3.82</v>
      </c>
      <c r="O808" s="2">
        <v>48.5</v>
      </c>
      <c r="P808" s="2" t="s">
        <v>519</v>
      </c>
      <c r="Q808" s="2">
        <v>24.3</v>
      </c>
      <c r="R808" s="25">
        <v>0</v>
      </c>
      <c r="U808">
        <v>0</v>
      </c>
      <c r="X808">
        <v>0</v>
      </c>
      <c r="AA808" s="2"/>
      <c r="AB808">
        <v>20</v>
      </c>
      <c r="AC808" s="55">
        <f t="shared" si="223"/>
        <v>707.73140000000001</v>
      </c>
      <c r="AD808" s="57">
        <v>0</v>
      </c>
      <c r="AE808" s="55">
        <v>0</v>
      </c>
      <c r="AF808" s="55">
        <v>0</v>
      </c>
      <c r="AG808" s="52">
        <f t="shared" si="220"/>
        <v>5.6518617091173291E-2</v>
      </c>
      <c r="AH808" s="52"/>
      <c r="AI808" s="52"/>
      <c r="AJ808" s="52"/>
      <c r="AK808" s="28">
        <v>1.645161290322581</v>
      </c>
      <c r="AL808" s="28">
        <v>1.67741935483871</v>
      </c>
      <c r="AM808" s="28">
        <v>0.25806451612903231</v>
      </c>
      <c r="AN808" s="28">
        <v>0</v>
      </c>
      <c r="AO808" s="28">
        <v>0.45945945945945948</v>
      </c>
      <c r="AP808" s="28">
        <v>0.46846846846846851</v>
      </c>
      <c r="AQ808" s="28">
        <v>7.2072072072072071E-2</v>
      </c>
      <c r="AR808" s="28">
        <v>0</v>
      </c>
      <c r="AS808" s="25">
        <v>1.1000000000000001</v>
      </c>
      <c r="AT808" s="25">
        <v>3.44</v>
      </c>
      <c r="AU808" s="25">
        <v>2.34</v>
      </c>
      <c r="AV808" s="25">
        <v>2.5503225806451608</v>
      </c>
      <c r="AW808">
        <v>2.5503225806451608</v>
      </c>
      <c r="AX808">
        <v>6.5616712216890649</v>
      </c>
      <c r="AY808" s="75"/>
      <c r="AZ808" s="75"/>
      <c r="BA808" s="75"/>
      <c r="BB808">
        <v>3.108523940014531E-2</v>
      </c>
      <c r="BF808">
        <v>5.6518617091173291E-2</v>
      </c>
      <c r="BG808">
        <v>3.108523940014531E-2</v>
      </c>
      <c r="BH808">
        <v>0</v>
      </c>
      <c r="BI808" s="79" t="s">
        <v>1264</v>
      </c>
      <c r="BJ808" s="79">
        <v>1373</v>
      </c>
      <c r="BK808" s="79">
        <v>12</v>
      </c>
      <c r="BM808" s="79" t="s">
        <v>464</v>
      </c>
      <c r="BN808" s="79" t="s">
        <v>464</v>
      </c>
      <c r="BO808" s="79">
        <v>0</v>
      </c>
      <c r="BP808" s="79">
        <v>4.1900000000000004</v>
      </c>
      <c r="BQ808" s="79">
        <v>0.5</v>
      </c>
      <c r="BR808" s="79">
        <v>1</v>
      </c>
      <c r="BS808" s="95" t="s">
        <v>464</v>
      </c>
      <c r="BT808" s="95" t="s">
        <v>464</v>
      </c>
      <c r="BU808" s="95" t="s">
        <v>1266</v>
      </c>
      <c r="BV808" s="95">
        <v>125</v>
      </c>
      <c r="BW808" s="95">
        <v>220</v>
      </c>
      <c r="BX808" s="95" t="s">
        <v>1287</v>
      </c>
      <c r="BY808" s="95">
        <f t="shared" si="222"/>
        <v>288</v>
      </c>
      <c r="BZ808" s="81">
        <v>4560</v>
      </c>
      <c r="CA808" s="2"/>
    </row>
    <row r="809" spans="1:79" x14ac:dyDescent="0.3">
      <c r="A809" s="2" t="s">
        <v>379</v>
      </c>
      <c r="B809" s="18" t="s">
        <v>1042</v>
      </c>
      <c r="C809" s="13"/>
      <c r="D809" s="2">
        <v>3.4</v>
      </c>
      <c r="E809" s="2" t="s">
        <v>380</v>
      </c>
      <c r="F809" s="9">
        <v>-1</v>
      </c>
      <c r="G809">
        <v>-1</v>
      </c>
      <c r="I809" s="2">
        <v>1</v>
      </c>
      <c r="J809" s="25">
        <v>0</v>
      </c>
      <c r="K809">
        <v>0</v>
      </c>
      <c r="L809">
        <v>0</v>
      </c>
      <c r="M809" s="2">
        <v>3.82</v>
      </c>
      <c r="N809" s="2">
        <v>3.82</v>
      </c>
      <c r="O809" s="2">
        <v>29.2</v>
      </c>
      <c r="P809" s="2" t="s">
        <v>519</v>
      </c>
      <c r="Q809" s="2">
        <v>29.2</v>
      </c>
      <c r="R809" s="25">
        <v>0</v>
      </c>
      <c r="U809">
        <v>0</v>
      </c>
      <c r="X809">
        <v>0</v>
      </c>
      <c r="AA809" s="2"/>
      <c r="AB809">
        <v>20</v>
      </c>
      <c r="AC809" s="55">
        <f t="shared" si="223"/>
        <v>426.09807999999998</v>
      </c>
      <c r="AD809" s="57">
        <v>0</v>
      </c>
      <c r="AE809" s="55">
        <v>0</v>
      </c>
      <c r="AF809" s="55">
        <v>0</v>
      </c>
      <c r="AG809" s="52">
        <f t="shared" si="220"/>
        <v>4.6937550152772338E-2</v>
      </c>
      <c r="AH809" s="52"/>
      <c r="AI809" s="52"/>
      <c r="AJ809" s="52"/>
      <c r="AK809" s="28">
        <v>1.594594594594595</v>
      </c>
      <c r="AL809" s="28">
        <v>1.513513513513514</v>
      </c>
      <c r="AM809" s="28">
        <v>0.2162162162162162</v>
      </c>
      <c r="AN809" s="28">
        <v>0</v>
      </c>
      <c r="AO809" s="28">
        <v>0.47967479674796748</v>
      </c>
      <c r="AP809" s="28">
        <v>0.45528455284552849</v>
      </c>
      <c r="AQ809" s="28">
        <v>6.5040650406504072E-2</v>
      </c>
      <c r="AR809" s="28">
        <v>0</v>
      </c>
      <c r="AS809" s="25">
        <v>1.1000000000000001</v>
      </c>
      <c r="AT809" s="25">
        <v>3.44</v>
      </c>
      <c r="AU809" s="25">
        <v>2.34</v>
      </c>
      <c r="AV809" s="25">
        <v>2.512432432432433</v>
      </c>
      <c r="AW809">
        <v>2.512432432432433</v>
      </c>
      <c r="AX809">
        <v>6.6118993157774328</v>
      </c>
      <c r="AY809" s="75"/>
      <c r="AZ809" s="75"/>
      <c r="BA809" s="75"/>
      <c r="BB809">
        <v>2.5815652584024788E-2</v>
      </c>
      <c r="BF809">
        <v>4.6937550152772338E-2</v>
      </c>
      <c r="BG809">
        <v>2.5815652584024788E-2</v>
      </c>
      <c r="BH809">
        <v>0</v>
      </c>
      <c r="BI809" s="79" t="s">
        <v>1264</v>
      </c>
      <c r="BJ809" s="79">
        <v>1373</v>
      </c>
      <c r="BK809" s="79">
        <v>12</v>
      </c>
      <c r="BM809" s="79" t="s">
        <v>464</v>
      </c>
      <c r="BN809" s="79" t="s">
        <v>464</v>
      </c>
      <c r="BO809" s="79">
        <v>0</v>
      </c>
      <c r="BQ809" s="79">
        <v>0.5</v>
      </c>
      <c r="BR809" s="79">
        <v>1</v>
      </c>
      <c r="BS809" s="95" t="s">
        <v>464</v>
      </c>
      <c r="BT809" s="95" t="s">
        <v>464</v>
      </c>
      <c r="BU809" s="95" t="s">
        <v>1266</v>
      </c>
      <c r="BV809" s="95">
        <v>125</v>
      </c>
      <c r="BW809" s="95">
        <v>220</v>
      </c>
      <c r="BX809" s="95" t="s">
        <v>1287</v>
      </c>
      <c r="BY809" s="95">
        <f t="shared" si="222"/>
        <v>288</v>
      </c>
      <c r="BZ809" s="81">
        <v>2204</v>
      </c>
      <c r="CA809" s="2"/>
    </row>
    <row r="810" spans="1:79" x14ac:dyDescent="0.3">
      <c r="A810" s="2" t="s">
        <v>1134</v>
      </c>
      <c r="B810" s="18" t="s">
        <v>1043</v>
      </c>
      <c r="C810" s="13"/>
      <c r="D810" s="2">
        <v>3.38</v>
      </c>
      <c r="E810" s="2" t="s">
        <v>380</v>
      </c>
      <c r="F810" s="9">
        <v>-1</v>
      </c>
      <c r="G810">
        <v>-1</v>
      </c>
      <c r="I810" s="2">
        <v>1</v>
      </c>
      <c r="J810" s="25">
        <v>0</v>
      </c>
      <c r="K810">
        <v>0</v>
      </c>
      <c r="L810">
        <v>0</v>
      </c>
      <c r="M810" s="2">
        <v>3.82</v>
      </c>
      <c r="N810" s="2">
        <v>3.82</v>
      </c>
      <c r="O810" s="2">
        <v>31.3</v>
      </c>
      <c r="P810" s="2" t="s">
        <v>519</v>
      </c>
      <c r="Q810" s="2">
        <v>31.3</v>
      </c>
      <c r="R810" s="25">
        <v>0</v>
      </c>
      <c r="U810">
        <v>0</v>
      </c>
      <c r="X810">
        <v>0</v>
      </c>
      <c r="AA810" s="2"/>
      <c r="AB810">
        <v>20</v>
      </c>
      <c r="AC810" s="55">
        <f t="shared" si="223"/>
        <v>456.74212</v>
      </c>
      <c r="AD810" s="57">
        <v>0</v>
      </c>
      <c r="AE810" s="55">
        <v>0</v>
      </c>
      <c r="AF810" s="55">
        <v>0</v>
      </c>
      <c r="AG810" s="52">
        <f t="shared" si="220"/>
        <v>4.3788385446036811E-2</v>
      </c>
      <c r="AH810" s="52"/>
      <c r="AI810" s="52"/>
      <c r="AJ810" s="52"/>
      <c r="AK810" s="28">
        <v>1.558139534883721</v>
      </c>
      <c r="AL810" s="28">
        <v>1.3953488372093019</v>
      </c>
      <c r="AM810" s="28">
        <v>0.186046511627907</v>
      </c>
      <c r="AN810" s="28">
        <v>0</v>
      </c>
      <c r="AO810" s="28">
        <v>0.49629629629629629</v>
      </c>
      <c r="AP810" s="28">
        <v>0.44444444444444448</v>
      </c>
      <c r="AQ810" s="28">
        <v>5.9259259259259262E-2</v>
      </c>
      <c r="AR810" s="28">
        <v>0</v>
      </c>
      <c r="AS810" s="25">
        <v>1.1000000000000001</v>
      </c>
      <c r="AT810" s="25">
        <v>3.44</v>
      </c>
      <c r="AU810" s="25">
        <v>2.34</v>
      </c>
      <c r="AV810" s="25">
        <v>2.4851162790697678</v>
      </c>
      <c r="AW810">
        <v>2.485116279069767</v>
      </c>
      <c r="AX810">
        <v>6.6481102673295114</v>
      </c>
      <c r="AY810" s="75"/>
      <c r="AZ810" s="75"/>
      <c r="BA810" s="75"/>
      <c r="BB810">
        <v>2.4083611995320251E-2</v>
      </c>
      <c r="BF810">
        <v>4.3788385446036811E-2</v>
      </c>
      <c r="BG810">
        <v>2.4083611995320251E-2</v>
      </c>
      <c r="BH810">
        <v>0</v>
      </c>
      <c r="BI810" s="79" t="s">
        <v>1264</v>
      </c>
      <c r="BJ810" s="79">
        <v>1373</v>
      </c>
      <c r="BK810" s="79">
        <v>12</v>
      </c>
      <c r="BM810" s="79" t="s">
        <v>464</v>
      </c>
      <c r="BN810" s="79" t="s">
        <v>464</v>
      </c>
      <c r="BO810" s="79">
        <v>0</v>
      </c>
      <c r="BP810" s="79">
        <v>5.46</v>
      </c>
      <c r="BQ810" s="79">
        <v>0.5</v>
      </c>
      <c r="BR810" s="79">
        <v>1</v>
      </c>
      <c r="BS810" s="95" t="s">
        <v>464</v>
      </c>
      <c r="BT810" s="95" t="s">
        <v>464</v>
      </c>
      <c r="BU810" s="95" t="s">
        <v>1266</v>
      </c>
      <c r="BV810" s="95">
        <v>125</v>
      </c>
      <c r="BW810" s="95">
        <v>220</v>
      </c>
      <c r="BX810" s="95" t="s">
        <v>1287</v>
      </c>
      <c r="BY810" s="95">
        <f t="shared" si="222"/>
        <v>288</v>
      </c>
      <c r="BZ810" s="81">
        <v>596</v>
      </c>
      <c r="CA810" s="2"/>
    </row>
    <row r="811" spans="1:79" x14ac:dyDescent="0.3">
      <c r="A811" s="2" t="s">
        <v>381</v>
      </c>
      <c r="B811" s="13" t="s">
        <v>838</v>
      </c>
      <c r="C811" s="13"/>
      <c r="D811" s="2">
        <v>3.47</v>
      </c>
      <c r="E811" s="2" t="s">
        <v>380</v>
      </c>
      <c r="F811" s="9">
        <v>-1</v>
      </c>
      <c r="G811">
        <v>-1</v>
      </c>
      <c r="I811" s="2">
        <v>2</v>
      </c>
      <c r="J811" s="25">
        <v>0</v>
      </c>
      <c r="K811">
        <v>0</v>
      </c>
      <c r="L811">
        <v>0</v>
      </c>
      <c r="M811" s="2">
        <v>3.78</v>
      </c>
      <c r="N811" s="2">
        <v>3.78</v>
      </c>
      <c r="O811" s="2">
        <v>27.2</v>
      </c>
      <c r="P811" s="2" t="s">
        <v>519</v>
      </c>
      <c r="Q811" s="2">
        <v>13.6</v>
      </c>
      <c r="R811" s="25">
        <v>0</v>
      </c>
      <c r="U811">
        <v>0</v>
      </c>
      <c r="X811">
        <v>0</v>
      </c>
      <c r="AA811" s="2"/>
      <c r="AB811">
        <v>20</v>
      </c>
      <c r="AC811" s="55">
        <f t="shared" si="223"/>
        <v>388.64447999999999</v>
      </c>
      <c r="AD811" s="57">
        <v>0</v>
      </c>
      <c r="AE811" s="55">
        <v>0</v>
      </c>
      <c r="AF811" s="55">
        <v>0</v>
      </c>
      <c r="AG811" s="52">
        <f t="shared" si="220"/>
        <v>0.10292182716708083</v>
      </c>
      <c r="AH811" s="52"/>
      <c r="AI811" s="52"/>
      <c r="AJ811" s="52"/>
      <c r="AK811" s="28">
        <v>1.882352941176471</v>
      </c>
      <c r="AL811" s="28">
        <v>2.3529411764705879</v>
      </c>
      <c r="AM811" s="28">
        <v>0.35294117647058831</v>
      </c>
      <c r="AN811" s="28">
        <v>0.47058823529411759</v>
      </c>
      <c r="AO811" s="28">
        <v>0.37209302325581389</v>
      </c>
      <c r="AP811" s="28">
        <v>0.46511627906976749</v>
      </c>
      <c r="AQ811" s="28">
        <v>6.9767441860465129E-2</v>
      </c>
      <c r="AR811" s="28">
        <v>9.3023255813953487E-2</v>
      </c>
      <c r="AS811" s="25">
        <v>1.1399999999999999</v>
      </c>
      <c r="AT811" s="25">
        <v>3.44</v>
      </c>
      <c r="AU811" s="25">
        <v>2.2999999999999998</v>
      </c>
      <c r="AV811" s="25">
        <v>2.6882352941176468</v>
      </c>
      <c r="AW811">
        <v>2.6882352941176468</v>
      </c>
      <c r="AX811">
        <v>6.2192249941001183</v>
      </c>
      <c r="AY811" s="75"/>
      <c r="AZ811" s="75"/>
      <c r="BA811" s="75"/>
      <c r="BB811">
        <v>5.1460913583540407E-2</v>
      </c>
      <c r="BF811">
        <v>0.1029218271670808</v>
      </c>
      <c r="BG811">
        <v>5.1460913583540407E-2</v>
      </c>
      <c r="BH811">
        <v>0</v>
      </c>
      <c r="BI811" s="79" t="s">
        <v>1264</v>
      </c>
      <c r="BJ811" s="79">
        <v>1373</v>
      </c>
      <c r="BK811" s="79">
        <v>12</v>
      </c>
      <c r="BM811" s="79" t="s">
        <v>464</v>
      </c>
      <c r="BN811" s="79" t="s">
        <v>464</v>
      </c>
      <c r="BO811" s="79">
        <v>0</v>
      </c>
      <c r="BP811" s="79">
        <v>3.08</v>
      </c>
      <c r="BQ811" s="79">
        <v>0.5</v>
      </c>
      <c r="BR811" s="79">
        <v>1</v>
      </c>
      <c r="BS811" s="95" t="s">
        <v>464</v>
      </c>
      <c r="BT811" s="95" t="s">
        <v>464</v>
      </c>
      <c r="BU811" s="95" t="s">
        <v>1266</v>
      </c>
      <c r="BV811" s="95">
        <v>125</v>
      </c>
      <c r="BW811" s="95">
        <v>220</v>
      </c>
      <c r="BX811" s="95" t="s">
        <v>1287</v>
      </c>
      <c r="BY811" s="95">
        <f t="shared" si="222"/>
        <v>288</v>
      </c>
      <c r="BZ811" s="81">
        <v>80.399999999999991</v>
      </c>
      <c r="CA811" s="2"/>
    </row>
    <row r="812" spans="1:79" x14ac:dyDescent="0.3">
      <c r="A812" s="2" t="s">
        <v>382</v>
      </c>
      <c r="B812" s="18" t="s">
        <v>1044</v>
      </c>
      <c r="C812" s="13"/>
      <c r="D812" s="2">
        <v>3.4</v>
      </c>
      <c r="E812" s="2" t="s">
        <v>380</v>
      </c>
      <c r="F812" s="9">
        <v>-1</v>
      </c>
      <c r="G812">
        <v>-1</v>
      </c>
      <c r="I812" s="2">
        <v>2</v>
      </c>
      <c r="J812" s="25">
        <v>0</v>
      </c>
      <c r="K812">
        <v>0</v>
      </c>
      <c r="L812">
        <v>0</v>
      </c>
      <c r="M812" s="2">
        <v>3.81</v>
      </c>
      <c r="N812" s="2">
        <v>3.81</v>
      </c>
      <c r="O812" s="2">
        <v>35.4</v>
      </c>
      <c r="P812" s="2" t="s">
        <v>519</v>
      </c>
      <c r="Q812" s="2">
        <v>17.7</v>
      </c>
      <c r="R812" s="25">
        <v>0</v>
      </c>
      <c r="U812">
        <v>0</v>
      </c>
      <c r="X812">
        <v>0</v>
      </c>
      <c r="AA812" s="2"/>
      <c r="AB812">
        <v>20</v>
      </c>
      <c r="AC812" s="55">
        <f t="shared" si="223"/>
        <v>513.86993999999993</v>
      </c>
      <c r="AD812" s="57">
        <v>0</v>
      </c>
      <c r="AE812" s="55">
        <v>0</v>
      </c>
      <c r="AF812" s="55">
        <v>0</v>
      </c>
      <c r="AG812" s="52">
        <f t="shared" si="220"/>
        <v>7.7840708098239814E-2</v>
      </c>
      <c r="AH812" s="52"/>
      <c r="AI812" s="52"/>
      <c r="AJ812" s="52"/>
      <c r="AK812" s="28">
        <v>1.695652173913043</v>
      </c>
      <c r="AL812" s="28">
        <v>1.826086956521739</v>
      </c>
      <c r="AM812" s="28">
        <v>0.2608695652173913</v>
      </c>
      <c r="AN812" s="28">
        <v>0.34782608695652167</v>
      </c>
      <c r="AO812" s="28">
        <v>0.41052631578947368</v>
      </c>
      <c r="AP812" s="28">
        <v>0.44210526315789472</v>
      </c>
      <c r="AQ812" s="28">
        <v>6.3157894736842107E-2</v>
      </c>
      <c r="AR812" s="28">
        <v>8.4210526315789472E-2</v>
      </c>
      <c r="AS812" s="25">
        <v>1.1399999999999999</v>
      </c>
      <c r="AT812" s="25">
        <v>3.44</v>
      </c>
      <c r="AU812" s="25">
        <v>2.2999999999999998</v>
      </c>
      <c r="AV812" s="25">
        <v>2.5760869565217388</v>
      </c>
      <c r="AW812">
        <v>2.5760869565217388</v>
      </c>
      <c r="AX812">
        <v>6.4291568349981301</v>
      </c>
      <c r="AY812" s="75"/>
      <c r="AZ812" s="75"/>
      <c r="BA812" s="75"/>
      <c r="BB812">
        <v>3.8920354049119907E-2</v>
      </c>
      <c r="BF812">
        <v>7.7840708098239814E-2</v>
      </c>
      <c r="BG812">
        <v>3.8920354049119907E-2</v>
      </c>
      <c r="BH812">
        <v>0</v>
      </c>
      <c r="BI812" s="79" t="s">
        <v>1264</v>
      </c>
      <c r="BJ812" s="79">
        <v>1373</v>
      </c>
      <c r="BK812" s="79">
        <v>12</v>
      </c>
      <c r="BM812" s="79" t="s">
        <v>464</v>
      </c>
      <c r="BN812" s="79" t="s">
        <v>464</v>
      </c>
      <c r="BO812" s="79">
        <v>0</v>
      </c>
      <c r="BP812" s="79">
        <v>3.72</v>
      </c>
      <c r="BQ812" s="79">
        <v>0.5</v>
      </c>
      <c r="BR812" s="79">
        <v>1</v>
      </c>
      <c r="BS812" s="95" t="s">
        <v>464</v>
      </c>
      <c r="BT812" s="95" t="s">
        <v>464</v>
      </c>
      <c r="BU812" s="95" t="s">
        <v>1266</v>
      </c>
      <c r="BV812" s="95">
        <v>125</v>
      </c>
      <c r="BW812" s="95">
        <v>220</v>
      </c>
      <c r="BX812" s="95" t="s">
        <v>1287</v>
      </c>
      <c r="BY812" s="95">
        <f t="shared" si="222"/>
        <v>288</v>
      </c>
      <c r="BZ812" s="81">
        <v>5200</v>
      </c>
      <c r="CA812" s="2"/>
    </row>
    <row r="813" spans="1:79" x14ac:dyDescent="0.3">
      <c r="A813" s="2" t="s">
        <v>383</v>
      </c>
      <c r="B813" s="18" t="s">
        <v>1045</v>
      </c>
      <c r="C813" s="13"/>
      <c r="D813" s="2">
        <v>3.32</v>
      </c>
      <c r="E813" s="2" t="s">
        <v>380</v>
      </c>
      <c r="F813" s="9">
        <v>-1</v>
      </c>
      <c r="G813">
        <v>-1</v>
      </c>
      <c r="I813" s="2">
        <v>1</v>
      </c>
      <c r="J813" s="25">
        <v>0</v>
      </c>
      <c r="K813">
        <v>0</v>
      </c>
      <c r="L813">
        <v>0</v>
      </c>
      <c r="M813" s="2">
        <v>3.8</v>
      </c>
      <c r="N813" s="2">
        <v>3.8</v>
      </c>
      <c r="O813" s="2">
        <v>19.899999999999999</v>
      </c>
      <c r="P813" s="2" t="s">
        <v>519</v>
      </c>
      <c r="Q813" s="2">
        <v>19.899999999999999</v>
      </c>
      <c r="R813" s="25">
        <v>0</v>
      </c>
      <c r="U813">
        <v>0</v>
      </c>
      <c r="X813">
        <v>0</v>
      </c>
      <c r="AA813" s="2"/>
      <c r="AB813">
        <v>20</v>
      </c>
      <c r="AC813" s="55">
        <f t="shared" si="223"/>
        <v>287.35599999999999</v>
      </c>
      <c r="AD813" s="57">
        <v>0</v>
      </c>
      <c r="AE813" s="55">
        <v>0</v>
      </c>
      <c r="AF813" s="55">
        <v>0</v>
      </c>
      <c r="AG813" s="52">
        <f t="shared" si="220"/>
        <v>6.9600077952087308E-2</v>
      </c>
      <c r="AH813" s="52"/>
      <c r="AI813" s="52"/>
      <c r="AJ813" s="52"/>
      <c r="AK813" s="28">
        <v>1.653846153846154</v>
      </c>
      <c r="AL813" s="28">
        <v>1.6923076923076921</v>
      </c>
      <c r="AM813" s="28">
        <v>0.23076923076923081</v>
      </c>
      <c r="AN813" s="28">
        <v>0.30769230769230771</v>
      </c>
      <c r="AO813" s="28">
        <v>0.42574257425742568</v>
      </c>
      <c r="AP813" s="28">
        <v>0.43564356435643559</v>
      </c>
      <c r="AQ813" s="28">
        <v>5.940594059405941E-2</v>
      </c>
      <c r="AR813" s="28">
        <v>7.9207920792079209E-2</v>
      </c>
      <c r="AS813" s="25">
        <v>1.1399999999999999</v>
      </c>
      <c r="AT813" s="25">
        <v>3.44</v>
      </c>
      <c r="AU813" s="25">
        <v>2.2999999999999998</v>
      </c>
      <c r="AV813" s="25">
        <v>2.546153846153846</v>
      </c>
      <c r="AW813">
        <v>2.546153846153846</v>
      </c>
      <c r="AX813">
        <v>6.4801861773330387</v>
      </c>
      <c r="AY813" s="75"/>
      <c r="AZ813" s="75"/>
      <c r="BA813" s="75"/>
      <c r="BB813">
        <v>3.4800038976043647E-2</v>
      </c>
      <c r="BF813">
        <v>6.9600077952087308E-2</v>
      </c>
      <c r="BG813">
        <v>3.4800038976043647E-2</v>
      </c>
      <c r="BH813">
        <v>0</v>
      </c>
      <c r="BI813" s="79" t="s">
        <v>1264</v>
      </c>
      <c r="BJ813" s="79">
        <v>1373</v>
      </c>
      <c r="BK813" s="79">
        <v>12</v>
      </c>
      <c r="BM813" s="79" t="s">
        <v>464</v>
      </c>
      <c r="BN813" s="79" t="s">
        <v>464</v>
      </c>
      <c r="BO813" s="79">
        <v>0</v>
      </c>
      <c r="BQ813" s="79">
        <v>0.5</v>
      </c>
      <c r="BR813" s="79">
        <v>1</v>
      </c>
      <c r="BS813" s="95" t="s">
        <v>464</v>
      </c>
      <c r="BT813" s="95" t="s">
        <v>464</v>
      </c>
      <c r="BU813" s="95" t="s">
        <v>1266</v>
      </c>
      <c r="BV813" s="95">
        <v>125</v>
      </c>
      <c r="BW813" s="95">
        <v>220</v>
      </c>
      <c r="BX813" s="95" t="s">
        <v>1287</v>
      </c>
      <c r="BY813" s="95">
        <f t="shared" si="222"/>
        <v>288</v>
      </c>
      <c r="BZ813" s="81">
        <v>4240</v>
      </c>
      <c r="CA813" s="2"/>
    </row>
    <row r="814" spans="1:79" x14ac:dyDescent="0.3">
      <c r="A814" s="2" t="s">
        <v>384</v>
      </c>
      <c r="B814" s="18" t="s">
        <v>1046</v>
      </c>
      <c r="C814" s="13"/>
      <c r="D814" s="2">
        <v>3.33</v>
      </c>
      <c r="E814" s="2" t="s">
        <v>380</v>
      </c>
      <c r="F814" s="9">
        <v>-1</v>
      </c>
      <c r="G814">
        <v>-1</v>
      </c>
      <c r="I814" s="2">
        <v>1</v>
      </c>
      <c r="J814" s="25">
        <v>0</v>
      </c>
      <c r="K814">
        <v>0</v>
      </c>
      <c r="L814">
        <v>0</v>
      </c>
      <c r="M814" s="2">
        <v>3.78</v>
      </c>
      <c r="N814" s="2">
        <v>3.78</v>
      </c>
      <c r="O814" s="2">
        <v>21.5</v>
      </c>
      <c r="P814" s="2" t="s">
        <v>519</v>
      </c>
      <c r="Q814" s="2">
        <v>21.5</v>
      </c>
      <c r="R814" s="25">
        <v>0</v>
      </c>
      <c r="U814">
        <v>0</v>
      </c>
      <c r="X814">
        <v>0</v>
      </c>
      <c r="AA814" s="2"/>
      <c r="AB814">
        <v>20</v>
      </c>
      <c r="AC814" s="55">
        <f t="shared" si="223"/>
        <v>307.20060000000001</v>
      </c>
      <c r="AD814" s="57">
        <v>0</v>
      </c>
      <c r="AE814" s="55">
        <v>0</v>
      </c>
      <c r="AF814" s="55">
        <v>0</v>
      </c>
      <c r="AG814" s="52">
        <f t="shared" si="220"/>
        <v>6.5104039510339495E-2</v>
      </c>
      <c r="AH814" s="52"/>
      <c r="AI814" s="52"/>
      <c r="AJ814" s="52"/>
      <c r="AK814" s="28">
        <v>1.6206896551724139</v>
      </c>
      <c r="AL814" s="28">
        <v>1.586206896551724</v>
      </c>
      <c r="AM814" s="28">
        <v>0.2068965517241379</v>
      </c>
      <c r="AN814" s="28">
        <v>0.27586206896551718</v>
      </c>
      <c r="AO814" s="28">
        <v>0.43925233644859812</v>
      </c>
      <c r="AP814" s="28">
        <v>0.42990654205607481</v>
      </c>
      <c r="AQ814" s="28">
        <v>5.6074766355140193E-2</v>
      </c>
      <c r="AR814" s="28">
        <v>7.476635514018691E-2</v>
      </c>
      <c r="AS814" s="25">
        <v>1.1399999999999999</v>
      </c>
      <c r="AT814" s="25">
        <v>3.44</v>
      </c>
      <c r="AU814" s="25">
        <v>2.2999999999999998</v>
      </c>
      <c r="AV814" s="25">
        <v>2.522413793103448</v>
      </c>
      <c r="AW814">
        <v>2.522413793103448</v>
      </c>
      <c r="AX814">
        <v>6.5206577247021036</v>
      </c>
      <c r="AY814" s="75"/>
      <c r="AZ814" s="75"/>
      <c r="BA814" s="75"/>
      <c r="BB814">
        <v>3.2552019755169748E-2</v>
      </c>
      <c r="BF814">
        <v>6.5104039510339495E-2</v>
      </c>
      <c r="BG814">
        <v>3.2552019755169748E-2</v>
      </c>
      <c r="BH814">
        <v>0</v>
      </c>
      <c r="BI814" s="79" t="s">
        <v>1264</v>
      </c>
      <c r="BJ814" s="79">
        <v>1373</v>
      </c>
      <c r="BK814" s="79">
        <v>12</v>
      </c>
      <c r="BM814" s="79" t="s">
        <v>464</v>
      </c>
      <c r="BN814" s="79" t="s">
        <v>464</v>
      </c>
      <c r="BO814" s="79">
        <v>0</v>
      </c>
      <c r="BQ814" s="79">
        <v>0.5</v>
      </c>
      <c r="BR814" s="79">
        <v>1</v>
      </c>
      <c r="BS814" s="95" t="s">
        <v>464</v>
      </c>
      <c r="BT814" s="95" t="s">
        <v>464</v>
      </c>
      <c r="BU814" s="95" t="s">
        <v>1266</v>
      </c>
      <c r="BV814" s="95">
        <v>125</v>
      </c>
      <c r="BW814" s="95">
        <v>220</v>
      </c>
      <c r="BX814" s="95" t="s">
        <v>1287</v>
      </c>
      <c r="BY814" s="95">
        <f t="shared" si="222"/>
        <v>288</v>
      </c>
      <c r="BZ814" s="81">
        <v>5120</v>
      </c>
      <c r="CA814" s="2"/>
    </row>
    <row r="815" spans="1:79" x14ac:dyDescent="0.3">
      <c r="A815" s="2" t="s">
        <v>385</v>
      </c>
      <c r="B815" s="18" t="s">
        <v>1047</v>
      </c>
      <c r="C815" s="13"/>
      <c r="D815" s="2">
        <v>3.33</v>
      </c>
      <c r="E815" s="2" t="s">
        <v>380</v>
      </c>
      <c r="F815" s="9">
        <v>-1</v>
      </c>
      <c r="G815">
        <v>-1</v>
      </c>
      <c r="I815" s="2">
        <v>1</v>
      </c>
      <c r="J815" s="25">
        <v>0</v>
      </c>
      <c r="K815">
        <v>0</v>
      </c>
      <c r="L815">
        <v>0</v>
      </c>
      <c r="M815" s="2">
        <v>3.78</v>
      </c>
      <c r="N815" s="2">
        <v>3.78</v>
      </c>
      <c r="O815" s="2">
        <v>24.4</v>
      </c>
      <c r="P815" s="2" t="s">
        <v>519</v>
      </c>
      <c r="Q815" s="2">
        <v>24.4</v>
      </c>
      <c r="R815" s="25">
        <v>0</v>
      </c>
      <c r="U815">
        <v>0</v>
      </c>
      <c r="X815">
        <v>0</v>
      </c>
      <c r="AA815" s="2"/>
      <c r="AB815">
        <v>20</v>
      </c>
      <c r="AC815" s="55">
        <f t="shared" si="223"/>
        <v>348.63695999999999</v>
      </c>
      <c r="AD815" s="57">
        <v>0</v>
      </c>
      <c r="AE815" s="55">
        <v>0</v>
      </c>
      <c r="AF815" s="55">
        <v>0</v>
      </c>
      <c r="AG815" s="52">
        <f t="shared" si="220"/>
        <v>5.7366264322635217E-2</v>
      </c>
      <c r="AH815" s="52"/>
      <c r="AI815" s="52"/>
      <c r="AJ815" s="52"/>
      <c r="AK815" s="28">
        <v>1.59375</v>
      </c>
      <c r="AL815" s="28">
        <v>1.5</v>
      </c>
      <c r="AM815" s="28">
        <v>0.1875</v>
      </c>
      <c r="AN815" s="28">
        <v>0.25</v>
      </c>
      <c r="AO815" s="28">
        <v>0.45132743362831862</v>
      </c>
      <c r="AP815" s="28">
        <v>0.4247787610619469</v>
      </c>
      <c r="AQ815" s="28">
        <v>5.3097345132743362E-2</v>
      </c>
      <c r="AR815" s="28">
        <v>7.0796460176991149E-2</v>
      </c>
      <c r="AS815" s="25">
        <v>1.1399999999999999</v>
      </c>
      <c r="AT815" s="25">
        <v>3.44</v>
      </c>
      <c r="AU815" s="25">
        <v>2.2999999999999998</v>
      </c>
      <c r="AV815" s="25">
        <v>2.5031249999999998</v>
      </c>
      <c r="AW815">
        <v>2.5031249999999998</v>
      </c>
      <c r="AX815">
        <v>6.5535408569394704</v>
      </c>
      <c r="AY815" s="75"/>
      <c r="AZ815" s="75"/>
      <c r="BA815" s="75"/>
      <c r="BB815">
        <v>2.8683132161317609E-2</v>
      </c>
      <c r="BF815">
        <v>5.7366264322635217E-2</v>
      </c>
      <c r="BG815">
        <v>2.8683132161317609E-2</v>
      </c>
      <c r="BH815">
        <v>0</v>
      </c>
      <c r="BI815" s="79" t="s">
        <v>1264</v>
      </c>
      <c r="BJ815" s="79">
        <v>1373</v>
      </c>
      <c r="BK815" s="79">
        <v>12</v>
      </c>
      <c r="BM815" s="79" t="s">
        <v>464</v>
      </c>
      <c r="BN815" s="79" t="s">
        <v>464</v>
      </c>
      <c r="BO815" s="79">
        <v>0</v>
      </c>
      <c r="BP815" s="79">
        <v>3.89</v>
      </c>
      <c r="BQ815" s="79">
        <v>0.5</v>
      </c>
      <c r="BR815" s="79">
        <v>1</v>
      </c>
      <c r="BS815" s="95" t="s">
        <v>464</v>
      </c>
      <c r="BT815" s="95" t="s">
        <v>464</v>
      </c>
      <c r="BU815" s="95" t="s">
        <v>1266</v>
      </c>
      <c r="BV815" s="95">
        <v>125</v>
      </c>
      <c r="BW815" s="95">
        <v>220</v>
      </c>
      <c r="BX815" s="95" t="s">
        <v>1287</v>
      </c>
      <c r="BY815" s="95">
        <f t="shared" si="222"/>
        <v>288</v>
      </c>
      <c r="BZ815" s="81">
        <v>5880</v>
      </c>
      <c r="CA815" s="2"/>
    </row>
    <row r="816" spans="1:79" x14ac:dyDescent="0.3">
      <c r="A816" s="2" t="s">
        <v>386</v>
      </c>
      <c r="B816" s="18" t="s">
        <v>1048</v>
      </c>
      <c r="C816" s="13"/>
      <c r="D816" s="2">
        <v>3.35</v>
      </c>
      <c r="E816" s="2" t="s">
        <v>380</v>
      </c>
      <c r="F816" s="9">
        <v>-1</v>
      </c>
      <c r="G816">
        <v>-1</v>
      </c>
      <c r="I816" s="2">
        <v>1</v>
      </c>
      <c r="J816" s="25">
        <v>0</v>
      </c>
      <c r="K816">
        <v>0</v>
      </c>
      <c r="L816">
        <v>0</v>
      </c>
      <c r="M816" s="2">
        <v>3.8</v>
      </c>
      <c r="N816" s="2">
        <v>3.8</v>
      </c>
      <c r="O816" s="2">
        <v>29.2</v>
      </c>
      <c r="P816" s="2" t="s">
        <v>519</v>
      </c>
      <c r="Q816" s="2">
        <v>29.2</v>
      </c>
      <c r="R816" s="25">
        <v>0</v>
      </c>
      <c r="U816">
        <v>0</v>
      </c>
      <c r="X816">
        <v>0</v>
      </c>
      <c r="AA816" s="2"/>
      <c r="AB816">
        <v>20</v>
      </c>
      <c r="AC816" s="55">
        <f t="shared" si="223"/>
        <v>421.64799999999997</v>
      </c>
      <c r="AD816" s="57">
        <v>0</v>
      </c>
      <c r="AE816" s="55">
        <v>0</v>
      </c>
      <c r="AF816" s="55">
        <v>0</v>
      </c>
      <c r="AG816" s="52">
        <f t="shared" si="220"/>
        <v>4.7432929837210189E-2</v>
      </c>
      <c r="AH816" s="52"/>
      <c r="AI816" s="52"/>
      <c r="AJ816" s="52"/>
      <c r="AK816" s="28">
        <v>1.5526315789473679</v>
      </c>
      <c r="AL816" s="28">
        <v>1.368421052631579</v>
      </c>
      <c r="AM816" s="28">
        <v>0.15789473684210531</v>
      </c>
      <c r="AN816" s="28">
        <v>0.2105263157894737</v>
      </c>
      <c r="AO816" s="28">
        <v>0.47199999999999998</v>
      </c>
      <c r="AP816" s="28">
        <v>0.41599999999999998</v>
      </c>
      <c r="AQ816" s="28">
        <v>4.8000000000000001E-2</v>
      </c>
      <c r="AR816" s="28">
        <v>6.4000000000000001E-2</v>
      </c>
      <c r="AS816" s="25">
        <v>1.1399999999999999</v>
      </c>
      <c r="AT816" s="25">
        <v>3.44</v>
      </c>
      <c r="AU816" s="25">
        <v>2.2999999999999998</v>
      </c>
      <c r="AV816" s="25">
        <v>2.4736842105263159</v>
      </c>
      <c r="AW816">
        <v>2.473684210526315</v>
      </c>
      <c r="AX816">
        <v>6.6037309008807101</v>
      </c>
      <c r="AY816" s="75"/>
      <c r="AZ816" s="75"/>
      <c r="BA816" s="75"/>
      <c r="BB816">
        <v>2.3716464918605091E-2</v>
      </c>
      <c r="BF816">
        <v>4.7432929837210189E-2</v>
      </c>
      <c r="BG816">
        <v>2.3716464918605091E-2</v>
      </c>
      <c r="BH816">
        <v>0</v>
      </c>
      <c r="BI816" s="79" t="s">
        <v>1264</v>
      </c>
      <c r="BJ816" s="79">
        <v>1373</v>
      </c>
      <c r="BK816" s="79">
        <v>12</v>
      </c>
      <c r="BM816" s="79" t="s">
        <v>464</v>
      </c>
      <c r="BN816" s="79" t="s">
        <v>464</v>
      </c>
      <c r="BO816" s="79">
        <v>0</v>
      </c>
      <c r="BQ816" s="79">
        <v>0.5</v>
      </c>
      <c r="BR816" s="79">
        <v>1</v>
      </c>
      <c r="BS816" s="95" t="s">
        <v>464</v>
      </c>
      <c r="BT816" s="95" t="s">
        <v>464</v>
      </c>
      <c r="BU816" s="95" t="s">
        <v>1266</v>
      </c>
      <c r="BV816" s="95">
        <v>125</v>
      </c>
      <c r="BW816" s="95">
        <v>220</v>
      </c>
      <c r="BX816" s="95" t="s">
        <v>1287</v>
      </c>
      <c r="BY816" s="95">
        <f t="shared" si="222"/>
        <v>288</v>
      </c>
      <c r="BZ816" s="81">
        <v>1680</v>
      </c>
      <c r="CA816" s="2"/>
    </row>
    <row r="817" spans="1:79" x14ac:dyDescent="0.3">
      <c r="A817" s="2" t="s">
        <v>387</v>
      </c>
      <c r="B817" s="18" t="s">
        <v>1049</v>
      </c>
      <c r="C817" s="13"/>
      <c r="D817" s="2">
        <v>3.36</v>
      </c>
      <c r="E817" s="2" t="s">
        <v>380</v>
      </c>
      <c r="F817" s="9">
        <v>-1</v>
      </c>
      <c r="G817">
        <v>-1</v>
      </c>
      <c r="I817" s="2">
        <v>1</v>
      </c>
      <c r="J817" s="25">
        <v>0</v>
      </c>
      <c r="K817">
        <v>0</v>
      </c>
      <c r="L817">
        <v>0</v>
      </c>
      <c r="M817" s="2">
        <v>3.8</v>
      </c>
      <c r="N817" s="2">
        <v>3.8</v>
      </c>
      <c r="O817" s="2">
        <v>33.4</v>
      </c>
      <c r="P817" s="2" t="s">
        <v>519</v>
      </c>
      <c r="Q817" s="2">
        <v>33.4</v>
      </c>
      <c r="R817" s="25">
        <v>0</v>
      </c>
      <c r="U817">
        <v>0</v>
      </c>
      <c r="X817">
        <v>0</v>
      </c>
      <c r="AA817" s="2"/>
      <c r="AB817">
        <v>20</v>
      </c>
      <c r="AC817" s="55">
        <f t="shared" si="223"/>
        <v>482.29599999999994</v>
      </c>
      <c r="AD817" s="57">
        <v>0</v>
      </c>
      <c r="AE817" s="55">
        <v>0</v>
      </c>
      <c r="AF817" s="55">
        <v>0</v>
      </c>
      <c r="AG817" s="52">
        <f t="shared" si="220"/>
        <v>4.1468309917561008E-2</v>
      </c>
      <c r="AH817" s="52"/>
      <c r="AI817" s="52"/>
      <c r="AJ817" s="52"/>
      <c r="AK817" s="28">
        <v>1.5227272727272729</v>
      </c>
      <c r="AL817" s="28">
        <v>1.2727272727272729</v>
      </c>
      <c r="AM817" s="28">
        <v>0.13636363636363641</v>
      </c>
      <c r="AN817" s="28">
        <v>0.1818181818181818</v>
      </c>
      <c r="AO817" s="28">
        <v>0.48905109489051091</v>
      </c>
      <c r="AP817" s="28">
        <v>0.40875912408759119</v>
      </c>
      <c r="AQ817" s="28">
        <v>4.3795620437956199E-2</v>
      </c>
      <c r="AR817" s="28">
        <v>5.8394160583941597E-2</v>
      </c>
      <c r="AS817" s="25">
        <v>1.1399999999999999</v>
      </c>
      <c r="AT817" s="25">
        <v>3.44</v>
      </c>
      <c r="AU817" s="25">
        <v>2.2999999999999998</v>
      </c>
      <c r="AV817" s="25">
        <v>2.452272727272728</v>
      </c>
      <c r="AW817">
        <v>2.4522727272727272</v>
      </c>
      <c r="AX817">
        <v>6.6402327510197949</v>
      </c>
      <c r="AY817" s="75"/>
      <c r="AZ817" s="75"/>
      <c r="BA817" s="75"/>
      <c r="BB817">
        <v>2.0734154958780501E-2</v>
      </c>
      <c r="BF817">
        <v>4.1468309917561008E-2</v>
      </c>
      <c r="BG817">
        <v>2.0734154958780501E-2</v>
      </c>
      <c r="BH817">
        <v>0</v>
      </c>
      <c r="BI817" s="79" t="s">
        <v>1264</v>
      </c>
      <c r="BJ817" s="79">
        <v>1373</v>
      </c>
      <c r="BK817" s="79">
        <v>12</v>
      </c>
      <c r="BM817" s="79" t="s">
        <v>464</v>
      </c>
      <c r="BN817" s="79" t="s">
        <v>464</v>
      </c>
      <c r="BO817" s="79">
        <v>0</v>
      </c>
      <c r="BP817" s="79">
        <v>4.3899999999999997</v>
      </c>
      <c r="BQ817" s="79">
        <v>0.5</v>
      </c>
      <c r="BR817" s="79">
        <v>1</v>
      </c>
      <c r="BS817" s="95" t="s">
        <v>464</v>
      </c>
      <c r="BT817" s="95" t="s">
        <v>464</v>
      </c>
      <c r="BU817" s="95" t="s">
        <v>1266</v>
      </c>
      <c r="BV817" s="95">
        <v>125</v>
      </c>
      <c r="BW817" s="95">
        <v>220</v>
      </c>
      <c r="BX817" s="95" t="s">
        <v>1287</v>
      </c>
      <c r="BY817" s="95">
        <f t="shared" si="222"/>
        <v>288</v>
      </c>
      <c r="BZ817" s="81">
        <v>2184</v>
      </c>
      <c r="CA817" s="2"/>
    </row>
    <row r="818" spans="1:79" x14ac:dyDescent="0.3">
      <c r="A818" s="2" t="s">
        <v>388</v>
      </c>
      <c r="B818" s="18" t="s">
        <v>1050</v>
      </c>
      <c r="C818" s="13"/>
      <c r="D818" s="2">
        <v>3.33</v>
      </c>
      <c r="E818" s="2" t="s">
        <v>380</v>
      </c>
      <c r="F818" s="9">
        <v>-1</v>
      </c>
      <c r="G818">
        <v>-1</v>
      </c>
      <c r="I818" s="2">
        <v>2</v>
      </c>
      <c r="J818" s="25">
        <v>0</v>
      </c>
      <c r="K818">
        <v>0</v>
      </c>
      <c r="L818">
        <v>0</v>
      </c>
      <c r="M818" s="2">
        <v>3.76</v>
      </c>
      <c r="N818" s="2">
        <v>3.76</v>
      </c>
      <c r="O818" s="2">
        <v>34.1</v>
      </c>
      <c r="P818" s="2" t="s">
        <v>519</v>
      </c>
      <c r="Q818" s="2">
        <v>17.100000000000001</v>
      </c>
      <c r="R818" s="25">
        <v>0</v>
      </c>
      <c r="U818">
        <v>0</v>
      </c>
      <c r="X818">
        <v>0</v>
      </c>
      <c r="AA818" s="2"/>
      <c r="AB818">
        <v>22</v>
      </c>
      <c r="AC818" s="55">
        <f t="shared" si="223"/>
        <v>482.09215999999998</v>
      </c>
      <c r="AD818" s="57">
        <v>0</v>
      </c>
      <c r="AE818" s="55">
        <v>0</v>
      </c>
      <c r="AF818" s="55">
        <v>0</v>
      </c>
      <c r="AG818" s="52">
        <f t="shared" si="220"/>
        <v>9.12688561456797E-2</v>
      </c>
      <c r="AH818" s="52"/>
      <c r="AI818" s="52"/>
      <c r="AJ818" s="52"/>
      <c r="AK818" s="28">
        <v>1.7391304347826091</v>
      </c>
      <c r="AL818" s="28">
        <v>2</v>
      </c>
      <c r="AM818" s="28">
        <v>0.2608695652173913</v>
      </c>
      <c r="AN818" s="28">
        <v>0.34782608695652167</v>
      </c>
      <c r="AO818" s="28">
        <v>0.4</v>
      </c>
      <c r="AP818" s="28">
        <v>0.46</v>
      </c>
      <c r="AQ818" s="28">
        <v>0.06</v>
      </c>
      <c r="AR818" s="28">
        <v>0.08</v>
      </c>
      <c r="AS818" s="25">
        <v>1.1399999999999999</v>
      </c>
      <c r="AT818" s="25">
        <v>3.44</v>
      </c>
      <c r="AU818" s="25">
        <v>2.2999999999999998</v>
      </c>
      <c r="AV818" s="25">
        <v>2.63</v>
      </c>
      <c r="AW818">
        <v>2.63</v>
      </c>
      <c r="AX818">
        <v>6.444942219787217</v>
      </c>
      <c r="AY818" s="75"/>
      <c r="AZ818" s="75"/>
      <c r="BA818" s="75"/>
      <c r="BB818">
        <v>4.563442807283985E-2</v>
      </c>
      <c r="BF818">
        <v>9.12688561456797E-2</v>
      </c>
      <c r="BG818">
        <v>4.563442807283985E-2</v>
      </c>
      <c r="BH818">
        <v>0</v>
      </c>
      <c r="BI818" s="79" t="s">
        <v>1264</v>
      </c>
      <c r="BJ818" s="79">
        <v>1373</v>
      </c>
      <c r="BK818" s="79">
        <v>12</v>
      </c>
      <c r="BM818" s="79" t="s">
        <v>464</v>
      </c>
      <c r="BN818" s="79" t="s">
        <v>464</v>
      </c>
      <c r="BO818" s="79">
        <v>0</v>
      </c>
      <c r="BP818" s="79">
        <v>4.51</v>
      </c>
      <c r="BQ818" s="79">
        <v>0.5</v>
      </c>
      <c r="BR818" s="79">
        <v>1</v>
      </c>
      <c r="BS818" s="95" t="s">
        <v>464</v>
      </c>
      <c r="BT818" s="95" t="s">
        <v>464</v>
      </c>
      <c r="BU818" s="95" t="s">
        <v>1266</v>
      </c>
      <c r="BV818" s="95">
        <v>125</v>
      </c>
      <c r="BW818" s="95">
        <v>220</v>
      </c>
      <c r="BX818" s="95" t="s">
        <v>1287</v>
      </c>
      <c r="BY818" s="95">
        <f t="shared" si="222"/>
        <v>288</v>
      </c>
      <c r="BZ818" s="81">
        <v>4600</v>
      </c>
      <c r="CA818" s="2"/>
    </row>
    <row r="819" spans="1:79" x14ac:dyDescent="0.3">
      <c r="A819" s="2" t="s">
        <v>389</v>
      </c>
      <c r="B819" s="18" t="s">
        <v>1051</v>
      </c>
      <c r="C819" s="13"/>
      <c r="D819" s="2">
        <v>3.33</v>
      </c>
      <c r="E819" s="2" t="s">
        <v>380</v>
      </c>
      <c r="F819" s="9">
        <v>-1</v>
      </c>
      <c r="G819">
        <v>-1</v>
      </c>
      <c r="I819" s="2">
        <v>2</v>
      </c>
      <c r="J819" s="25">
        <v>0</v>
      </c>
      <c r="K819">
        <v>0</v>
      </c>
      <c r="L819">
        <v>0</v>
      </c>
      <c r="M819" s="2">
        <v>3.77</v>
      </c>
      <c r="N819" s="2">
        <v>3.77</v>
      </c>
      <c r="O819" s="2">
        <v>40.9</v>
      </c>
      <c r="P819" s="2" t="s">
        <v>519</v>
      </c>
      <c r="Q819" s="2">
        <v>20.5</v>
      </c>
      <c r="R819" s="25">
        <v>0</v>
      </c>
      <c r="U819">
        <v>0</v>
      </c>
      <c r="X819">
        <v>0</v>
      </c>
      <c r="AA819" s="2"/>
      <c r="AB819">
        <v>22</v>
      </c>
      <c r="AC819" s="55">
        <f t="shared" si="223"/>
        <v>581.30760999999995</v>
      </c>
      <c r="AD819" s="57">
        <v>0</v>
      </c>
      <c r="AE819" s="55">
        <v>0</v>
      </c>
      <c r="AF819" s="55">
        <v>0</v>
      </c>
      <c r="AG819" s="52">
        <f t="shared" si="220"/>
        <v>7.5691422653145726E-2</v>
      </c>
      <c r="AH819" s="52"/>
      <c r="AI819" s="52"/>
      <c r="AJ819" s="52"/>
      <c r="AK819" s="28">
        <v>1.6923076923076921</v>
      </c>
      <c r="AL819" s="28">
        <v>1.846153846153846</v>
      </c>
      <c r="AM819" s="28">
        <v>0.23076923076923081</v>
      </c>
      <c r="AN819" s="28">
        <v>0.30769230769230771</v>
      </c>
      <c r="AO819" s="28">
        <v>0.41509433962264147</v>
      </c>
      <c r="AP819" s="28">
        <v>0.45283018867924529</v>
      </c>
      <c r="AQ819" s="28">
        <v>5.6603773584905669E-2</v>
      </c>
      <c r="AR819" s="28">
        <v>7.5471698113207558E-2</v>
      </c>
      <c r="AS819" s="25">
        <v>1.1399999999999999</v>
      </c>
      <c r="AT819" s="25">
        <v>3.44</v>
      </c>
      <c r="AU819" s="25">
        <v>2.2999999999999998</v>
      </c>
      <c r="AV819" s="25">
        <v>2.5938461538461541</v>
      </c>
      <c r="AW819">
        <v>2.5938461538461541</v>
      </c>
      <c r="AX819">
        <v>6.4941501715695384</v>
      </c>
      <c r="AY819" s="75"/>
      <c r="AZ819" s="75"/>
      <c r="BA819" s="75"/>
      <c r="BB819">
        <v>3.7845711326572863E-2</v>
      </c>
      <c r="BF819">
        <v>7.5691422653145726E-2</v>
      </c>
      <c r="BG819">
        <v>3.7845711326572863E-2</v>
      </c>
      <c r="BH819">
        <v>0</v>
      </c>
      <c r="BI819" s="79" t="s">
        <v>1264</v>
      </c>
      <c r="BJ819" s="79">
        <v>1373</v>
      </c>
      <c r="BK819" s="79">
        <v>12</v>
      </c>
      <c r="BM819" s="79" t="s">
        <v>464</v>
      </c>
      <c r="BN819" s="79" t="s">
        <v>464</v>
      </c>
      <c r="BO819" s="79">
        <v>0</v>
      </c>
      <c r="BQ819" s="79">
        <v>0.5</v>
      </c>
      <c r="BR819" s="79">
        <v>1</v>
      </c>
      <c r="BS819" s="95" t="s">
        <v>464</v>
      </c>
      <c r="BT819" s="95" t="s">
        <v>464</v>
      </c>
      <c r="BU819" s="95" t="s">
        <v>1266</v>
      </c>
      <c r="BV819" s="95">
        <v>125</v>
      </c>
      <c r="BW819" s="95">
        <v>220</v>
      </c>
      <c r="BX819" s="95" t="s">
        <v>1287</v>
      </c>
      <c r="BY819" s="95">
        <f t="shared" si="222"/>
        <v>288</v>
      </c>
      <c r="BZ819" s="81">
        <v>3031.9999999999995</v>
      </c>
      <c r="CA819" s="2"/>
    </row>
    <row r="820" spans="1:79" x14ac:dyDescent="0.3">
      <c r="A820" s="2" t="s">
        <v>390</v>
      </c>
      <c r="B820" s="18" t="s">
        <v>1052</v>
      </c>
      <c r="C820" s="13"/>
      <c r="D820" s="2">
        <v>3.32</v>
      </c>
      <c r="E820" s="2" t="s">
        <v>380</v>
      </c>
      <c r="F820" s="9">
        <v>-1</v>
      </c>
      <c r="G820">
        <v>-1</v>
      </c>
      <c r="I820" s="2">
        <v>2</v>
      </c>
      <c r="J820" s="25">
        <v>0</v>
      </c>
      <c r="K820">
        <v>0</v>
      </c>
      <c r="L820">
        <v>0</v>
      </c>
      <c r="M820" s="2">
        <v>3.79</v>
      </c>
      <c r="N820" s="2">
        <v>3.79</v>
      </c>
      <c r="O820" s="2">
        <v>43.8</v>
      </c>
      <c r="P820" s="2" t="s">
        <v>519</v>
      </c>
      <c r="Q820" s="2">
        <v>21.9</v>
      </c>
      <c r="R820" s="25">
        <v>0</v>
      </c>
      <c r="U820">
        <v>0</v>
      </c>
      <c r="X820">
        <v>0</v>
      </c>
      <c r="AA820" s="2"/>
      <c r="AB820">
        <v>22</v>
      </c>
      <c r="AC820" s="55">
        <f t="shared" si="223"/>
        <v>629.14757999999995</v>
      </c>
      <c r="AD820" s="57">
        <v>0</v>
      </c>
      <c r="AE820" s="55">
        <v>0</v>
      </c>
      <c r="AF820" s="55">
        <v>0</v>
      </c>
      <c r="AG820" s="52">
        <f t="shared" si="220"/>
        <v>6.9935896439433182E-2</v>
      </c>
      <c r="AH820" s="52"/>
      <c r="AI820" s="52"/>
      <c r="AJ820" s="52"/>
      <c r="AK820" s="28">
        <v>1.655172413793103</v>
      </c>
      <c r="AL820" s="28">
        <v>1.7241379310344831</v>
      </c>
      <c r="AM820" s="28">
        <v>0.2068965517241379</v>
      </c>
      <c r="AN820" s="28">
        <v>0.27586206896551718</v>
      </c>
      <c r="AO820" s="28">
        <v>0.42857142857142849</v>
      </c>
      <c r="AP820" s="28">
        <v>0.4464285714285714</v>
      </c>
      <c r="AQ820" s="28">
        <v>5.3571428571428568E-2</v>
      </c>
      <c r="AR820" s="28">
        <v>7.1428571428571425E-2</v>
      </c>
      <c r="AS820" s="25">
        <v>1.1399999999999999</v>
      </c>
      <c r="AT820" s="25">
        <v>3.44</v>
      </c>
      <c r="AU820" s="25">
        <v>2.2999999999999998</v>
      </c>
      <c r="AV820" s="25">
        <v>2.5651724137931029</v>
      </c>
      <c r="AW820">
        <v>2.5651724137931029</v>
      </c>
      <c r="AX820">
        <v>6.53317716781069</v>
      </c>
      <c r="AY820" s="75"/>
      <c r="AZ820" s="75"/>
      <c r="BA820" s="75"/>
      <c r="BB820">
        <v>3.4967948219716591E-2</v>
      </c>
      <c r="BF820">
        <v>6.9935896439433182E-2</v>
      </c>
      <c r="BG820">
        <v>3.4967948219716591E-2</v>
      </c>
      <c r="BH820">
        <v>0</v>
      </c>
      <c r="BI820" s="79" t="s">
        <v>1264</v>
      </c>
      <c r="BJ820" s="79">
        <v>1373</v>
      </c>
      <c r="BK820" s="79">
        <v>12</v>
      </c>
      <c r="BM820" s="79" t="s">
        <v>464</v>
      </c>
      <c r="BN820" s="79" t="s">
        <v>464</v>
      </c>
      <c r="BO820" s="79">
        <v>0</v>
      </c>
      <c r="BQ820" s="79">
        <v>0.5</v>
      </c>
      <c r="BR820" s="79">
        <v>1</v>
      </c>
      <c r="BS820" s="95" t="s">
        <v>464</v>
      </c>
      <c r="BT820" s="95" t="s">
        <v>464</v>
      </c>
      <c r="BU820" s="95" t="s">
        <v>1266</v>
      </c>
      <c r="BV820" s="95">
        <v>125</v>
      </c>
      <c r="BW820" s="95">
        <v>220</v>
      </c>
      <c r="BX820" s="95" t="s">
        <v>1287</v>
      </c>
      <c r="BY820" s="95">
        <f t="shared" si="222"/>
        <v>288</v>
      </c>
      <c r="BZ820" s="81">
        <v>4480</v>
      </c>
      <c r="CA820" s="2"/>
    </row>
    <row r="821" spans="1:79" x14ac:dyDescent="0.3">
      <c r="A821" s="2" t="s">
        <v>391</v>
      </c>
      <c r="B821" s="18" t="s">
        <v>1053</v>
      </c>
      <c r="C821" s="13"/>
      <c r="D821" s="2">
        <v>3.33</v>
      </c>
      <c r="E821" s="2" t="s">
        <v>380</v>
      </c>
      <c r="F821" s="9">
        <v>-1</v>
      </c>
      <c r="G821">
        <v>-1</v>
      </c>
      <c r="I821" s="2">
        <v>2</v>
      </c>
      <c r="J821" s="25">
        <v>0</v>
      </c>
      <c r="K821">
        <v>0</v>
      </c>
      <c r="L821">
        <v>0</v>
      </c>
      <c r="M821" s="2">
        <v>3.78</v>
      </c>
      <c r="N821" s="2">
        <v>3.78</v>
      </c>
      <c r="O821" s="2">
        <v>47.3</v>
      </c>
      <c r="P821" s="2" t="s">
        <v>519</v>
      </c>
      <c r="Q821" s="2">
        <v>23.7</v>
      </c>
      <c r="R821" s="25">
        <v>0</v>
      </c>
      <c r="U821">
        <v>0</v>
      </c>
      <c r="X821">
        <v>0</v>
      </c>
      <c r="AA821" s="2"/>
      <c r="AB821">
        <v>22</v>
      </c>
      <c r="AC821" s="55">
        <f t="shared" si="223"/>
        <v>675.84131999999988</v>
      </c>
      <c r="AD821" s="57">
        <v>0</v>
      </c>
      <c r="AE821" s="55">
        <v>0</v>
      </c>
      <c r="AF821" s="55">
        <v>0</v>
      </c>
      <c r="AG821" s="52">
        <f t="shared" si="220"/>
        <v>6.5104039510339509E-2</v>
      </c>
      <c r="AH821" s="52"/>
      <c r="AI821" s="52"/>
      <c r="AJ821" s="52"/>
      <c r="AK821" s="28">
        <v>1.625</v>
      </c>
      <c r="AL821" s="28">
        <v>1.625</v>
      </c>
      <c r="AM821" s="28">
        <v>0.1875</v>
      </c>
      <c r="AN821" s="28">
        <v>0.25</v>
      </c>
      <c r="AO821" s="28">
        <v>0.44067796610169491</v>
      </c>
      <c r="AP821" s="28">
        <v>0.44067796610169491</v>
      </c>
      <c r="AQ821" s="28">
        <v>5.0847457627118647E-2</v>
      </c>
      <c r="AR821" s="28">
        <v>6.7796610169491525E-2</v>
      </c>
      <c r="AS821" s="25">
        <v>1.1399999999999999</v>
      </c>
      <c r="AT821" s="25">
        <v>3.44</v>
      </c>
      <c r="AU821" s="25">
        <v>2.2999999999999998</v>
      </c>
      <c r="AV821" s="25">
        <v>2.5418750000000001</v>
      </c>
      <c r="AW821">
        <v>2.5418750000000001</v>
      </c>
      <c r="AX821">
        <v>6.5648866022566246</v>
      </c>
      <c r="AY821" s="75"/>
      <c r="AZ821" s="75"/>
      <c r="BA821" s="75"/>
      <c r="BB821">
        <v>3.2552019755169748E-2</v>
      </c>
      <c r="BF821">
        <v>6.5104039510339509E-2</v>
      </c>
      <c r="BG821">
        <v>3.2552019755169748E-2</v>
      </c>
      <c r="BH821">
        <v>0</v>
      </c>
      <c r="BI821" s="79" t="s">
        <v>1264</v>
      </c>
      <c r="BJ821" s="79">
        <v>1373</v>
      </c>
      <c r="BK821" s="79">
        <v>12</v>
      </c>
      <c r="BM821" s="79" t="s">
        <v>464</v>
      </c>
      <c r="BN821" s="79" t="s">
        <v>464</v>
      </c>
      <c r="BO821" s="79">
        <v>0</v>
      </c>
      <c r="BP821" s="79">
        <v>3.87</v>
      </c>
      <c r="BQ821" s="79">
        <v>0.5</v>
      </c>
      <c r="BR821" s="79">
        <v>1</v>
      </c>
      <c r="BS821" s="95" t="s">
        <v>464</v>
      </c>
      <c r="BT821" s="95" t="s">
        <v>464</v>
      </c>
      <c r="BU821" s="95" t="s">
        <v>1266</v>
      </c>
      <c r="BV821" s="95">
        <v>125</v>
      </c>
      <c r="BW821" s="95">
        <v>220</v>
      </c>
      <c r="BX821" s="95" t="s">
        <v>1287</v>
      </c>
      <c r="BY821" s="95">
        <f t="shared" si="222"/>
        <v>288</v>
      </c>
      <c r="BZ821" s="81">
        <v>3340</v>
      </c>
      <c r="CA821" s="2"/>
    </row>
    <row r="822" spans="1:79" x14ac:dyDescent="0.3">
      <c r="A822" s="2" t="s">
        <v>392</v>
      </c>
      <c r="B822" s="18" t="s">
        <v>1054</v>
      </c>
      <c r="C822" s="13"/>
      <c r="D822" s="2">
        <v>3.35</v>
      </c>
      <c r="E822" s="2" t="s">
        <v>380</v>
      </c>
      <c r="F822" s="9">
        <v>-1</v>
      </c>
      <c r="G822">
        <v>-1</v>
      </c>
      <c r="I822" s="2">
        <v>1</v>
      </c>
      <c r="J822" s="25">
        <v>0</v>
      </c>
      <c r="K822">
        <v>0</v>
      </c>
      <c r="L822">
        <v>0</v>
      </c>
      <c r="M822" s="2">
        <v>3.81</v>
      </c>
      <c r="N822" s="2">
        <v>3.81</v>
      </c>
      <c r="O822" s="2">
        <v>28.3</v>
      </c>
      <c r="P822" s="2" t="s">
        <v>519</v>
      </c>
      <c r="Q822" s="2">
        <v>28.3</v>
      </c>
      <c r="R822" s="25">
        <v>0</v>
      </c>
      <c r="U822">
        <v>0</v>
      </c>
      <c r="X822">
        <v>0</v>
      </c>
      <c r="AA822" s="2"/>
      <c r="AB822">
        <v>22</v>
      </c>
      <c r="AC822" s="55">
        <f t="shared" si="223"/>
        <v>410.80563000000001</v>
      </c>
      <c r="AD822" s="57">
        <v>0</v>
      </c>
      <c r="AE822" s="55">
        <v>0</v>
      </c>
      <c r="AF822" s="55">
        <v>0</v>
      </c>
      <c r="AG822" s="52">
        <f t="shared" si="220"/>
        <v>5.3553306949566393E-2</v>
      </c>
      <c r="AH822" s="52"/>
      <c r="AI822" s="52"/>
      <c r="AJ822" s="52"/>
      <c r="AK822" s="28">
        <v>1.5789473684210531</v>
      </c>
      <c r="AL822" s="28">
        <v>1.4736842105263159</v>
      </c>
      <c r="AM822" s="28">
        <v>0.15789473684210531</v>
      </c>
      <c r="AN822" s="28">
        <v>0.2105263157894737</v>
      </c>
      <c r="AO822" s="28">
        <v>0.46153846153846162</v>
      </c>
      <c r="AP822" s="28">
        <v>0.43076923076923068</v>
      </c>
      <c r="AQ822" s="28">
        <v>4.6153846153846149E-2</v>
      </c>
      <c r="AR822" s="28">
        <v>6.1538461538461528E-2</v>
      </c>
      <c r="AS822" s="25">
        <v>1.1399999999999999</v>
      </c>
      <c r="AT822" s="25">
        <v>3.44</v>
      </c>
      <c r="AU822" s="25">
        <v>2.2999999999999998</v>
      </c>
      <c r="AV822" s="25">
        <v>2.5063157894736841</v>
      </c>
      <c r="AW822">
        <v>2.5063157894736841</v>
      </c>
      <c r="AX822">
        <v>6.6132852127267361</v>
      </c>
      <c r="AY822" s="75"/>
      <c r="AZ822" s="75"/>
      <c r="BA822" s="75"/>
      <c r="BB822">
        <v>2.67766534747832E-2</v>
      </c>
      <c r="BF822">
        <v>5.3553306949566393E-2</v>
      </c>
      <c r="BG822">
        <v>2.67766534747832E-2</v>
      </c>
      <c r="BH822">
        <v>0</v>
      </c>
      <c r="BI822" s="79" t="s">
        <v>1264</v>
      </c>
      <c r="BJ822" s="79">
        <v>1373</v>
      </c>
      <c r="BK822" s="79">
        <v>12</v>
      </c>
      <c r="BM822" s="79" t="s">
        <v>464</v>
      </c>
      <c r="BN822" s="79" t="s">
        <v>464</v>
      </c>
      <c r="BO822" s="79">
        <v>0</v>
      </c>
      <c r="BQ822" s="79">
        <v>0.5</v>
      </c>
      <c r="BR822" s="79">
        <v>1</v>
      </c>
      <c r="BS822" s="95" t="s">
        <v>464</v>
      </c>
      <c r="BT822" s="95" t="s">
        <v>464</v>
      </c>
      <c r="BU822" s="95" t="s">
        <v>1266</v>
      </c>
      <c r="BV822" s="95">
        <v>125</v>
      </c>
      <c r="BW822" s="95">
        <v>220</v>
      </c>
      <c r="BX822" s="95" t="s">
        <v>1287</v>
      </c>
      <c r="BY822" s="95">
        <f t="shared" si="222"/>
        <v>288</v>
      </c>
      <c r="BZ822" s="81">
        <v>3916</v>
      </c>
      <c r="CA822" s="2"/>
    </row>
    <row r="823" spans="1:79" x14ac:dyDescent="0.3">
      <c r="A823" s="2" t="s">
        <v>1133</v>
      </c>
      <c r="B823" s="18" t="s">
        <v>1055</v>
      </c>
      <c r="C823" s="13"/>
      <c r="D823" s="2">
        <v>3.36</v>
      </c>
      <c r="E823" s="2" t="s">
        <v>380</v>
      </c>
      <c r="F823" s="9">
        <v>-1</v>
      </c>
      <c r="G823">
        <v>-1</v>
      </c>
      <c r="I823" s="2">
        <v>1</v>
      </c>
      <c r="J823" s="25">
        <v>0</v>
      </c>
      <c r="K823">
        <v>0</v>
      </c>
      <c r="L823">
        <v>0</v>
      </c>
      <c r="M823" s="2">
        <v>3.74</v>
      </c>
      <c r="N823" s="2">
        <v>3.74</v>
      </c>
      <c r="O823" s="2">
        <v>30.8</v>
      </c>
      <c r="P823" s="2" t="s">
        <v>519</v>
      </c>
      <c r="Q823" s="2">
        <v>30.8</v>
      </c>
      <c r="R823" s="25">
        <v>0</v>
      </c>
      <c r="U823">
        <v>0</v>
      </c>
      <c r="X823">
        <v>0</v>
      </c>
      <c r="AA823" s="2"/>
      <c r="AB823">
        <v>22</v>
      </c>
      <c r="AC823" s="55">
        <f t="shared" si="223"/>
        <v>430.81808000000007</v>
      </c>
      <c r="AD823" s="57">
        <v>0</v>
      </c>
      <c r="AE823" s="55">
        <v>0</v>
      </c>
      <c r="AF823" s="55">
        <v>0</v>
      </c>
      <c r="AG823" s="52">
        <f t="shared" si="220"/>
        <v>5.1065637728110194E-2</v>
      </c>
      <c r="AH823" s="52"/>
      <c r="AI823" s="52"/>
      <c r="AJ823" s="52"/>
      <c r="AK823" s="28">
        <v>1.545454545454545</v>
      </c>
      <c r="AL823" s="28">
        <v>1.363636363636364</v>
      </c>
      <c r="AM823" s="28">
        <v>0.13636363636363641</v>
      </c>
      <c r="AN823" s="28">
        <v>0.1818181818181818</v>
      </c>
      <c r="AO823" s="28">
        <v>0.47887323943661969</v>
      </c>
      <c r="AP823" s="28">
        <v>0.42253521126760563</v>
      </c>
      <c r="AQ823" s="28">
        <v>4.2253521126760563E-2</v>
      </c>
      <c r="AR823" s="28">
        <v>5.6338028169014093E-2</v>
      </c>
      <c r="AS823" s="25">
        <v>1.1399999999999999</v>
      </c>
      <c r="AT823" s="25">
        <v>3.44</v>
      </c>
      <c r="AU823" s="25">
        <v>2.2999999999999998</v>
      </c>
      <c r="AV823" s="25">
        <v>2.4804545454545459</v>
      </c>
      <c r="AW823">
        <v>2.480454545454545</v>
      </c>
      <c r="AX823">
        <v>6.6484842021595449</v>
      </c>
      <c r="AY823" s="75"/>
      <c r="AZ823" s="75"/>
      <c r="BA823" s="75"/>
      <c r="BB823">
        <v>2.5532818864055101E-2</v>
      </c>
      <c r="BF823">
        <v>5.1065637728110187E-2</v>
      </c>
      <c r="BG823">
        <v>2.5532818864055101E-2</v>
      </c>
      <c r="BH823">
        <v>0</v>
      </c>
      <c r="BI823" s="79" t="s">
        <v>1264</v>
      </c>
      <c r="BJ823" s="79">
        <v>1373</v>
      </c>
      <c r="BK823" s="79">
        <v>12</v>
      </c>
      <c r="BM823" s="79" t="s">
        <v>464</v>
      </c>
      <c r="BN823" s="79" t="s">
        <v>464</v>
      </c>
      <c r="BO823" s="79">
        <v>0</v>
      </c>
      <c r="BP823" s="79">
        <v>4.66</v>
      </c>
      <c r="BQ823" s="79">
        <v>0.5</v>
      </c>
      <c r="BR823" s="79">
        <v>1</v>
      </c>
      <c r="BS823" s="95" t="s">
        <v>464</v>
      </c>
      <c r="BT823" s="95" t="s">
        <v>464</v>
      </c>
      <c r="BU823" s="95" t="s">
        <v>1266</v>
      </c>
      <c r="BV823" s="95">
        <v>125</v>
      </c>
      <c r="BW823" s="95">
        <v>220</v>
      </c>
      <c r="BX823" s="95" t="s">
        <v>1287</v>
      </c>
      <c r="BY823" s="95">
        <f t="shared" si="222"/>
        <v>288</v>
      </c>
      <c r="BZ823" s="81">
        <v>1680</v>
      </c>
      <c r="CA823" s="2"/>
    </row>
    <row r="824" spans="1:79" x14ac:dyDescent="0.3">
      <c r="A824" s="2" t="s">
        <v>353</v>
      </c>
      <c r="B824" s="13" t="s">
        <v>834</v>
      </c>
      <c r="C824" s="13"/>
      <c r="D824" s="2">
        <v>3.44</v>
      </c>
      <c r="E824" s="2" t="s">
        <v>380</v>
      </c>
      <c r="F824" s="9">
        <v>-1</v>
      </c>
      <c r="G824">
        <v>-1</v>
      </c>
      <c r="I824" s="2">
        <v>2</v>
      </c>
      <c r="J824" s="25">
        <v>0</v>
      </c>
      <c r="K824">
        <v>0</v>
      </c>
      <c r="L824">
        <v>0</v>
      </c>
      <c r="M824" s="2">
        <v>3.79</v>
      </c>
      <c r="N824" s="2">
        <v>3.79</v>
      </c>
      <c r="O824" s="2">
        <v>27.2</v>
      </c>
      <c r="P824" s="2" t="s">
        <v>519</v>
      </c>
      <c r="Q824" s="2">
        <v>13.6</v>
      </c>
      <c r="R824" s="25">
        <v>0</v>
      </c>
      <c r="U824">
        <v>0</v>
      </c>
      <c r="X824">
        <v>0</v>
      </c>
      <c r="AA824" s="2"/>
      <c r="AB824">
        <v>20</v>
      </c>
      <c r="AC824" s="55">
        <f t="shared" si="223"/>
        <v>390.70352000000003</v>
      </c>
      <c r="AD824" s="57">
        <v>0</v>
      </c>
      <c r="AE824" s="55">
        <v>0</v>
      </c>
      <c r="AF824" s="55">
        <v>0</v>
      </c>
      <c r="AG824" s="52">
        <f t="shared" ref="AG824:AG849" si="224">I824*AB824/AC824</f>
        <v>0.10237942058981193</v>
      </c>
      <c r="AH824" s="52"/>
      <c r="AI824" s="52"/>
      <c r="AJ824" s="52"/>
      <c r="AK824" s="28">
        <v>1.882352941176471</v>
      </c>
      <c r="AL824" s="28">
        <v>2.3529411764705879</v>
      </c>
      <c r="AM824" s="28">
        <v>0.47058823529411759</v>
      </c>
      <c r="AN824" s="28">
        <v>0</v>
      </c>
      <c r="AO824" s="28">
        <v>0.4</v>
      </c>
      <c r="AP824" s="28">
        <v>0.5</v>
      </c>
      <c r="AQ824" s="28">
        <v>9.9999999999999992E-2</v>
      </c>
      <c r="AR824" s="28">
        <v>0</v>
      </c>
      <c r="AS824" s="25">
        <v>1.1000000000000001</v>
      </c>
      <c r="AT824" s="25">
        <v>3.44</v>
      </c>
      <c r="AU824" s="25">
        <v>2.34</v>
      </c>
      <c r="AV824" s="25">
        <v>2.6835294117647059</v>
      </c>
      <c r="AW824">
        <v>2.6835294117647059</v>
      </c>
      <c r="AX824">
        <v>6.2493398705707062</v>
      </c>
      <c r="AY824" s="75"/>
      <c r="AZ824" s="75"/>
      <c r="BA824" s="75"/>
      <c r="BB824">
        <v>5.1189710294905967E-2</v>
      </c>
      <c r="BF824">
        <v>0.10237942058981191</v>
      </c>
      <c r="BG824">
        <v>5.1189710294905967E-2</v>
      </c>
      <c r="BH824">
        <v>0</v>
      </c>
      <c r="BI824" s="79" t="s">
        <v>1264</v>
      </c>
      <c r="BJ824" s="79">
        <v>1373</v>
      </c>
      <c r="BK824" s="79">
        <v>12</v>
      </c>
      <c r="BM824" s="79" t="s">
        <v>1268</v>
      </c>
      <c r="BN824" s="79" t="s">
        <v>863</v>
      </c>
      <c r="BO824" s="79">
        <v>1</v>
      </c>
      <c r="BP824" s="79">
        <v>3.24</v>
      </c>
      <c r="BQ824" s="79">
        <v>0.5</v>
      </c>
      <c r="BR824" s="79">
        <v>1</v>
      </c>
      <c r="BS824" s="95" t="s">
        <v>464</v>
      </c>
      <c r="BT824" s="95" t="s">
        <v>464</v>
      </c>
      <c r="BU824" s="95" t="s">
        <v>1266</v>
      </c>
      <c r="BV824" s="95">
        <v>125</v>
      </c>
      <c r="BW824" s="95">
        <v>220</v>
      </c>
      <c r="BX824" s="95" t="s">
        <v>1287</v>
      </c>
      <c r="BY824" s="95">
        <f t="shared" si="222"/>
        <v>288</v>
      </c>
      <c r="BZ824" s="81">
        <v>3403.9999999999995</v>
      </c>
      <c r="CA824" s="2"/>
    </row>
    <row r="825" spans="1:79" x14ac:dyDescent="0.3">
      <c r="A825" s="2" t="s">
        <v>369</v>
      </c>
      <c r="B825" s="18" t="s">
        <v>1034</v>
      </c>
      <c r="C825" s="13"/>
      <c r="D825" s="2">
        <v>3.34</v>
      </c>
      <c r="E825" s="2" t="s">
        <v>380</v>
      </c>
      <c r="F825" s="9">
        <v>-1</v>
      </c>
      <c r="G825">
        <v>-1</v>
      </c>
      <c r="I825" s="2">
        <v>2</v>
      </c>
      <c r="J825" s="25">
        <v>0</v>
      </c>
      <c r="K825">
        <v>0</v>
      </c>
      <c r="L825">
        <v>0</v>
      </c>
      <c r="M825" s="2">
        <v>3.83</v>
      </c>
      <c r="N825" s="2">
        <v>3.83</v>
      </c>
      <c r="O825" s="2">
        <v>36.700000000000003</v>
      </c>
      <c r="P825" s="2" t="s">
        <v>519</v>
      </c>
      <c r="Q825" s="2">
        <v>18.399999999999999</v>
      </c>
      <c r="R825" s="25">
        <v>0</v>
      </c>
      <c r="U825">
        <v>0</v>
      </c>
      <c r="X825">
        <v>0</v>
      </c>
      <c r="AA825" s="2"/>
      <c r="AB825">
        <v>20</v>
      </c>
      <c r="AC825" s="55">
        <f t="shared" ref="AC825:AC849" si="225">M825*N825*O825</f>
        <v>538.34863000000007</v>
      </c>
      <c r="AD825" s="57">
        <v>0</v>
      </c>
      <c r="AE825" s="55">
        <v>0</v>
      </c>
      <c r="AF825" s="55">
        <v>0</v>
      </c>
      <c r="AG825" s="52">
        <f t="shared" si="224"/>
        <v>7.4301294311829108E-2</v>
      </c>
      <c r="AH825" s="52"/>
      <c r="AI825" s="52"/>
      <c r="AJ825" s="52"/>
      <c r="AK825" s="28">
        <v>1.7391304347826091</v>
      </c>
      <c r="AL825" s="28">
        <v>1.956521739130435</v>
      </c>
      <c r="AM825" s="28">
        <v>0.34782608695652167</v>
      </c>
      <c r="AN825" s="28">
        <v>0</v>
      </c>
      <c r="AO825" s="28">
        <v>0.43010752688172038</v>
      </c>
      <c r="AP825" s="28">
        <v>0.48387096774193539</v>
      </c>
      <c r="AQ825" s="28">
        <v>8.6021505376344079E-2</v>
      </c>
      <c r="AR825" s="28">
        <v>0</v>
      </c>
      <c r="AS825" s="25">
        <v>1.1000000000000001</v>
      </c>
      <c r="AT825" s="25">
        <v>3.44</v>
      </c>
      <c r="AU825" s="25">
        <v>2.34</v>
      </c>
      <c r="AV825" s="25">
        <v>2.609130434782609</v>
      </c>
      <c r="AW825">
        <v>2.609130434782609</v>
      </c>
      <c r="AX825">
        <v>6.4538308176133041</v>
      </c>
      <c r="AY825" s="75"/>
      <c r="AZ825" s="75"/>
      <c r="BA825" s="75"/>
      <c r="BB825">
        <v>3.7150647155914547E-2</v>
      </c>
      <c r="BF825">
        <v>7.4301294311829108E-2</v>
      </c>
      <c r="BG825">
        <v>3.7150647155914547E-2</v>
      </c>
      <c r="BH825">
        <v>0</v>
      </c>
      <c r="BI825" s="79" t="s">
        <v>1264</v>
      </c>
      <c r="BJ825" s="79">
        <v>1373</v>
      </c>
      <c r="BK825" s="79">
        <v>12</v>
      </c>
      <c r="BM825" s="79" t="s">
        <v>1268</v>
      </c>
      <c r="BN825" s="79" t="s">
        <v>863</v>
      </c>
      <c r="BO825" s="79">
        <v>1</v>
      </c>
      <c r="BP825" s="79">
        <v>3.88</v>
      </c>
      <c r="BQ825" s="79">
        <v>0.5</v>
      </c>
      <c r="BR825" s="79">
        <v>1</v>
      </c>
      <c r="BS825" s="95" t="s">
        <v>464</v>
      </c>
      <c r="BT825" s="95" t="s">
        <v>464</v>
      </c>
      <c r="BU825" s="95" t="s">
        <v>1266</v>
      </c>
      <c r="BV825" s="95">
        <v>125</v>
      </c>
      <c r="BW825" s="95">
        <v>220</v>
      </c>
      <c r="BX825" s="95" t="s">
        <v>1287</v>
      </c>
      <c r="BY825" s="95">
        <f t="shared" si="222"/>
        <v>288</v>
      </c>
      <c r="BZ825" s="81">
        <v>65880</v>
      </c>
      <c r="CA825" s="2"/>
    </row>
    <row r="826" spans="1:79" x14ac:dyDescent="0.3">
      <c r="A826" s="2" t="s">
        <v>370</v>
      </c>
      <c r="B826" s="18" t="s">
        <v>1026</v>
      </c>
      <c r="C826" s="13"/>
      <c r="D826" s="2">
        <v>3.39</v>
      </c>
      <c r="E826" s="2" t="s">
        <v>380</v>
      </c>
      <c r="F826" s="9">
        <v>-1</v>
      </c>
      <c r="G826">
        <v>-1</v>
      </c>
      <c r="I826" s="2">
        <v>1</v>
      </c>
      <c r="J826" s="25">
        <v>0</v>
      </c>
      <c r="K826">
        <v>0</v>
      </c>
      <c r="L826">
        <v>0</v>
      </c>
      <c r="M826" s="2">
        <v>3.82</v>
      </c>
      <c r="N826" s="2">
        <v>3.82</v>
      </c>
      <c r="O826" s="2">
        <v>20.2</v>
      </c>
      <c r="P826" s="2" t="s">
        <v>519</v>
      </c>
      <c r="Q826" s="2">
        <v>20.2</v>
      </c>
      <c r="R826" s="25">
        <v>0</v>
      </c>
      <c r="U826">
        <v>0</v>
      </c>
      <c r="X826">
        <v>0</v>
      </c>
      <c r="AA826" s="2"/>
      <c r="AB826">
        <v>20</v>
      </c>
      <c r="AC826" s="55">
        <f t="shared" si="225"/>
        <v>294.76648</v>
      </c>
      <c r="AD826" s="57">
        <v>0</v>
      </c>
      <c r="AE826" s="55">
        <v>0</v>
      </c>
      <c r="AF826" s="55">
        <v>0</v>
      </c>
      <c r="AG826" s="52">
        <f t="shared" si="224"/>
        <v>6.7850320022819419E-2</v>
      </c>
      <c r="AH826" s="52"/>
      <c r="AI826" s="52"/>
      <c r="AJ826" s="52"/>
      <c r="AK826" s="28">
        <v>1.6923076923076921</v>
      </c>
      <c r="AL826" s="28">
        <v>1.8076923076923079</v>
      </c>
      <c r="AM826" s="28">
        <v>0.30769230769230771</v>
      </c>
      <c r="AN826" s="28">
        <v>0</v>
      </c>
      <c r="AO826" s="28">
        <v>0.44444444444444448</v>
      </c>
      <c r="AP826" s="28">
        <v>0.47474747474747481</v>
      </c>
      <c r="AQ826" s="28">
        <v>8.0808080808080815E-2</v>
      </c>
      <c r="AR826" s="28">
        <v>0</v>
      </c>
      <c r="AS826" s="25">
        <v>1.1000000000000001</v>
      </c>
      <c r="AT826" s="25">
        <v>3.44</v>
      </c>
      <c r="AU826" s="25">
        <v>2.34</v>
      </c>
      <c r="AV826" s="25">
        <v>2.5753846153846158</v>
      </c>
      <c r="AW826">
        <v>2.5753846153846149</v>
      </c>
      <c r="AX826">
        <v>6.5020131619541548</v>
      </c>
      <c r="AY826" s="75"/>
      <c r="AZ826" s="75"/>
      <c r="BA826" s="75"/>
      <c r="BB826">
        <v>3.3925160011409709E-2</v>
      </c>
      <c r="BF826">
        <v>6.7850320022819419E-2</v>
      </c>
      <c r="BG826">
        <v>3.3925160011409709E-2</v>
      </c>
      <c r="BH826">
        <v>0</v>
      </c>
      <c r="BI826" s="79" t="s">
        <v>1264</v>
      </c>
      <c r="BJ826" s="79">
        <v>1373</v>
      </c>
      <c r="BK826" s="79">
        <v>12</v>
      </c>
      <c r="BM826" s="79" t="s">
        <v>1268</v>
      </c>
      <c r="BN826" s="79" t="s">
        <v>863</v>
      </c>
      <c r="BO826" s="79">
        <v>1</v>
      </c>
      <c r="BQ826" s="79">
        <v>0.5</v>
      </c>
      <c r="BR826" s="79">
        <v>1</v>
      </c>
      <c r="BS826" s="95" t="s">
        <v>464</v>
      </c>
      <c r="BT826" s="95" t="s">
        <v>464</v>
      </c>
      <c r="BU826" s="95" t="s">
        <v>1266</v>
      </c>
      <c r="BV826" s="95">
        <v>125</v>
      </c>
      <c r="BW826" s="95">
        <v>220</v>
      </c>
      <c r="BX826" s="95" t="s">
        <v>1287</v>
      </c>
      <c r="BY826" s="95">
        <f t="shared" si="222"/>
        <v>288</v>
      </c>
      <c r="BZ826" s="81">
        <v>95400</v>
      </c>
      <c r="CA826" s="2"/>
    </row>
    <row r="827" spans="1:79" x14ac:dyDescent="0.3">
      <c r="A827" s="2" t="s">
        <v>371</v>
      </c>
      <c r="B827" s="18" t="s">
        <v>1035</v>
      </c>
      <c r="C827" s="13"/>
      <c r="D827" s="2">
        <v>3.4</v>
      </c>
      <c r="E827" s="2" t="s">
        <v>380</v>
      </c>
      <c r="F827" s="9">
        <v>-1</v>
      </c>
      <c r="G827">
        <v>-1</v>
      </c>
      <c r="I827" s="2">
        <v>1</v>
      </c>
      <c r="J827" s="25">
        <v>0</v>
      </c>
      <c r="K827">
        <v>0</v>
      </c>
      <c r="L827">
        <v>0</v>
      </c>
      <c r="M827" s="2">
        <v>3.82</v>
      </c>
      <c r="N827" s="2">
        <v>3.82</v>
      </c>
      <c r="O827" s="2">
        <v>21.7</v>
      </c>
      <c r="P827" s="2" t="s">
        <v>519</v>
      </c>
      <c r="Q827" s="2">
        <v>21.7</v>
      </c>
      <c r="R827" s="25">
        <v>0</v>
      </c>
      <c r="U827">
        <v>0</v>
      </c>
      <c r="X827">
        <v>0</v>
      </c>
      <c r="AA827" s="2"/>
      <c r="AB827">
        <v>20</v>
      </c>
      <c r="AC827" s="55">
        <f t="shared" si="225"/>
        <v>316.65508</v>
      </c>
      <c r="AD827" s="57">
        <v>0</v>
      </c>
      <c r="AE827" s="55">
        <v>0</v>
      </c>
      <c r="AF827" s="55">
        <v>0</v>
      </c>
      <c r="AG827" s="52">
        <f t="shared" si="224"/>
        <v>6.3160205735527761E-2</v>
      </c>
      <c r="AH827" s="52"/>
      <c r="AI827" s="52"/>
      <c r="AJ827" s="52"/>
      <c r="AK827" s="28">
        <v>1.655172413793103</v>
      </c>
      <c r="AL827" s="28">
        <v>1.6896551724137929</v>
      </c>
      <c r="AM827" s="28">
        <v>0.27586206896551718</v>
      </c>
      <c r="AN827" s="28">
        <v>0</v>
      </c>
      <c r="AO827" s="28">
        <v>0.45714285714285707</v>
      </c>
      <c r="AP827" s="28">
        <v>0.46666666666666667</v>
      </c>
      <c r="AQ827" s="28">
        <v>7.6190476190476197E-2</v>
      </c>
      <c r="AR827" s="28">
        <v>0</v>
      </c>
      <c r="AS827" s="25">
        <v>1.1000000000000001</v>
      </c>
      <c r="AT827" s="25">
        <v>3.44</v>
      </c>
      <c r="AU827" s="25">
        <v>2.34</v>
      </c>
      <c r="AV827" s="25">
        <v>2.5486206896551722</v>
      </c>
      <c r="AW827">
        <v>2.5486206896551722</v>
      </c>
      <c r="AX827">
        <v>6.5402267453968976</v>
      </c>
      <c r="AY827" s="75"/>
      <c r="AZ827" s="75"/>
      <c r="BA827" s="75"/>
      <c r="BB827">
        <v>3.158010286776388E-2</v>
      </c>
      <c r="BF827">
        <v>6.3160205735527761E-2</v>
      </c>
      <c r="BG827">
        <v>3.158010286776388E-2</v>
      </c>
      <c r="BH827">
        <v>0</v>
      </c>
      <c r="BI827" s="79" t="s">
        <v>1264</v>
      </c>
      <c r="BJ827" s="79">
        <v>1373</v>
      </c>
      <c r="BK827" s="79">
        <v>12</v>
      </c>
      <c r="BM827" s="79" t="s">
        <v>1268</v>
      </c>
      <c r="BN827" s="79" t="s">
        <v>863</v>
      </c>
      <c r="BO827" s="79">
        <v>1</v>
      </c>
      <c r="BQ827" s="79">
        <v>0.5</v>
      </c>
      <c r="BR827" s="79">
        <v>1</v>
      </c>
      <c r="BS827" s="95" t="s">
        <v>464</v>
      </c>
      <c r="BT827" s="95" t="s">
        <v>464</v>
      </c>
      <c r="BU827" s="95" t="s">
        <v>1266</v>
      </c>
      <c r="BV827" s="95">
        <v>125</v>
      </c>
      <c r="BW827" s="95">
        <v>220</v>
      </c>
      <c r="BX827" s="95" t="s">
        <v>1287</v>
      </c>
      <c r="BY827" s="95">
        <f t="shared" si="222"/>
        <v>288</v>
      </c>
      <c r="BZ827" s="81">
        <v>79560</v>
      </c>
      <c r="CA827" s="2"/>
    </row>
    <row r="828" spans="1:79" x14ac:dyDescent="0.3">
      <c r="A828" s="2" t="s">
        <v>372</v>
      </c>
      <c r="B828" s="18" t="s">
        <v>1036</v>
      </c>
      <c r="C828" s="13"/>
      <c r="D828" s="2">
        <v>3.42</v>
      </c>
      <c r="E828" s="2" t="s">
        <v>380</v>
      </c>
      <c r="F828" s="9">
        <v>-1</v>
      </c>
      <c r="G828">
        <v>-1</v>
      </c>
      <c r="I828" s="2">
        <v>1</v>
      </c>
      <c r="J828" s="25">
        <v>0</v>
      </c>
      <c r="K828">
        <v>0</v>
      </c>
      <c r="L828">
        <v>0</v>
      </c>
      <c r="M828" s="2">
        <v>3.81</v>
      </c>
      <c r="N828" s="2">
        <v>3.81</v>
      </c>
      <c r="O828" s="2">
        <v>24.7</v>
      </c>
      <c r="P828" s="2" t="s">
        <v>519</v>
      </c>
      <c r="Q828" s="2">
        <v>24.7</v>
      </c>
      <c r="R828" s="25">
        <v>0</v>
      </c>
      <c r="U828">
        <v>0</v>
      </c>
      <c r="X828">
        <v>0</v>
      </c>
      <c r="AA828" s="2"/>
      <c r="AB828">
        <v>20</v>
      </c>
      <c r="AC828" s="55">
        <f t="shared" si="225"/>
        <v>358.54766999999998</v>
      </c>
      <c r="AD828" s="57">
        <v>0</v>
      </c>
      <c r="AE828" s="55">
        <v>0</v>
      </c>
      <c r="AF828" s="55">
        <v>0</v>
      </c>
      <c r="AG828" s="52">
        <f t="shared" si="224"/>
        <v>5.5780588394285201E-2</v>
      </c>
      <c r="AH828" s="52"/>
      <c r="AI828" s="52"/>
      <c r="AJ828" s="52"/>
      <c r="AK828" s="28">
        <v>1.625</v>
      </c>
      <c r="AL828" s="28">
        <v>1.59375</v>
      </c>
      <c r="AM828" s="28">
        <v>0.25</v>
      </c>
      <c r="AN828" s="28">
        <v>0</v>
      </c>
      <c r="AO828" s="28">
        <v>0.46846846846846851</v>
      </c>
      <c r="AP828" s="28">
        <v>0.45945945945945948</v>
      </c>
      <c r="AQ828" s="28">
        <v>7.2072072072072071E-2</v>
      </c>
      <c r="AR828" s="28">
        <v>0</v>
      </c>
      <c r="AS828" s="25">
        <v>1.1000000000000001</v>
      </c>
      <c r="AT828" s="25">
        <v>3.44</v>
      </c>
      <c r="AU828" s="25">
        <v>2.34</v>
      </c>
      <c r="AV828" s="25">
        <v>2.526875</v>
      </c>
      <c r="AW828">
        <v>2.526875</v>
      </c>
      <c r="AX828">
        <v>6.5712752819441249</v>
      </c>
      <c r="AY828" s="75"/>
      <c r="AZ828" s="75"/>
      <c r="BA828" s="75"/>
      <c r="BB828">
        <v>2.78902941971426E-2</v>
      </c>
      <c r="BF828">
        <v>5.5780588394285201E-2</v>
      </c>
      <c r="BG828">
        <v>2.78902941971426E-2</v>
      </c>
      <c r="BH828">
        <v>0</v>
      </c>
      <c r="BI828" s="79" t="s">
        <v>1264</v>
      </c>
      <c r="BJ828" s="79">
        <v>1373</v>
      </c>
      <c r="BK828" s="79">
        <v>12</v>
      </c>
      <c r="BM828" s="79" t="s">
        <v>1268</v>
      </c>
      <c r="BN828" s="79" t="s">
        <v>863</v>
      </c>
      <c r="BO828" s="79">
        <v>1</v>
      </c>
      <c r="BP828" s="79">
        <v>4.09</v>
      </c>
      <c r="BQ828" s="79">
        <v>0.5</v>
      </c>
      <c r="BR828" s="79">
        <v>1</v>
      </c>
      <c r="BS828" s="95" t="s">
        <v>464</v>
      </c>
      <c r="BT828" s="95" t="s">
        <v>464</v>
      </c>
      <c r="BU828" s="95" t="s">
        <v>1266</v>
      </c>
      <c r="BV828" s="95">
        <v>125</v>
      </c>
      <c r="BW828" s="95">
        <v>220</v>
      </c>
      <c r="BX828" s="95" t="s">
        <v>1287</v>
      </c>
      <c r="BY828" s="95">
        <f t="shared" si="222"/>
        <v>288</v>
      </c>
      <c r="BZ828" s="81">
        <v>87240</v>
      </c>
      <c r="CA828" s="2"/>
    </row>
    <row r="829" spans="1:79" x14ac:dyDescent="0.3">
      <c r="A829" s="2" t="s">
        <v>373</v>
      </c>
      <c r="B829" s="18" t="s">
        <v>1037</v>
      </c>
      <c r="C829" s="13"/>
      <c r="D829" s="2">
        <v>3.41</v>
      </c>
      <c r="E829" s="2" t="s">
        <v>380</v>
      </c>
      <c r="F829" s="9">
        <v>-1</v>
      </c>
      <c r="G829">
        <v>-1</v>
      </c>
      <c r="I829" s="2">
        <v>1</v>
      </c>
      <c r="J829" s="25">
        <v>0</v>
      </c>
      <c r="K829">
        <v>0</v>
      </c>
      <c r="L829">
        <v>0</v>
      </c>
      <c r="M829" s="2">
        <v>3.87</v>
      </c>
      <c r="N829" s="2">
        <v>3.87</v>
      </c>
      <c r="O829" s="2">
        <v>29.4</v>
      </c>
      <c r="P829" s="2" t="s">
        <v>519</v>
      </c>
      <c r="Q829" s="2">
        <v>29.4</v>
      </c>
      <c r="R829" s="25">
        <v>0</v>
      </c>
      <c r="U829">
        <v>0</v>
      </c>
      <c r="X829">
        <v>0</v>
      </c>
      <c r="AA829" s="2"/>
      <c r="AB829">
        <v>20</v>
      </c>
      <c r="AC829" s="55">
        <f t="shared" si="225"/>
        <v>440.32085999999998</v>
      </c>
      <c r="AD829" s="57">
        <v>0</v>
      </c>
      <c r="AE829" s="55">
        <v>0</v>
      </c>
      <c r="AF829" s="55">
        <v>0</v>
      </c>
      <c r="AG829" s="52">
        <f t="shared" si="224"/>
        <v>4.5421422914190351E-2</v>
      </c>
      <c r="AH829" s="52"/>
      <c r="AI829" s="52"/>
      <c r="AJ829" s="52"/>
      <c r="AK829" s="28">
        <v>1.5789473684210531</v>
      </c>
      <c r="AL829" s="28">
        <v>1.4473684210526321</v>
      </c>
      <c r="AM829" s="28">
        <v>0.2105263157894737</v>
      </c>
      <c r="AN829" s="28">
        <v>0</v>
      </c>
      <c r="AO829" s="28">
        <v>0.48780487804878048</v>
      </c>
      <c r="AP829" s="28">
        <v>0.44715447154471538</v>
      </c>
      <c r="AQ829" s="28">
        <v>6.5040650406504058E-2</v>
      </c>
      <c r="AR829" s="28">
        <v>0</v>
      </c>
      <c r="AS829" s="25">
        <v>1.1000000000000001</v>
      </c>
      <c r="AT829" s="25">
        <v>3.44</v>
      </c>
      <c r="AU829" s="25">
        <v>2.34</v>
      </c>
      <c r="AV829" s="25">
        <v>2.4936842105263159</v>
      </c>
      <c r="AW829">
        <v>2.4936842105263159</v>
      </c>
      <c r="AX829">
        <v>6.6186651535162104</v>
      </c>
      <c r="AY829" s="75"/>
      <c r="AZ829" s="75"/>
      <c r="BA829" s="75"/>
      <c r="BB829">
        <v>2.2710711457095179E-2</v>
      </c>
      <c r="BF829">
        <v>4.5421422914190351E-2</v>
      </c>
      <c r="BG829">
        <v>2.2710711457095179E-2</v>
      </c>
      <c r="BH829">
        <v>0</v>
      </c>
      <c r="BI829" s="79" t="s">
        <v>1264</v>
      </c>
      <c r="BJ829" s="79">
        <v>1373</v>
      </c>
      <c r="BK829" s="79">
        <v>12</v>
      </c>
      <c r="BM829" s="79" t="s">
        <v>1268</v>
      </c>
      <c r="BN829" s="79" t="s">
        <v>863</v>
      </c>
      <c r="BO829" s="79">
        <v>1</v>
      </c>
      <c r="BQ829" s="79">
        <v>0.5</v>
      </c>
      <c r="BR829" s="79">
        <v>1</v>
      </c>
      <c r="BS829" s="95" t="s">
        <v>464</v>
      </c>
      <c r="BT829" s="95" t="s">
        <v>464</v>
      </c>
      <c r="BU829" s="95" t="s">
        <v>1266</v>
      </c>
      <c r="BV829" s="95">
        <v>125</v>
      </c>
      <c r="BW829" s="95">
        <v>220</v>
      </c>
      <c r="BX829" s="95" t="s">
        <v>1287</v>
      </c>
      <c r="BY829" s="95">
        <f t="shared" si="222"/>
        <v>288</v>
      </c>
      <c r="BZ829" s="81">
        <v>66200</v>
      </c>
      <c r="CA829" s="2"/>
    </row>
    <row r="830" spans="1:79" x14ac:dyDescent="0.3">
      <c r="A830" s="2" t="s">
        <v>374</v>
      </c>
      <c r="B830" s="18" t="s">
        <v>1038</v>
      </c>
      <c r="C830" s="13"/>
      <c r="D830" s="2">
        <v>3.4</v>
      </c>
      <c r="E830" s="2" t="s">
        <v>380</v>
      </c>
      <c r="F830" s="9">
        <v>-1</v>
      </c>
      <c r="G830">
        <v>-1</v>
      </c>
      <c r="I830" s="2">
        <v>1</v>
      </c>
      <c r="J830" s="25">
        <v>0</v>
      </c>
      <c r="K830">
        <v>0</v>
      </c>
      <c r="L830">
        <v>0</v>
      </c>
      <c r="M830" s="2">
        <v>3.85</v>
      </c>
      <c r="N830" s="2">
        <v>3.85</v>
      </c>
      <c r="O830" s="2">
        <v>34.200000000000003</v>
      </c>
      <c r="P830" s="2" t="s">
        <v>519</v>
      </c>
      <c r="Q830" s="2">
        <v>34.200000000000003</v>
      </c>
      <c r="R830" s="25">
        <v>0</v>
      </c>
      <c r="U830">
        <v>0</v>
      </c>
      <c r="X830">
        <v>0</v>
      </c>
      <c r="AA830" s="2"/>
      <c r="AB830">
        <v>20</v>
      </c>
      <c r="AC830" s="55">
        <f t="shared" si="225"/>
        <v>506.92950000000008</v>
      </c>
      <c r="AD830" s="57">
        <v>0</v>
      </c>
      <c r="AE830" s="55">
        <v>0</v>
      </c>
      <c r="AF830" s="55">
        <v>0</v>
      </c>
      <c r="AG830" s="52">
        <f t="shared" si="224"/>
        <v>3.9453217853764669E-2</v>
      </c>
      <c r="AH830" s="52"/>
      <c r="AI830" s="52"/>
      <c r="AJ830" s="52"/>
      <c r="AK830" s="28">
        <v>1.545454545454545</v>
      </c>
      <c r="AL830" s="28">
        <v>1.3409090909090911</v>
      </c>
      <c r="AM830" s="28">
        <v>0.1818181818181818</v>
      </c>
      <c r="AN830" s="28">
        <v>0</v>
      </c>
      <c r="AO830" s="28">
        <v>0.50370370370370365</v>
      </c>
      <c r="AP830" s="28">
        <v>0.437037037037037</v>
      </c>
      <c r="AQ830" s="28">
        <v>5.9259259259259248E-2</v>
      </c>
      <c r="AR830" s="28">
        <v>0</v>
      </c>
      <c r="AS830" s="25">
        <v>1.1000000000000001</v>
      </c>
      <c r="AT830" s="25">
        <v>3.44</v>
      </c>
      <c r="AU830" s="25">
        <v>2.34</v>
      </c>
      <c r="AV830" s="25">
        <v>2.4695454545454552</v>
      </c>
      <c r="AW830">
        <v>2.4695454545454538</v>
      </c>
      <c r="AX830">
        <v>6.6531305146595452</v>
      </c>
      <c r="AY830" s="75"/>
      <c r="AZ830" s="75"/>
      <c r="BA830" s="75"/>
      <c r="BB830">
        <v>1.9726608926882331E-2</v>
      </c>
      <c r="BF830">
        <v>3.9453217853764669E-2</v>
      </c>
      <c r="BG830">
        <v>1.9726608926882331E-2</v>
      </c>
      <c r="BH830">
        <v>0</v>
      </c>
      <c r="BI830" s="79" t="s">
        <v>1264</v>
      </c>
      <c r="BJ830" s="79">
        <v>1373</v>
      </c>
      <c r="BK830" s="79">
        <v>12</v>
      </c>
      <c r="BM830" s="79" t="s">
        <v>1268</v>
      </c>
      <c r="BN830" s="79" t="s">
        <v>863</v>
      </c>
      <c r="BO830" s="79">
        <v>1</v>
      </c>
      <c r="BP830" s="79">
        <v>4.38</v>
      </c>
      <c r="BQ830" s="79">
        <v>0.5</v>
      </c>
      <c r="BR830" s="79">
        <v>1</v>
      </c>
      <c r="BS830" s="95" t="s">
        <v>464</v>
      </c>
      <c r="BT830" s="95" t="s">
        <v>464</v>
      </c>
      <c r="BU830" s="95" t="s">
        <v>1266</v>
      </c>
      <c r="BV830" s="95">
        <v>125</v>
      </c>
      <c r="BW830" s="95">
        <v>220</v>
      </c>
      <c r="BX830" s="95" t="s">
        <v>1287</v>
      </c>
      <c r="BY830" s="95">
        <f t="shared" si="222"/>
        <v>288</v>
      </c>
      <c r="BZ830" s="81">
        <v>73440</v>
      </c>
      <c r="CA830" s="2"/>
    </row>
    <row r="831" spans="1:79" x14ac:dyDescent="0.3">
      <c r="A831" s="2" t="s">
        <v>375</v>
      </c>
      <c r="B831" s="18" t="s">
        <v>1039</v>
      </c>
      <c r="C831" s="13"/>
      <c r="D831" s="2">
        <v>3.33</v>
      </c>
      <c r="E831" s="2" t="s">
        <v>380</v>
      </c>
      <c r="F831" s="9">
        <v>-1</v>
      </c>
      <c r="G831">
        <v>-1</v>
      </c>
      <c r="I831" s="2">
        <v>2</v>
      </c>
      <c r="J831" s="25">
        <v>0</v>
      </c>
      <c r="K831">
        <v>0</v>
      </c>
      <c r="L831">
        <v>0</v>
      </c>
      <c r="M831" s="2">
        <v>3.81</v>
      </c>
      <c r="N831" s="2">
        <v>3.81</v>
      </c>
      <c r="O831" s="2">
        <v>35.1</v>
      </c>
      <c r="P831" s="2" t="s">
        <v>519</v>
      </c>
      <c r="Q831" s="2">
        <v>17.600000000000001</v>
      </c>
      <c r="R831" s="25">
        <v>0</v>
      </c>
      <c r="U831">
        <v>0</v>
      </c>
      <c r="X831">
        <v>0</v>
      </c>
      <c r="AA831" s="2"/>
      <c r="AB831">
        <v>20</v>
      </c>
      <c r="AC831" s="55">
        <f t="shared" si="225"/>
        <v>509.51510999999999</v>
      </c>
      <c r="AD831" s="57">
        <v>0</v>
      </c>
      <c r="AE831" s="55">
        <v>0</v>
      </c>
      <c r="AF831" s="55">
        <v>0</v>
      </c>
      <c r="AG831" s="52">
        <f t="shared" si="224"/>
        <v>7.8506013295660648E-2</v>
      </c>
      <c r="AH831" s="52"/>
      <c r="AI831" s="52"/>
      <c r="AJ831" s="52"/>
      <c r="AK831" s="28">
        <v>1.7727272727272729</v>
      </c>
      <c r="AL831" s="28">
        <v>2.0909090909090908</v>
      </c>
      <c r="AM831" s="28">
        <v>0.36363636363636359</v>
      </c>
      <c r="AN831" s="28">
        <v>0</v>
      </c>
      <c r="AO831" s="28">
        <v>0.41935483870967738</v>
      </c>
      <c r="AP831" s="28">
        <v>0.49462365591397839</v>
      </c>
      <c r="AQ831" s="28">
        <v>8.6021505376344079E-2</v>
      </c>
      <c r="AR831" s="28">
        <v>0</v>
      </c>
      <c r="AS831" s="25">
        <v>1.1000000000000001</v>
      </c>
      <c r="AT831" s="25">
        <v>3.44</v>
      </c>
      <c r="AU831" s="25">
        <v>2.34</v>
      </c>
      <c r="AV831" s="25">
        <v>2.645909090909091</v>
      </c>
      <c r="AW831">
        <v>2.645909090909091</v>
      </c>
      <c r="AX831">
        <v>6.4349594388752269</v>
      </c>
      <c r="AY831" s="75"/>
      <c r="AZ831" s="75"/>
      <c r="BA831" s="75"/>
      <c r="BB831">
        <v>4.3178307312613358E-2</v>
      </c>
      <c r="BF831">
        <v>7.8506013295660648E-2</v>
      </c>
      <c r="BG831">
        <v>4.3178307312613358E-2</v>
      </c>
      <c r="BH831">
        <v>0</v>
      </c>
      <c r="BI831" s="79" t="s">
        <v>1264</v>
      </c>
      <c r="BJ831" s="79">
        <v>1373</v>
      </c>
      <c r="BK831" s="79">
        <v>12</v>
      </c>
      <c r="BM831" s="79" t="s">
        <v>1268</v>
      </c>
      <c r="BN831" s="79" t="s">
        <v>863</v>
      </c>
      <c r="BO831" s="79">
        <v>1</v>
      </c>
      <c r="BP831" s="79">
        <v>5.73</v>
      </c>
      <c r="BQ831" s="79">
        <v>0.5</v>
      </c>
      <c r="BR831" s="79">
        <v>1</v>
      </c>
      <c r="BS831" s="95" t="s">
        <v>464</v>
      </c>
      <c r="BT831" s="95" t="s">
        <v>464</v>
      </c>
      <c r="BU831" s="95" t="s">
        <v>1266</v>
      </c>
      <c r="BV831" s="95">
        <v>125</v>
      </c>
      <c r="BW831" s="95">
        <v>220</v>
      </c>
      <c r="BX831" s="95" t="s">
        <v>1287</v>
      </c>
      <c r="BY831" s="95">
        <f t="shared" si="222"/>
        <v>288</v>
      </c>
      <c r="BZ831" s="81">
        <v>47920</v>
      </c>
      <c r="CA831" s="2"/>
    </row>
    <row r="832" spans="1:79" x14ac:dyDescent="0.3">
      <c r="A832" s="2" t="s">
        <v>376</v>
      </c>
      <c r="B832" s="18" t="s">
        <v>1027</v>
      </c>
      <c r="C832" s="13"/>
      <c r="D832" s="2">
        <v>3.41</v>
      </c>
      <c r="E832" s="2" t="s">
        <v>380</v>
      </c>
      <c r="F832" s="9">
        <v>-1</v>
      </c>
      <c r="G832">
        <v>-1</v>
      </c>
      <c r="I832" s="2">
        <v>2</v>
      </c>
      <c r="J832" s="25">
        <v>0</v>
      </c>
      <c r="K832">
        <v>0</v>
      </c>
      <c r="L832">
        <v>0</v>
      </c>
      <c r="M832" s="2">
        <v>3.83</v>
      </c>
      <c r="N832" s="2">
        <v>3.83</v>
      </c>
      <c r="O832" s="2">
        <v>39.5</v>
      </c>
      <c r="P832" s="2" t="s">
        <v>519</v>
      </c>
      <c r="Q832" s="2">
        <v>19.8</v>
      </c>
      <c r="R832" s="25">
        <v>0</v>
      </c>
      <c r="U832">
        <v>0</v>
      </c>
      <c r="X832">
        <v>0</v>
      </c>
      <c r="AA832" s="2"/>
      <c r="AB832">
        <v>20</v>
      </c>
      <c r="AC832" s="55">
        <f t="shared" si="225"/>
        <v>579.42155000000002</v>
      </c>
      <c r="AD832" s="57">
        <v>0</v>
      </c>
      <c r="AE832" s="55">
        <v>0</v>
      </c>
      <c r="AF832" s="55">
        <v>0</v>
      </c>
      <c r="AG832" s="52">
        <f t="shared" si="224"/>
        <v>6.9034367120104523E-2</v>
      </c>
      <c r="AH832" s="52"/>
      <c r="AI832" s="52"/>
      <c r="AJ832" s="52"/>
      <c r="AK832" s="28">
        <v>1.72</v>
      </c>
      <c r="AL832" s="28">
        <v>1.92</v>
      </c>
      <c r="AM832" s="28">
        <v>0.32</v>
      </c>
      <c r="AN832" s="28">
        <v>0</v>
      </c>
      <c r="AO832" s="28">
        <v>0.43434343434343442</v>
      </c>
      <c r="AP832" s="28">
        <v>0.48484848484848492</v>
      </c>
      <c r="AQ832" s="28">
        <v>8.0808080808080815E-2</v>
      </c>
      <c r="AR832" s="28">
        <v>0</v>
      </c>
      <c r="AS832" s="25">
        <v>1.1000000000000001</v>
      </c>
      <c r="AT832" s="25">
        <v>3.44</v>
      </c>
      <c r="AU832" s="25">
        <v>2.34</v>
      </c>
      <c r="AV832" s="25">
        <v>2.6063999999999998</v>
      </c>
      <c r="AW832">
        <v>2.6063999999999998</v>
      </c>
      <c r="AX832">
        <v>6.4873336424382799</v>
      </c>
      <c r="AY832" s="75"/>
      <c r="AZ832" s="75"/>
      <c r="BA832" s="75"/>
      <c r="BB832">
        <v>3.7968901916057493E-2</v>
      </c>
      <c r="BF832">
        <v>6.9034367120104523E-2</v>
      </c>
      <c r="BG832">
        <v>3.7968901916057493E-2</v>
      </c>
      <c r="BH832">
        <v>0</v>
      </c>
      <c r="BI832" s="79" t="s">
        <v>1264</v>
      </c>
      <c r="BJ832" s="79">
        <v>1373</v>
      </c>
      <c r="BK832" s="79">
        <v>12</v>
      </c>
      <c r="BM832" s="79" t="s">
        <v>1268</v>
      </c>
      <c r="BN832" s="79" t="s">
        <v>863</v>
      </c>
      <c r="BO832" s="79">
        <v>1</v>
      </c>
      <c r="BQ832" s="79">
        <v>0.5</v>
      </c>
      <c r="BR832" s="79">
        <v>1</v>
      </c>
      <c r="BS832" s="95" t="s">
        <v>464</v>
      </c>
      <c r="BT832" s="95" t="s">
        <v>464</v>
      </c>
      <c r="BU832" s="95" t="s">
        <v>1266</v>
      </c>
      <c r="BV832" s="95">
        <v>125</v>
      </c>
      <c r="BW832" s="95">
        <v>220</v>
      </c>
      <c r="BX832" s="95" t="s">
        <v>1287</v>
      </c>
      <c r="BY832" s="95">
        <f t="shared" si="222"/>
        <v>288</v>
      </c>
      <c r="BZ832" s="81">
        <v>119880</v>
      </c>
      <c r="CA832" s="2"/>
    </row>
    <row r="833" spans="1:79" x14ac:dyDescent="0.3">
      <c r="A833" s="2" t="s">
        <v>377</v>
      </c>
      <c r="B833" s="18" t="s">
        <v>1040</v>
      </c>
      <c r="C833" s="13"/>
      <c r="D833" s="2">
        <v>3.38</v>
      </c>
      <c r="E833" s="2" t="s">
        <v>380</v>
      </c>
      <c r="F833" s="9">
        <v>-1</v>
      </c>
      <c r="G833">
        <v>-1</v>
      </c>
      <c r="I833" s="2">
        <v>2</v>
      </c>
      <c r="J833" s="25">
        <v>0</v>
      </c>
      <c r="K833">
        <v>0</v>
      </c>
      <c r="L833">
        <v>0</v>
      </c>
      <c r="M833" s="2">
        <v>3.83</v>
      </c>
      <c r="N833" s="2">
        <v>3.83</v>
      </c>
      <c r="O833" s="2">
        <v>44.2</v>
      </c>
      <c r="P833" s="2" t="s">
        <v>519</v>
      </c>
      <c r="Q833" s="2">
        <v>22.1</v>
      </c>
      <c r="R833" s="25">
        <v>0</v>
      </c>
      <c r="U833">
        <v>0</v>
      </c>
      <c r="X833">
        <v>0</v>
      </c>
      <c r="AA833" s="2"/>
      <c r="AB833">
        <v>20</v>
      </c>
      <c r="AC833" s="55">
        <f t="shared" si="225"/>
        <v>648.36538000000007</v>
      </c>
      <c r="AD833" s="57">
        <v>0</v>
      </c>
      <c r="AE833" s="55">
        <v>0</v>
      </c>
      <c r="AF833" s="55">
        <v>0</v>
      </c>
      <c r="AG833" s="52">
        <f t="shared" si="224"/>
        <v>6.1693608625432772E-2</v>
      </c>
      <c r="AH833" s="52"/>
      <c r="AI833" s="52"/>
      <c r="AJ833" s="52"/>
      <c r="AK833" s="28">
        <v>1.678571428571429</v>
      </c>
      <c r="AL833" s="28">
        <v>1.785714285714286</v>
      </c>
      <c r="AM833" s="28">
        <v>0.2857142857142857</v>
      </c>
      <c r="AN833" s="28">
        <v>0</v>
      </c>
      <c r="AO833" s="28">
        <v>0.44761904761904758</v>
      </c>
      <c r="AP833" s="28">
        <v>0.47619047619047622</v>
      </c>
      <c r="AQ833" s="28">
        <v>7.6190476190476183E-2</v>
      </c>
      <c r="AR833" s="28">
        <v>0</v>
      </c>
      <c r="AS833" s="25">
        <v>1.1000000000000001</v>
      </c>
      <c r="AT833" s="25">
        <v>3.44</v>
      </c>
      <c r="AU833" s="25">
        <v>2.34</v>
      </c>
      <c r="AV833" s="25">
        <v>2.5753571428571429</v>
      </c>
      <c r="AW833">
        <v>2.5753571428571429</v>
      </c>
      <c r="AX833">
        <v>6.5284848023806781</v>
      </c>
      <c r="AY833" s="75"/>
      <c r="AZ833" s="75"/>
      <c r="BA833" s="75"/>
      <c r="BB833">
        <v>3.3931484743988022E-2</v>
      </c>
      <c r="BF833">
        <v>6.1693608625432772E-2</v>
      </c>
      <c r="BG833">
        <v>3.3931484743988022E-2</v>
      </c>
      <c r="BH833">
        <v>0</v>
      </c>
      <c r="BI833" s="79" t="s">
        <v>1264</v>
      </c>
      <c r="BJ833" s="79">
        <v>1373</v>
      </c>
      <c r="BK833" s="79">
        <v>12</v>
      </c>
      <c r="BM833" s="79" t="s">
        <v>1268</v>
      </c>
      <c r="BN833" s="79" t="s">
        <v>863</v>
      </c>
      <c r="BO833" s="79">
        <v>1</v>
      </c>
      <c r="BQ833" s="79">
        <v>0.5</v>
      </c>
      <c r="BR833" s="79">
        <v>1</v>
      </c>
      <c r="BS833" s="95" t="s">
        <v>464</v>
      </c>
      <c r="BT833" s="95" t="s">
        <v>464</v>
      </c>
      <c r="BU833" s="95" t="s">
        <v>1266</v>
      </c>
      <c r="BV833" s="95">
        <v>125</v>
      </c>
      <c r="BW833" s="95">
        <v>220</v>
      </c>
      <c r="BX833" s="95" t="s">
        <v>1287</v>
      </c>
      <c r="BY833" s="95">
        <f t="shared" si="222"/>
        <v>288</v>
      </c>
      <c r="BZ833" s="81">
        <v>111320</v>
      </c>
      <c r="CA833" s="2"/>
    </row>
    <row r="834" spans="1:79" x14ac:dyDescent="0.3">
      <c r="A834" s="2" t="s">
        <v>378</v>
      </c>
      <c r="B834" s="18" t="s">
        <v>1041</v>
      </c>
      <c r="C834" s="13"/>
      <c r="D834" s="2">
        <v>3.4</v>
      </c>
      <c r="E834" s="2" t="s">
        <v>380</v>
      </c>
      <c r="F834" s="9">
        <v>-1</v>
      </c>
      <c r="G834">
        <v>-1</v>
      </c>
      <c r="I834" s="2">
        <v>2</v>
      </c>
      <c r="J834" s="25">
        <v>0</v>
      </c>
      <c r="K834">
        <v>0</v>
      </c>
      <c r="L834">
        <v>0</v>
      </c>
      <c r="M834" s="2">
        <v>3.82</v>
      </c>
      <c r="N834" s="2">
        <v>3.82</v>
      </c>
      <c r="O834" s="2">
        <v>48.5</v>
      </c>
      <c r="P834" s="2" t="s">
        <v>519</v>
      </c>
      <c r="Q834" s="2">
        <v>24.3</v>
      </c>
      <c r="R834" s="25">
        <v>0</v>
      </c>
      <c r="U834">
        <v>0</v>
      </c>
      <c r="X834">
        <v>0</v>
      </c>
      <c r="AA834" s="2"/>
      <c r="AB834">
        <v>20</v>
      </c>
      <c r="AC834" s="55">
        <f t="shared" si="225"/>
        <v>707.73140000000001</v>
      </c>
      <c r="AD834" s="57">
        <v>0</v>
      </c>
      <c r="AE834" s="55">
        <v>0</v>
      </c>
      <c r="AF834" s="55">
        <v>0</v>
      </c>
      <c r="AG834" s="52">
        <f t="shared" si="224"/>
        <v>5.6518617091173291E-2</v>
      </c>
      <c r="AH834" s="52"/>
      <c r="AI834" s="52"/>
      <c r="AJ834" s="52"/>
      <c r="AK834" s="28">
        <v>1.645161290322581</v>
      </c>
      <c r="AL834" s="28">
        <v>1.67741935483871</v>
      </c>
      <c r="AM834" s="28">
        <v>0.25806451612903231</v>
      </c>
      <c r="AN834" s="28">
        <v>0</v>
      </c>
      <c r="AO834" s="28">
        <v>0.45945945945945948</v>
      </c>
      <c r="AP834" s="28">
        <v>0.46846846846846851</v>
      </c>
      <c r="AQ834" s="28">
        <v>7.2072072072072071E-2</v>
      </c>
      <c r="AR834" s="28">
        <v>0</v>
      </c>
      <c r="AS834" s="25">
        <v>1.1000000000000001</v>
      </c>
      <c r="AT834" s="25">
        <v>3.44</v>
      </c>
      <c r="AU834" s="25">
        <v>2.34</v>
      </c>
      <c r="AV834" s="25">
        <v>2.5503225806451608</v>
      </c>
      <c r="AW834">
        <v>2.5503225806451608</v>
      </c>
      <c r="AX834">
        <v>6.5616712216890649</v>
      </c>
      <c r="AY834" s="75"/>
      <c r="AZ834" s="75"/>
      <c r="BA834" s="75"/>
      <c r="BB834">
        <v>3.108523940014531E-2</v>
      </c>
      <c r="BF834">
        <v>5.6518617091173291E-2</v>
      </c>
      <c r="BG834">
        <v>3.108523940014531E-2</v>
      </c>
      <c r="BH834">
        <v>0</v>
      </c>
      <c r="BI834" s="79" t="s">
        <v>1264</v>
      </c>
      <c r="BJ834" s="79">
        <v>1373</v>
      </c>
      <c r="BK834" s="79">
        <v>12</v>
      </c>
      <c r="BM834" s="79" t="s">
        <v>1268</v>
      </c>
      <c r="BN834" s="79" t="s">
        <v>863</v>
      </c>
      <c r="BO834" s="79">
        <v>1</v>
      </c>
      <c r="BP834" s="79">
        <v>4.1900000000000004</v>
      </c>
      <c r="BQ834" s="79">
        <v>0.5</v>
      </c>
      <c r="BR834" s="79">
        <v>1</v>
      </c>
      <c r="BS834" s="95" t="s">
        <v>464</v>
      </c>
      <c r="BT834" s="95" t="s">
        <v>464</v>
      </c>
      <c r="BU834" s="95" t="s">
        <v>1266</v>
      </c>
      <c r="BV834" s="95">
        <v>125</v>
      </c>
      <c r="BW834" s="95">
        <v>220</v>
      </c>
      <c r="BX834" s="95" t="s">
        <v>1287</v>
      </c>
      <c r="BY834" s="95">
        <f t="shared" si="222"/>
        <v>288</v>
      </c>
      <c r="BZ834" s="81">
        <v>110040</v>
      </c>
      <c r="CA834" s="2"/>
    </row>
    <row r="835" spans="1:79" x14ac:dyDescent="0.3">
      <c r="A835" s="2" t="s">
        <v>379</v>
      </c>
      <c r="B835" s="18" t="s">
        <v>1042</v>
      </c>
      <c r="C835" s="13"/>
      <c r="D835" s="2">
        <v>3.4</v>
      </c>
      <c r="E835" s="2" t="s">
        <v>380</v>
      </c>
      <c r="F835" s="9">
        <v>-1</v>
      </c>
      <c r="G835">
        <v>-1</v>
      </c>
      <c r="I835" s="2">
        <v>1</v>
      </c>
      <c r="J835" s="25">
        <v>0</v>
      </c>
      <c r="K835">
        <v>0</v>
      </c>
      <c r="L835">
        <v>0</v>
      </c>
      <c r="M835" s="2">
        <v>3.82</v>
      </c>
      <c r="N835" s="2">
        <v>3.82</v>
      </c>
      <c r="O835" s="2">
        <v>29.2</v>
      </c>
      <c r="P835" s="2" t="s">
        <v>519</v>
      </c>
      <c r="Q835" s="2">
        <v>29.2</v>
      </c>
      <c r="R835" s="25">
        <v>0</v>
      </c>
      <c r="U835">
        <v>0</v>
      </c>
      <c r="X835">
        <v>0</v>
      </c>
      <c r="AA835" s="2"/>
      <c r="AB835">
        <v>20</v>
      </c>
      <c r="AC835" s="55">
        <f t="shared" si="225"/>
        <v>426.09807999999998</v>
      </c>
      <c r="AD835" s="57">
        <v>0</v>
      </c>
      <c r="AE835" s="55">
        <v>0</v>
      </c>
      <c r="AF835" s="55">
        <v>0</v>
      </c>
      <c r="AG835" s="52">
        <f t="shared" si="224"/>
        <v>4.6937550152772338E-2</v>
      </c>
      <c r="AH835" s="52"/>
      <c r="AI835" s="52"/>
      <c r="AJ835" s="52"/>
      <c r="AK835" s="28">
        <v>1.594594594594595</v>
      </c>
      <c r="AL835" s="28">
        <v>1.513513513513514</v>
      </c>
      <c r="AM835" s="28">
        <v>0.2162162162162162</v>
      </c>
      <c r="AN835" s="28">
        <v>0</v>
      </c>
      <c r="AO835" s="28">
        <v>0.47967479674796748</v>
      </c>
      <c r="AP835" s="28">
        <v>0.45528455284552849</v>
      </c>
      <c r="AQ835" s="28">
        <v>6.5040650406504072E-2</v>
      </c>
      <c r="AR835" s="28">
        <v>0</v>
      </c>
      <c r="AS835" s="25">
        <v>1.1000000000000001</v>
      </c>
      <c r="AT835" s="25">
        <v>3.44</v>
      </c>
      <c r="AU835" s="25">
        <v>2.34</v>
      </c>
      <c r="AV835" s="25">
        <v>2.512432432432433</v>
      </c>
      <c r="AW835">
        <v>2.512432432432433</v>
      </c>
      <c r="AX835">
        <v>6.6118993157774328</v>
      </c>
      <c r="AY835" s="75"/>
      <c r="AZ835" s="75"/>
      <c r="BA835" s="75"/>
      <c r="BB835">
        <v>2.5815652584024788E-2</v>
      </c>
      <c r="BF835">
        <v>4.6937550152772338E-2</v>
      </c>
      <c r="BG835">
        <v>2.5815652584024788E-2</v>
      </c>
      <c r="BH835">
        <v>0</v>
      </c>
      <c r="BI835" s="79" t="s">
        <v>1264</v>
      </c>
      <c r="BJ835" s="79">
        <v>1373</v>
      </c>
      <c r="BK835" s="79">
        <v>12</v>
      </c>
      <c r="BM835" s="79" t="s">
        <v>1268</v>
      </c>
      <c r="BN835" s="79" t="s">
        <v>863</v>
      </c>
      <c r="BO835" s="79">
        <v>1</v>
      </c>
      <c r="BQ835" s="79">
        <v>0.5</v>
      </c>
      <c r="BR835" s="79">
        <v>1</v>
      </c>
      <c r="BS835" s="95" t="s">
        <v>464</v>
      </c>
      <c r="BT835" s="95" t="s">
        <v>464</v>
      </c>
      <c r="BU835" s="95" t="s">
        <v>1266</v>
      </c>
      <c r="BV835" s="95">
        <v>125</v>
      </c>
      <c r="BW835" s="95">
        <v>220</v>
      </c>
      <c r="BX835" s="95" t="s">
        <v>1287</v>
      </c>
      <c r="BY835" s="95">
        <f t="shared" si="222"/>
        <v>288</v>
      </c>
      <c r="BZ835" s="81">
        <v>114040</v>
      </c>
      <c r="CA835" s="2"/>
    </row>
    <row r="836" spans="1:79" x14ac:dyDescent="0.3">
      <c r="A836" s="2" t="s">
        <v>1134</v>
      </c>
      <c r="B836" s="18" t="s">
        <v>1043</v>
      </c>
      <c r="C836" s="13"/>
      <c r="D836" s="2">
        <v>3.38</v>
      </c>
      <c r="E836" s="2" t="s">
        <v>380</v>
      </c>
      <c r="F836" s="9">
        <v>-1</v>
      </c>
      <c r="G836">
        <v>-1</v>
      </c>
      <c r="I836" s="2">
        <v>1</v>
      </c>
      <c r="J836" s="25">
        <v>0</v>
      </c>
      <c r="K836">
        <v>0</v>
      </c>
      <c r="L836">
        <v>0</v>
      </c>
      <c r="M836" s="2">
        <v>3.82</v>
      </c>
      <c r="N836" s="2">
        <v>3.82</v>
      </c>
      <c r="O836" s="2">
        <v>31.3</v>
      </c>
      <c r="P836" s="2" t="s">
        <v>519</v>
      </c>
      <c r="Q836" s="2">
        <v>31.3</v>
      </c>
      <c r="R836" s="25">
        <v>0</v>
      </c>
      <c r="U836">
        <v>0</v>
      </c>
      <c r="X836">
        <v>0</v>
      </c>
      <c r="AA836" s="2"/>
      <c r="AB836">
        <v>20</v>
      </c>
      <c r="AC836" s="55">
        <f t="shared" si="225"/>
        <v>456.74212</v>
      </c>
      <c r="AD836" s="57">
        <v>0</v>
      </c>
      <c r="AE836" s="55">
        <v>0</v>
      </c>
      <c r="AF836" s="55">
        <v>0</v>
      </c>
      <c r="AG836" s="52">
        <f t="shared" si="224"/>
        <v>4.3788385446036811E-2</v>
      </c>
      <c r="AH836" s="52"/>
      <c r="AI836" s="52"/>
      <c r="AJ836" s="52"/>
      <c r="AK836" s="28">
        <v>1.558139534883721</v>
      </c>
      <c r="AL836" s="28">
        <v>1.3953488372093019</v>
      </c>
      <c r="AM836" s="28">
        <v>0.186046511627907</v>
      </c>
      <c r="AN836" s="28">
        <v>0</v>
      </c>
      <c r="AO836" s="28">
        <v>0.49629629629629629</v>
      </c>
      <c r="AP836" s="28">
        <v>0.44444444444444448</v>
      </c>
      <c r="AQ836" s="28">
        <v>5.9259259259259262E-2</v>
      </c>
      <c r="AR836" s="28">
        <v>0</v>
      </c>
      <c r="AS836" s="25">
        <v>1.1000000000000001</v>
      </c>
      <c r="AT836" s="25">
        <v>3.44</v>
      </c>
      <c r="AU836" s="25">
        <v>2.34</v>
      </c>
      <c r="AV836" s="25">
        <v>2.4851162790697678</v>
      </c>
      <c r="AW836">
        <v>2.485116279069767</v>
      </c>
      <c r="AX836">
        <v>6.6481102673295114</v>
      </c>
      <c r="AY836" s="75"/>
      <c r="AZ836" s="75"/>
      <c r="BA836" s="75"/>
      <c r="BB836">
        <v>2.4083611995320251E-2</v>
      </c>
      <c r="BF836">
        <v>4.3788385446036811E-2</v>
      </c>
      <c r="BG836">
        <v>2.4083611995320251E-2</v>
      </c>
      <c r="BH836">
        <v>0</v>
      </c>
      <c r="BI836" s="79" t="s">
        <v>1264</v>
      </c>
      <c r="BJ836" s="79">
        <v>1373</v>
      </c>
      <c r="BK836" s="79">
        <v>12</v>
      </c>
      <c r="BM836" s="79" t="s">
        <v>1268</v>
      </c>
      <c r="BN836" s="79" t="s">
        <v>863</v>
      </c>
      <c r="BO836" s="79">
        <v>1</v>
      </c>
      <c r="BP836" s="79">
        <v>5.46</v>
      </c>
      <c r="BQ836" s="79">
        <v>0.5</v>
      </c>
      <c r="BR836" s="79">
        <v>1</v>
      </c>
      <c r="BS836" s="95" t="s">
        <v>464</v>
      </c>
      <c r="BT836" s="95" t="s">
        <v>464</v>
      </c>
      <c r="BU836" s="95" t="s">
        <v>1266</v>
      </c>
      <c r="BV836" s="95">
        <v>125</v>
      </c>
      <c r="BW836" s="95">
        <v>220</v>
      </c>
      <c r="BX836" s="95" t="s">
        <v>1287</v>
      </c>
      <c r="BY836" s="95">
        <f t="shared" si="222"/>
        <v>288</v>
      </c>
      <c r="BZ836" s="81">
        <v>86200</v>
      </c>
      <c r="CA836" s="2"/>
    </row>
    <row r="837" spans="1:79" x14ac:dyDescent="0.3">
      <c r="A837" s="2" t="s">
        <v>381</v>
      </c>
      <c r="B837" s="13" t="s">
        <v>838</v>
      </c>
      <c r="C837" s="13"/>
      <c r="D837" s="2">
        <v>3.47</v>
      </c>
      <c r="E837" s="2" t="s">
        <v>380</v>
      </c>
      <c r="F837" s="9">
        <v>-1</v>
      </c>
      <c r="G837">
        <v>-1</v>
      </c>
      <c r="I837" s="2">
        <v>2</v>
      </c>
      <c r="J837" s="25">
        <v>0</v>
      </c>
      <c r="K837">
        <v>0</v>
      </c>
      <c r="L837">
        <v>0</v>
      </c>
      <c r="M837" s="2">
        <v>3.78</v>
      </c>
      <c r="N837" s="2">
        <v>3.78</v>
      </c>
      <c r="O837" s="2">
        <v>27.2</v>
      </c>
      <c r="P837" s="2" t="s">
        <v>519</v>
      </c>
      <c r="Q837" s="2">
        <v>13.6</v>
      </c>
      <c r="R837" s="25">
        <v>0</v>
      </c>
      <c r="U837">
        <v>0</v>
      </c>
      <c r="X837">
        <v>0</v>
      </c>
      <c r="AA837" s="2"/>
      <c r="AB837">
        <v>20</v>
      </c>
      <c r="AC837" s="55">
        <f t="shared" si="225"/>
        <v>388.64447999999999</v>
      </c>
      <c r="AD837" s="57">
        <v>0</v>
      </c>
      <c r="AE837" s="55">
        <v>0</v>
      </c>
      <c r="AF837" s="55">
        <v>0</v>
      </c>
      <c r="AG837" s="52">
        <f t="shared" si="224"/>
        <v>0.10292182716708083</v>
      </c>
      <c r="AH837" s="52"/>
      <c r="AI837" s="52"/>
      <c r="AJ837" s="52"/>
      <c r="AK837" s="28">
        <v>1.882352941176471</v>
      </c>
      <c r="AL837" s="28">
        <v>2.3529411764705879</v>
      </c>
      <c r="AM837" s="28">
        <v>0.35294117647058831</v>
      </c>
      <c r="AN837" s="28">
        <v>0.47058823529411759</v>
      </c>
      <c r="AO837" s="28">
        <v>0.37209302325581389</v>
      </c>
      <c r="AP837" s="28">
        <v>0.46511627906976749</v>
      </c>
      <c r="AQ837" s="28">
        <v>6.9767441860465129E-2</v>
      </c>
      <c r="AR837" s="28">
        <v>9.3023255813953487E-2</v>
      </c>
      <c r="AS837" s="25">
        <v>1.1399999999999999</v>
      </c>
      <c r="AT837" s="25">
        <v>3.44</v>
      </c>
      <c r="AU837" s="25">
        <v>2.2999999999999998</v>
      </c>
      <c r="AV837" s="25">
        <v>2.6882352941176468</v>
      </c>
      <c r="AW837">
        <v>2.6882352941176468</v>
      </c>
      <c r="AX837">
        <v>6.2192249941001183</v>
      </c>
      <c r="AY837" s="75"/>
      <c r="AZ837" s="75"/>
      <c r="BA837" s="75"/>
      <c r="BB837">
        <v>5.1460913583540407E-2</v>
      </c>
      <c r="BF837">
        <v>0.1029218271670808</v>
      </c>
      <c r="BG837">
        <v>5.1460913583540407E-2</v>
      </c>
      <c r="BH837">
        <v>0</v>
      </c>
      <c r="BI837" s="79" t="s">
        <v>1264</v>
      </c>
      <c r="BJ837" s="79">
        <v>1373</v>
      </c>
      <c r="BK837" s="79">
        <v>12</v>
      </c>
      <c r="BM837" s="79" t="s">
        <v>1268</v>
      </c>
      <c r="BN837" s="79" t="s">
        <v>863</v>
      </c>
      <c r="BO837" s="79">
        <v>1</v>
      </c>
      <c r="BP837" s="79">
        <v>3.08</v>
      </c>
      <c r="BQ837" s="79">
        <v>0.5</v>
      </c>
      <c r="BR837" s="79">
        <v>1</v>
      </c>
      <c r="BS837" s="95" t="s">
        <v>464</v>
      </c>
      <c r="BT837" s="95" t="s">
        <v>464</v>
      </c>
      <c r="BU837" s="95" t="s">
        <v>1266</v>
      </c>
      <c r="BV837" s="95">
        <v>125</v>
      </c>
      <c r="BW837" s="95">
        <v>220</v>
      </c>
      <c r="BX837" s="95" t="s">
        <v>1287</v>
      </c>
      <c r="BY837" s="95">
        <f t="shared" si="222"/>
        <v>288</v>
      </c>
      <c r="BZ837" s="81">
        <v>2760</v>
      </c>
      <c r="CA837" s="2"/>
    </row>
    <row r="838" spans="1:79" x14ac:dyDescent="0.3">
      <c r="A838" s="2" t="s">
        <v>382</v>
      </c>
      <c r="B838" s="18" t="s">
        <v>1044</v>
      </c>
      <c r="C838" s="13"/>
      <c r="D838" s="2">
        <v>3.4</v>
      </c>
      <c r="E838" s="2" t="s">
        <v>380</v>
      </c>
      <c r="F838" s="9">
        <v>-1</v>
      </c>
      <c r="G838">
        <v>-1</v>
      </c>
      <c r="I838" s="2">
        <v>2</v>
      </c>
      <c r="J838" s="25">
        <v>0</v>
      </c>
      <c r="K838">
        <v>0</v>
      </c>
      <c r="L838">
        <v>0</v>
      </c>
      <c r="M838" s="2">
        <v>3.81</v>
      </c>
      <c r="N838" s="2">
        <v>3.81</v>
      </c>
      <c r="O838" s="2">
        <v>35.4</v>
      </c>
      <c r="P838" s="2" t="s">
        <v>519</v>
      </c>
      <c r="Q838" s="2">
        <v>17.7</v>
      </c>
      <c r="R838" s="25">
        <v>0</v>
      </c>
      <c r="U838">
        <v>0</v>
      </c>
      <c r="X838">
        <v>0</v>
      </c>
      <c r="AA838" s="2"/>
      <c r="AB838">
        <v>20</v>
      </c>
      <c r="AC838" s="55">
        <f t="shared" si="225"/>
        <v>513.86993999999993</v>
      </c>
      <c r="AD838" s="57">
        <v>0</v>
      </c>
      <c r="AE838" s="55">
        <v>0</v>
      </c>
      <c r="AF838" s="55">
        <v>0</v>
      </c>
      <c r="AG838" s="52">
        <f t="shared" si="224"/>
        <v>7.7840708098239814E-2</v>
      </c>
      <c r="AH838" s="52"/>
      <c r="AI838" s="52"/>
      <c r="AJ838" s="52"/>
      <c r="AK838" s="28">
        <v>1.695652173913043</v>
      </c>
      <c r="AL838" s="28">
        <v>1.826086956521739</v>
      </c>
      <c r="AM838" s="28">
        <v>0.2608695652173913</v>
      </c>
      <c r="AN838" s="28">
        <v>0.34782608695652167</v>
      </c>
      <c r="AO838" s="28">
        <v>0.41052631578947368</v>
      </c>
      <c r="AP838" s="28">
        <v>0.44210526315789472</v>
      </c>
      <c r="AQ838" s="28">
        <v>6.3157894736842107E-2</v>
      </c>
      <c r="AR838" s="28">
        <v>8.4210526315789472E-2</v>
      </c>
      <c r="AS838" s="25">
        <v>1.1399999999999999</v>
      </c>
      <c r="AT838" s="25">
        <v>3.44</v>
      </c>
      <c r="AU838" s="25">
        <v>2.2999999999999998</v>
      </c>
      <c r="AV838" s="25">
        <v>2.5760869565217388</v>
      </c>
      <c r="AW838">
        <v>2.5760869565217388</v>
      </c>
      <c r="AX838">
        <v>6.4291568349981301</v>
      </c>
      <c r="AY838" s="75"/>
      <c r="AZ838" s="75"/>
      <c r="BA838" s="75"/>
      <c r="BB838">
        <v>3.8920354049119907E-2</v>
      </c>
      <c r="BF838">
        <v>7.7840708098239814E-2</v>
      </c>
      <c r="BG838">
        <v>3.8920354049119907E-2</v>
      </c>
      <c r="BH838">
        <v>0</v>
      </c>
      <c r="BI838" s="79" t="s">
        <v>1264</v>
      </c>
      <c r="BJ838" s="79">
        <v>1373</v>
      </c>
      <c r="BK838" s="79">
        <v>12</v>
      </c>
      <c r="BM838" s="79" t="s">
        <v>1268</v>
      </c>
      <c r="BN838" s="79" t="s">
        <v>863</v>
      </c>
      <c r="BO838" s="79">
        <v>1</v>
      </c>
      <c r="BP838" s="79">
        <v>3.72</v>
      </c>
      <c r="BQ838" s="79">
        <v>0.5</v>
      </c>
      <c r="BR838" s="79">
        <v>1</v>
      </c>
      <c r="BS838" s="95" t="s">
        <v>464</v>
      </c>
      <c r="BT838" s="95" t="s">
        <v>464</v>
      </c>
      <c r="BU838" s="95" t="s">
        <v>1266</v>
      </c>
      <c r="BV838" s="95">
        <v>125</v>
      </c>
      <c r="BW838" s="95">
        <v>220</v>
      </c>
      <c r="BX838" s="95" t="s">
        <v>1287</v>
      </c>
      <c r="BY838" s="95">
        <f t="shared" si="222"/>
        <v>288</v>
      </c>
      <c r="BZ838" s="81">
        <v>59040</v>
      </c>
      <c r="CA838" s="2"/>
    </row>
    <row r="839" spans="1:79" x14ac:dyDescent="0.3">
      <c r="A839" s="2" t="s">
        <v>383</v>
      </c>
      <c r="B839" s="18" t="s">
        <v>1045</v>
      </c>
      <c r="C839" s="13"/>
      <c r="D839" s="2">
        <v>3.32</v>
      </c>
      <c r="E839" s="2" t="s">
        <v>380</v>
      </c>
      <c r="F839" s="9">
        <v>-1</v>
      </c>
      <c r="G839">
        <v>-1</v>
      </c>
      <c r="I839" s="2">
        <v>1</v>
      </c>
      <c r="J839" s="25">
        <v>0</v>
      </c>
      <c r="K839">
        <v>0</v>
      </c>
      <c r="L839">
        <v>0</v>
      </c>
      <c r="M839" s="2">
        <v>3.8</v>
      </c>
      <c r="N839" s="2">
        <v>3.8</v>
      </c>
      <c r="O839" s="2">
        <v>19.899999999999999</v>
      </c>
      <c r="P839" s="2" t="s">
        <v>519</v>
      </c>
      <c r="Q839" s="2">
        <v>19.899999999999999</v>
      </c>
      <c r="R839" s="25">
        <v>0</v>
      </c>
      <c r="U839">
        <v>0</v>
      </c>
      <c r="X839">
        <v>0</v>
      </c>
      <c r="AA839" s="2"/>
      <c r="AB839">
        <v>20</v>
      </c>
      <c r="AC839" s="55">
        <f t="shared" si="225"/>
        <v>287.35599999999999</v>
      </c>
      <c r="AD839" s="57">
        <v>0</v>
      </c>
      <c r="AE839" s="55">
        <v>0</v>
      </c>
      <c r="AF839" s="55">
        <v>0</v>
      </c>
      <c r="AG839" s="52">
        <f t="shared" si="224"/>
        <v>6.9600077952087308E-2</v>
      </c>
      <c r="AH839" s="52"/>
      <c r="AI839" s="52"/>
      <c r="AJ839" s="52"/>
      <c r="AK839" s="28">
        <v>1.653846153846154</v>
      </c>
      <c r="AL839" s="28">
        <v>1.6923076923076921</v>
      </c>
      <c r="AM839" s="28">
        <v>0.23076923076923081</v>
      </c>
      <c r="AN839" s="28">
        <v>0.30769230769230771</v>
      </c>
      <c r="AO839" s="28">
        <v>0.42574257425742568</v>
      </c>
      <c r="AP839" s="28">
        <v>0.43564356435643559</v>
      </c>
      <c r="AQ839" s="28">
        <v>5.940594059405941E-2</v>
      </c>
      <c r="AR839" s="28">
        <v>7.9207920792079209E-2</v>
      </c>
      <c r="AS839" s="25">
        <v>1.1399999999999999</v>
      </c>
      <c r="AT839" s="25">
        <v>3.44</v>
      </c>
      <c r="AU839" s="25">
        <v>2.2999999999999998</v>
      </c>
      <c r="AV839" s="25">
        <v>2.546153846153846</v>
      </c>
      <c r="AW839">
        <v>2.546153846153846</v>
      </c>
      <c r="AX839">
        <v>6.4801861773330387</v>
      </c>
      <c r="AY839" s="75"/>
      <c r="AZ839" s="75"/>
      <c r="BA839" s="75"/>
      <c r="BB839">
        <v>3.4800038976043647E-2</v>
      </c>
      <c r="BF839">
        <v>6.9600077952087308E-2</v>
      </c>
      <c r="BG839">
        <v>3.4800038976043647E-2</v>
      </c>
      <c r="BH839">
        <v>0</v>
      </c>
      <c r="BI839" s="79" t="s">
        <v>1264</v>
      </c>
      <c r="BJ839" s="79">
        <v>1373</v>
      </c>
      <c r="BK839" s="79">
        <v>12</v>
      </c>
      <c r="BM839" s="79" t="s">
        <v>1268</v>
      </c>
      <c r="BN839" s="79" t="s">
        <v>863</v>
      </c>
      <c r="BO839" s="79">
        <v>1</v>
      </c>
      <c r="BQ839" s="79">
        <v>0.5</v>
      </c>
      <c r="BR839" s="79">
        <v>1</v>
      </c>
      <c r="BS839" s="95" t="s">
        <v>464</v>
      </c>
      <c r="BT839" s="95" t="s">
        <v>464</v>
      </c>
      <c r="BU839" s="95" t="s">
        <v>1266</v>
      </c>
      <c r="BV839" s="95">
        <v>125</v>
      </c>
      <c r="BW839" s="95">
        <v>220</v>
      </c>
      <c r="BX839" s="95" t="s">
        <v>1287</v>
      </c>
      <c r="BY839" s="95">
        <f t="shared" si="222"/>
        <v>288</v>
      </c>
      <c r="BZ839" s="81">
        <v>59280</v>
      </c>
      <c r="CA839" s="2"/>
    </row>
    <row r="840" spans="1:79" x14ac:dyDescent="0.3">
      <c r="A840" s="2" t="s">
        <v>384</v>
      </c>
      <c r="B840" s="18" t="s">
        <v>1046</v>
      </c>
      <c r="C840" s="13"/>
      <c r="D840" s="2">
        <v>3.33</v>
      </c>
      <c r="E840" s="2" t="s">
        <v>380</v>
      </c>
      <c r="F840" s="9">
        <v>-1</v>
      </c>
      <c r="G840">
        <v>-1</v>
      </c>
      <c r="I840" s="2">
        <v>1</v>
      </c>
      <c r="J840" s="25">
        <v>0</v>
      </c>
      <c r="K840">
        <v>0</v>
      </c>
      <c r="L840">
        <v>0</v>
      </c>
      <c r="M840" s="2">
        <v>3.78</v>
      </c>
      <c r="N840" s="2">
        <v>3.78</v>
      </c>
      <c r="O840" s="2">
        <v>21.5</v>
      </c>
      <c r="P840" s="2" t="s">
        <v>519</v>
      </c>
      <c r="Q840" s="2">
        <v>21.5</v>
      </c>
      <c r="R840" s="25">
        <v>0</v>
      </c>
      <c r="U840">
        <v>0</v>
      </c>
      <c r="X840">
        <v>0</v>
      </c>
      <c r="AA840" s="2"/>
      <c r="AB840">
        <v>20</v>
      </c>
      <c r="AC840" s="55">
        <f t="shared" si="225"/>
        <v>307.20060000000001</v>
      </c>
      <c r="AD840" s="57">
        <v>0</v>
      </c>
      <c r="AE840" s="55">
        <v>0</v>
      </c>
      <c r="AF840" s="55">
        <v>0</v>
      </c>
      <c r="AG840" s="52">
        <f t="shared" si="224"/>
        <v>6.5104039510339495E-2</v>
      </c>
      <c r="AH840" s="52"/>
      <c r="AI840" s="52"/>
      <c r="AJ840" s="52"/>
      <c r="AK840" s="28">
        <v>1.6206896551724139</v>
      </c>
      <c r="AL840" s="28">
        <v>1.586206896551724</v>
      </c>
      <c r="AM840" s="28">
        <v>0.2068965517241379</v>
      </c>
      <c r="AN840" s="28">
        <v>0.27586206896551718</v>
      </c>
      <c r="AO840" s="28">
        <v>0.43925233644859812</v>
      </c>
      <c r="AP840" s="28">
        <v>0.42990654205607481</v>
      </c>
      <c r="AQ840" s="28">
        <v>5.6074766355140193E-2</v>
      </c>
      <c r="AR840" s="28">
        <v>7.476635514018691E-2</v>
      </c>
      <c r="AS840" s="25">
        <v>1.1399999999999999</v>
      </c>
      <c r="AT840" s="25">
        <v>3.44</v>
      </c>
      <c r="AU840" s="25">
        <v>2.2999999999999998</v>
      </c>
      <c r="AV840" s="25">
        <v>2.522413793103448</v>
      </c>
      <c r="AW840">
        <v>2.522413793103448</v>
      </c>
      <c r="AX840">
        <v>6.5206577247021036</v>
      </c>
      <c r="AY840" s="75"/>
      <c r="AZ840" s="75"/>
      <c r="BA840" s="75"/>
      <c r="BB840">
        <v>3.2552019755169748E-2</v>
      </c>
      <c r="BF840">
        <v>6.5104039510339495E-2</v>
      </c>
      <c r="BG840">
        <v>3.2552019755169748E-2</v>
      </c>
      <c r="BH840">
        <v>0</v>
      </c>
      <c r="BI840" s="79" t="s">
        <v>1264</v>
      </c>
      <c r="BJ840" s="79">
        <v>1373</v>
      </c>
      <c r="BK840" s="79">
        <v>12</v>
      </c>
      <c r="BM840" s="79" t="s">
        <v>1268</v>
      </c>
      <c r="BN840" s="79" t="s">
        <v>863</v>
      </c>
      <c r="BO840" s="79">
        <v>1</v>
      </c>
      <c r="BQ840" s="79">
        <v>0.5</v>
      </c>
      <c r="BR840" s="79">
        <v>1</v>
      </c>
      <c r="BS840" s="95" t="s">
        <v>464</v>
      </c>
      <c r="BT840" s="95" t="s">
        <v>464</v>
      </c>
      <c r="BU840" s="95" t="s">
        <v>1266</v>
      </c>
      <c r="BV840" s="95">
        <v>125</v>
      </c>
      <c r="BW840" s="95">
        <v>220</v>
      </c>
      <c r="BX840" s="95" t="s">
        <v>1287</v>
      </c>
      <c r="BY840" s="95">
        <f t="shared" si="222"/>
        <v>288</v>
      </c>
      <c r="BZ840" s="81">
        <v>58960</v>
      </c>
      <c r="CA840" s="2"/>
    </row>
    <row r="841" spans="1:79" x14ac:dyDescent="0.3">
      <c r="A841" s="2" t="s">
        <v>385</v>
      </c>
      <c r="B841" s="18" t="s">
        <v>1047</v>
      </c>
      <c r="C841" s="13"/>
      <c r="D841" s="2">
        <v>3.33</v>
      </c>
      <c r="E841" s="2" t="s">
        <v>380</v>
      </c>
      <c r="F841" s="9">
        <v>-1</v>
      </c>
      <c r="G841">
        <v>-1</v>
      </c>
      <c r="I841" s="2">
        <v>1</v>
      </c>
      <c r="J841" s="25">
        <v>0</v>
      </c>
      <c r="K841">
        <v>0</v>
      </c>
      <c r="L841">
        <v>0</v>
      </c>
      <c r="M841" s="2">
        <v>3.78</v>
      </c>
      <c r="N841" s="2">
        <v>3.78</v>
      </c>
      <c r="O841" s="2">
        <v>24.4</v>
      </c>
      <c r="P841" s="2" t="s">
        <v>519</v>
      </c>
      <c r="Q841" s="2">
        <v>24.4</v>
      </c>
      <c r="R841" s="25">
        <v>0</v>
      </c>
      <c r="U841">
        <v>0</v>
      </c>
      <c r="X841">
        <v>0</v>
      </c>
      <c r="AA841" s="2"/>
      <c r="AB841">
        <v>20</v>
      </c>
      <c r="AC841" s="55">
        <f t="shared" si="225"/>
        <v>348.63695999999999</v>
      </c>
      <c r="AD841" s="57">
        <v>0</v>
      </c>
      <c r="AE841" s="55">
        <v>0</v>
      </c>
      <c r="AF841" s="55">
        <v>0</v>
      </c>
      <c r="AG841" s="52">
        <f t="shared" si="224"/>
        <v>5.7366264322635217E-2</v>
      </c>
      <c r="AH841" s="52"/>
      <c r="AI841" s="52"/>
      <c r="AJ841" s="52"/>
      <c r="AK841" s="28">
        <v>1.59375</v>
      </c>
      <c r="AL841" s="28">
        <v>1.5</v>
      </c>
      <c r="AM841" s="28">
        <v>0.1875</v>
      </c>
      <c r="AN841" s="28">
        <v>0.25</v>
      </c>
      <c r="AO841" s="28">
        <v>0.45132743362831862</v>
      </c>
      <c r="AP841" s="28">
        <v>0.4247787610619469</v>
      </c>
      <c r="AQ841" s="28">
        <v>5.3097345132743362E-2</v>
      </c>
      <c r="AR841" s="28">
        <v>7.0796460176991149E-2</v>
      </c>
      <c r="AS841" s="25">
        <v>1.1399999999999999</v>
      </c>
      <c r="AT841" s="25">
        <v>3.44</v>
      </c>
      <c r="AU841" s="25">
        <v>2.2999999999999998</v>
      </c>
      <c r="AV841" s="25">
        <v>2.5031249999999998</v>
      </c>
      <c r="AW841">
        <v>2.5031249999999998</v>
      </c>
      <c r="AX841">
        <v>6.5535408569394704</v>
      </c>
      <c r="AY841" s="75"/>
      <c r="AZ841" s="75"/>
      <c r="BA841" s="75"/>
      <c r="BB841">
        <v>2.8683132161317609E-2</v>
      </c>
      <c r="BF841">
        <v>5.7366264322635217E-2</v>
      </c>
      <c r="BG841">
        <v>2.8683132161317609E-2</v>
      </c>
      <c r="BH841">
        <v>0</v>
      </c>
      <c r="BI841" s="79" t="s">
        <v>1264</v>
      </c>
      <c r="BJ841" s="79">
        <v>1373</v>
      </c>
      <c r="BK841" s="79">
        <v>12</v>
      </c>
      <c r="BM841" s="79" t="s">
        <v>1268</v>
      </c>
      <c r="BN841" s="79" t="s">
        <v>863</v>
      </c>
      <c r="BO841" s="79">
        <v>1</v>
      </c>
      <c r="BP841" s="79">
        <v>3.89</v>
      </c>
      <c r="BQ841" s="79">
        <v>0.5</v>
      </c>
      <c r="BR841" s="79">
        <v>1</v>
      </c>
      <c r="BS841" s="95" t="s">
        <v>464</v>
      </c>
      <c r="BT841" s="95" t="s">
        <v>464</v>
      </c>
      <c r="BU841" s="95" t="s">
        <v>1266</v>
      </c>
      <c r="BV841" s="95">
        <v>125</v>
      </c>
      <c r="BW841" s="95">
        <v>220</v>
      </c>
      <c r="BX841" s="95" t="s">
        <v>1287</v>
      </c>
      <c r="BY841" s="95">
        <f t="shared" si="222"/>
        <v>288</v>
      </c>
      <c r="BZ841" s="81">
        <v>83120</v>
      </c>
      <c r="CA841" s="2"/>
    </row>
    <row r="842" spans="1:79" x14ac:dyDescent="0.3">
      <c r="A842" s="2" t="s">
        <v>386</v>
      </c>
      <c r="B842" s="18" t="s">
        <v>1048</v>
      </c>
      <c r="C842" s="13"/>
      <c r="D842" s="2">
        <v>3.35</v>
      </c>
      <c r="E842" s="2" t="s">
        <v>380</v>
      </c>
      <c r="F842" s="9">
        <v>-1</v>
      </c>
      <c r="G842">
        <v>-1</v>
      </c>
      <c r="I842" s="2">
        <v>1</v>
      </c>
      <c r="J842" s="25">
        <v>0</v>
      </c>
      <c r="K842">
        <v>0</v>
      </c>
      <c r="L842">
        <v>0</v>
      </c>
      <c r="M842" s="2">
        <v>3.8</v>
      </c>
      <c r="N842" s="2">
        <v>3.8</v>
      </c>
      <c r="O842" s="2">
        <v>29.2</v>
      </c>
      <c r="P842" s="2" t="s">
        <v>519</v>
      </c>
      <c r="Q842" s="2">
        <v>29.2</v>
      </c>
      <c r="R842" s="25">
        <v>0</v>
      </c>
      <c r="U842">
        <v>0</v>
      </c>
      <c r="X842">
        <v>0</v>
      </c>
      <c r="AA842" s="2"/>
      <c r="AB842">
        <v>20</v>
      </c>
      <c r="AC842" s="55">
        <f t="shared" si="225"/>
        <v>421.64799999999997</v>
      </c>
      <c r="AD842" s="57">
        <v>0</v>
      </c>
      <c r="AE842" s="55">
        <v>0</v>
      </c>
      <c r="AF842" s="55">
        <v>0</v>
      </c>
      <c r="AG842" s="52">
        <f t="shared" si="224"/>
        <v>4.7432929837210189E-2</v>
      </c>
      <c r="AH842" s="52"/>
      <c r="AI842" s="52"/>
      <c r="AJ842" s="52"/>
      <c r="AK842" s="28">
        <v>1.5526315789473679</v>
      </c>
      <c r="AL842" s="28">
        <v>1.368421052631579</v>
      </c>
      <c r="AM842" s="28">
        <v>0.15789473684210531</v>
      </c>
      <c r="AN842" s="28">
        <v>0.2105263157894737</v>
      </c>
      <c r="AO842" s="28">
        <v>0.47199999999999998</v>
      </c>
      <c r="AP842" s="28">
        <v>0.41599999999999998</v>
      </c>
      <c r="AQ842" s="28">
        <v>4.8000000000000001E-2</v>
      </c>
      <c r="AR842" s="28">
        <v>6.4000000000000001E-2</v>
      </c>
      <c r="AS842" s="25">
        <v>1.1399999999999999</v>
      </c>
      <c r="AT842" s="25">
        <v>3.44</v>
      </c>
      <c r="AU842" s="25">
        <v>2.2999999999999998</v>
      </c>
      <c r="AV842" s="25">
        <v>2.4736842105263159</v>
      </c>
      <c r="AW842">
        <v>2.473684210526315</v>
      </c>
      <c r="AX842">
        <v>6.6037309008807101</v>
      </c>
      <c r="AY842" s="75"/>
      <c r="AZ842" s="75"/>
      <c r="BA842" s="75"/>
      <c r="BB842">
        <v>2.3716464918605091E-2</v>
      </c>
      <c r="BF842">
        <v>4.7432929837210189E-2</v>
      </c>
      <c r="BG842">
        <v>2.3716464918605091E-2</v>
      </c>
      <c r="BH842">
        <v>0</v>
      </c>
      <c r="BI842" s="79" t="s">
        <v>1264</v>
      </c>
      <c r="BJ842" s="79">
        <v>1373</v>
      </c>
      <c r="BK842" s="79">
        <v>12</v>
      </c>
      <c r="BM842" s="79" t="s">
        <v>1268</v>
      </c>
      <c r="BN842" s="79" t="s">
        <v>863</v>
      </c>
      <c r="BO842" s="79">
        <v>1</v>
      </c>
      <c r="BQ842" s="79">
        <v>0.5</v>
      </c>
      <c r="BR842" s="79">
        <v>1</v>
      </c>
      <c r="BS842" s="95" t="s">
        <v>464</v>
      </c>
      <c r="BT842" s="95" t="s">
        <v>464</v>
      </c>
      <c r="BU842" s="95" t="s">
        <v>1266</v>
      </c>
      <c r="BV842" s="95">
        <v>125</v>
      </c>
      <c r="BW842" s="95">
        <v>220</v>
      </c>
      <c r="BX842" s="95" t="s">
        <v>1287</v>
      </c>
      <c r="BY842" s="95">
        <f t="shared" si="222"/>
        <v>288</v>
      </c>
      <c r="BZ842" s="81">
        <v>38600</v>
      </c>
      <c r="CA842" s="2"/>
    </row>
    <row r="843" spans="1:79" x14ac:dyDescent="0.3">
      <c r="A843" s="2" t="s">
        <v>387</v>
      </c>
      <c r="B843" s="18" t="s">
        <v>1049</v>
      </c>
      <c r="C843" s="13"/>
      <c r="D843" s="2">
        <v>3.36</v>
      </c>
      <c r="E843" s="2" t="s">
        <v>380</v>
      </c>
      <c r="F843" s="9">
        <v>-1</v>
      </c>
      <c r="G843">
        <v>-1</v>
      </c>
      <c r="I843" s="2">
        <v>1</v>
      </c>
      <c r="J843" s="25">
        <v>0</v>
      </c>
      <c r="K843">
        <v>0</v>
      </c>
      <c r="L843">
        <v>0</v>
      </c>
      <c r="M843" s="2">
        <v>3.8</v>
      </c>
      <c r="N843" s="2">
        <v>3.8</v>
      </c>
      <c r="O843" s="2">
        <v>33.4</v>
      </c>
      <c r="P843" s="2" t="s">
        <v>519</v>
      </c>
      <c r="Q843" s="2">
        <v>33.4</v>
      </c>
      <c r="R843" s="25">
        <v>0</v>
      </c>
      <c r="U843">
        <v>0</v>
      </c>
      <c r="X843">
        <v>0</v>
      </c>
      <c r="AA843" s="2"/>
      <c r="AB843">
        <v>20</v>
      </c>
      <c r="AC843" s="55">
        <f t="shared" si="225"/>
        <v>482.29599999999994</v>
      </c>
      <c r="AD843" s="57">
        <v>0</v>
      </c>
      <c r="AE843" s="55">
        <v>0</v>
      </c>
      <c r="AF843" s="55">
        <v>0</v>
      </c>
      <c r="AG843" s="52">
        <f t="shared" si="224"/>
        <v>4.1468309917561008E-2</v>
      </c>
      <c r="AH843" s="52"/>
      <c r="AI843" s="52"/>
      <c r="AJ843" s="52"/>
      <c r="AK843" s="28">
        <v>1.5227272727272729</v>
      </c>
      <c r="AL843" s="28">
        <v>1.2727272727272729</v>
      </c>
      <c r="AM843" s="28">
        <v>0.13636363636363641</v>
      </c>
      <c r="AN843" s="28">
        <v>0.1818181818181818</v>
      </c>
      <c r="AO843" s="28">
        <v>0.48905109489051091</v>
      </c>
      <c r="AP843" s="28">
        <v>0.40875912408759119</v>
      </c>
      <c r="AQ843" s="28">
        <v>4.3795620437956199E-2</v>
      </c>
      <c r="AR843" s="28">
        <v>5.8394160583941597E-2</v>
      </c>
      <c r="AS843" s="25">
        <v>1.1399999999999999</v>
      </c>
      <c r="AT843" s="25">
        <v>3.44</v>
      </c>
      <c r="AU843" s="25">
        <v>2.2999999999999998</v>
      </c>
      <c r="AV843" s="25">
        <v>2.452272727272728</v>
      </c>
      <c r="AW843">
        <v>2.4522727272727272</v>
      </c>
      <c r="AX843">
        <v>6.6402327510197949</v>
      </c>
      <c r="AY843" s="75"/>
      <c r="AZ843" s="75"/>
      <c r="BA843" s="75"/>
      <c r="BB843">
        <v>2.0734154958780501E-2</v>
      </c>
      <c r="BF843">
        <v>4.1468309917561008E-2</v>
      </c>
      <c r="BG843">
        <v>2.0734154958780501E-2</v>
      </c>
      <c r="BH843">
        <v>0</v>
      </c>
      <c r="BI843" s="79" t="s">
        <v>1264</v>
      </c>
      <c r="BJ843" s="79">
        <v>1373</v>
      </c>
      <c r="BK843" s="79">
        <v>12</v>
      </c>
      <c r="BM843" s="79" t="s">
        <v>1268</v>
      </c>
      <c r="BN843" s="79" t="s">
        <v>863</v>
      </c>
      <c r="BO843" s="79">
        <v>1</v>
      </c>
      <c r="BP843" s="79">
        <v>4.3899999999999997</v>
      </c>
      <c r="BQ843" s="79">
        <v>0.5</v>
      </c>
      <c r="BR843" s="79">
        <v>1</v>
      </c>
      <c r="BS843" s="95" t="s">
        <v>464</v>
      </c>
      <c r="BT843" s="95" t="s">
        <v>464</v>
      </c>
      <c r="BU843" s="95" t="s">
        <v>1266</v>
      </c>
      <c r="BV843" s="95">
        <v>125</v>
      </c>
      <c r="BW843" s="95">
        <v>220</v>
      </c>
      <c r="BX843" s="95" t="s">
        <v>1287</v>
      </c>
      <c r="BY843" s="95">
        <f t="shared" si="222"/>
        <v>288</v>
      </c>
      <c r="BZ843" s="81">
        <v>41080</v>
      </c>
      <c r="CA843" s="2"/>
    </row>
    <row r="844" spans="1:79" x14ac:dyDescent="0.3">
      <c r="A844" s="2" t="s">
        <v>388</v>
      </c>
      <c r="B844" s="18" t="s">
        <v>1050</v>
      </c>
      <c r="C844" s="13"/>
      <c r="D844" s="2">
        <v>3.33</v>
      </c>
      <c r="E844" s="2" t="s">
        <v>380</v>
      </c>
      <c r="F844" s="9">
        <v>-1</v>
      </c>
      <c r="G844">
        <v>-1</v>
      </c>
      <c r="I844" s="2">
        <v>2</v>
      </c>
      <c r="J844" s="25">
        <v>0</v>
      </c>
      <c r="K844">
        <v>0</v>
      </c>
      <c r="L844">
        <v>0</v>
      </c>
      <c r="M844" s="2">
        <v>3.76</v>
      </c>
      <c r="N844" s="2">
        <v>3.76</v>
      </c>
      <c r="O844" s="2">
        <v>34.1</v>
      </c>
      <c r="P844" s="2" t="s">
        <v>519</v>
      </c>
      <c r="Q844" s="2">
        <v>17.100000000000001</v>
      </c>
      <c r="R844" s="25">
        <v>0</v>
      </c>
      <c r="U844">
        <v>0</v>
      </c>
      <c r="X844">
        <v>0</v>
      </c>
      <c r="AA844" s="2"/>
      <c r="AB844">
        <v>22</v>
      </c>
      <c r="AC844" s="55">
        <f t="shared" si="225"/>
        <v>482.09215999999998</v>
      </c>
      <c r="AD844" s="57">
        <v>0</v>
      </c>
      <c r="AE844" s="55">
        <v>0</v>
      </c>
      <c r="AF844" s="55">
        <v>0</v>
      </c>
      <c r="AG844" s="52">
        <f t="shared" si="224"/>
        <v>9.12688561456797E-2</v>
      </c>
      <c r="AH844" s="52"/>
      <c r="AI844" s="52"/>
      <c r="AJ844" s="52"/>
      <c r="AK844" s="28">
        <v>1.7391304347826091</v>
      </c>
      <c r="AL844" s="28">
        <v>2</v>
      </c>
      <c r="AM844" s="28">
        <v>0.2608695652173913</v>
      </c>
      <c r="AN844" s="28">
        <v>0.34782608695652167</v>
      </c>
      <c r="AO844" s="28">
        <v>0.4</v>
      </c>
      <c r="AP844" s="28">
        <v>0.46</v>
      </c>
      <c r="AQ844" s="28">
        <v>0.06</v>
      </c>
      <c r="AR844" s="28">
        <v>0.08</v>
      </c>
      <c r="AS844" s="25">
        <v>1.1399999999999999</v>
      </c>
      <c r="AT844" s="25">
        <v>3.44</v>
      </c>
      <c r="AU844" s="25">
        <v>2.2999999999999998</v>
      </c>
      <c r="AV844" s="25">
        <v>2.63</v>
      </c>
      <c r="AW844">
        <v>2.63</v>
      </c>
      <c r="AX844">
        <v>6.444942219787217</v>
      </c>
      <c r="AY844" s="75"/>
      <c r="AZ844" s="75"/>
      <c r="BA844" s="75"/>
      <c r="BB844">
        <v>4.563442807283985E-2</v>
      </c>
      <c r="BF844">
        <v>9.12688561456797E-2</v>
      </c>
      <c r="BG844">
        <v>4.563442807283985E-2</v>
      </c>
      <c r="BH844">
        <v>0</v>
      </c>
      <c r="BI844" s="79" t="s">
        <v>1264</v>
      </c>
      <c r="BJ844" s="79">
        <v>1373</v>
      </c>
      <c r="BK844" s="79">
        <v>12</v>
      </c>
      <c r="BM844" s="79" t="s">
        <v>1268</v>
      </c>
      <c r="BN844" s="79" t="s">
        <v>863</v>
      </c>
      <c r="BO844" s="79">
        <v>1</v>
      </c>
      <c r="BP844" s="79">
        <v>4.51</v>
      </c>
      <c r="BQ844" s="79">
        <v>0.5</v>
      </c>
      <c r="BR844" s="79">
        <v>1</v>
      </c>
      <c r="BS844" s="95" t="s">
        <v>464</v>
      </c>
      <c r="BT844" s="95" t="s">
        <v>464</v>
      </c>
      <c r="BU844" s="95" t="s">
        <v>1266</v>
      </c>
      <c r="BV844" s="95">
        <v>125</v>
      </c>
      <c r="BW844" s="95">
        <v>220</v>
      </c>
      <c r="BX844" s="95" t="s">
        <v>1287</v>
      </c>
      <c r="BY844" s="95">
        <f t="shared" si="222"/>
        <v>288</v>
      </c>
      <c r="BZ844" s="81">
        <v>71480</v>
      </c>
      <c r="CA844" s="2"/>
    </row>
    <row r="845" spans="1:79" x14ac:dyDescent="0.3">
      <c r="A845" s="2" t="s">
        <v>389</v>
      </c>
      <c r="B845" s="18" t="s">
        <v>1051</v>
      </c>
      <c r="C845" s="13"/>
      <c r="D845" s="2">
        <v>3.33</v>
      </c>
      <c r="E845" s="2" t="s">
        <v>380</v>
      </c>
      <c r="F845" s="9">
        <v>-1</v>
      </c>
      <c r="G845">
        <v>-1</v>
      </c>
      <c r="I845" s="2">
        <v>2</v>
      </c>
      <c r="J845" s="25">
        <v>0</v>
      </c>
      <c r="K845">
        <v>0</v>
      </c>
      <c r="L845">
        <v>0</v>
      </c>
      <c r="M845" s="2">
        <v>3.77</v>
      </c>
      <c r="N845" s="2">
        <v>3.77</v>
      </c>
      <c r="O845" s="2">
        <v>40.9</v>
      </c>
      <c r="P845" s="2" t="s">
        <v>519</v>
      </c>
      <c r="Q845" s="2">
        <v>20.5</v>
      </c>
      <c r="R845" s="25">
        <v>0</v>
      </c>
      <c r="U845">
        <v>0</v>
      </c>
      <c r="X845">
        <v>0</v>
      </c>
      <c r="AA845" s="2"/>
      <c r="AB845">
        <v>22</v>
      </c>
      <c r="AC845" s="55">
        <f t="shared" si="225"/>
        <v>581.30760999999995</v>
      </c>
      <c r="AD845" s="57">
        <v>0</v>
      </c>
      <c r="AE845" s="55">
        <v>0</v>
      </c>
      <c r="AF845" s="55">
        <v>0</v>
      </c>
      <c r="AG845" s="52">
        <f t="shared" si="224"/>
        <v>7.5691422653145726E-2</v>
      </c>
      <c r="AH845" s="52"/>
      <c r="AI845" s="52"/>
      <c r="AJ845" s="52"/>
      <c r="AK845" s="28">
        <v>1.6923076923076921</v>
      </c>
      <c r="AL845" s="28">
        <v>1.846153846153846</v>
      </c>
      <c r="AM845" s="28">
        <v>0.23076923076923081</v>
      </c>
      <c r="AN845" s="28">
        <v>0.30769230769230771</v>
      </c>
      <c r="AO845" s="28">
        <v>0.41509433962264147</v>
      </c>
      <c r="AP845" s="28">
        <v>0.45283018867924529</v>
      </c>
      <c r="AQ845" s="28">
        <v>5.6603773584905669E-2</v>
      </c>
      <c r="AR845" s="28">
        <v>7.5471698113207558E-2</v>
      </c>
      <c r="AS845" s="25">
        <v>1.1399999999999999</v>
      </c>
      <c r="AT845" s="25">
        <v>3.44</v>
      </c>
      <c r="AU845" s="25">
        <v>2.2999999999999998</v>
      </c>
      <c r="AV845" s="25">
        <v>2.5938461538461541</v>
      </c>
      <c r="AW845">
        <v>2.5938461538461541</v>
      </c>
      <c r="AX845">
        <v>6.4941501715695384</v>
      </c>
      <c r="AY845" s="75"/>
      <c r="AZ845" s="75"/>
      <c r="BA845" s="75"/>
      <c r="BB845">
        <v>3.7845711326572863E-2</v>
      </c>
      <c r="BF845">
        <v>7.5691422653145726E-2</v>
      </c>
      <c r="BG845">
        <v>3.7845711326572863E-2</v>
      </c>
      <c r="BH845">
        <v>0</v>
      </c>
      <c r="BI845" s="79" t="s">
        <v>1264</v>
      </c>
      <c r="BJ845" s="79">
        <v>1373</v>
      </c>
      <c r="BK845" s="79">
        <v>12</v>
      </c>
      <c r="BM845" s="79" t="s">
        <v>1268</v>
      </c>
      <c r="BN845" s="79" t="s">
        <v>863</v>
      </c>
      <c r="BO845" s="79">
        <v>1</v>
      </c>
      <c r="BQ845" s="79">
        <v>0.5</v>
      </c>
      <c r="BR845" s="79">
        <v>1</v>
      </c>
      <c r="BS845" s="95" t="s">
        <v>464</v>
      </c>
      <c r="BT845" s="95" t="s">
        <v>464</v>
      </c>
      <c r="BU845" s="95" t="s">
        <v>1266</v>
      </c>
      <c r="BV845" s="95">
        <v>125</v>
      </c>
      <c r="BW845" s="95">
        <v>220</v>
      </c>
      <c r="BX845" s="95" t="s">
        <v>1287</v>
      </c>
      <c r="BY845" s="95">
        <f t="shared" si="222"/>
        <v>288</v>
      </c>
      <c r="BZ845" s="81">
        <v>90720</v>
      </c>
      <c r="CA845" s="2"/>
    </row>
    <row r="846" spans="1:79" x14ac:dyDescent="0.3">
      <c r="A846" s="2" t="s">
        <v>390</v>
      </c>
      <c r="B846" s="18" t="s">
        <v>1052</v>
      </c>
      <c r="C846" s="13"/>
      <c r="D846" s="2">
        <v>3.32</v>
      </c>
      <c r="E846" s="2" t="s">
        <v>380</v>
      </c>
      <c r="F846" s="9">
        <v>-1</v>
      </c>
      <c r="G846">
        <v>-1</v>
      </c>
      <c r="I846" s="2">
        <v>2</v>
      </c>
      <c r="J846" s="25">
        <v>0</v>
      </c>
      <c r="K846">
        <v>0</v>
      </c>
      <c r="L846">
        <v>0</v>
      </c>
      <c r="M846" s="2">
        <v>3.79</v>
      </c>
      <c r="N846" s="2">
        <v>3.79</v>
      </c>
      <c r="O846" s="2">
        <v>43.8</v>
      </c>
      <c r="P846" s="2" t="s">
        <v>519</v>
      </c>
      <c r="Q846" s="2">
        <v>21.9</v>
      </c>
      <c r="R846" s="25">
        <v>0</v>
      </c>
      <c r="U846">
        <v>0</v>
      </c>
      <c r="X846">
        <v>0</v>
      </c>
      <c r="AA846" s="2"/>
      <c r="AB846">
        <v>22</v>
      </c>
      <c r="AC846" s="55">
        <f t="shared" si="225"/>
        <v>629.14757999999995</v>
      </c>
      <c r="AD846" s="57">
        <v>0</v>
      </c>
      <c r="AE846" s="55">
        <v>0</v>
      </c>
      <c r="AF846" s="55">
        <v>0</v>
      </c>
      <c r="AG846" s="52">
        <f t="shared" si="224"/>
        <v>6.9935896439433182E-2</v>
      </c>
      <c r="AH846" s="52"/>
      <c r="AI846" s="52"/>
      <c r="AJ846" s="52"/>
      <c r="AK846" s="28">
        <v>1.655172413793103</v>
      </c>
      <c r="AL846" s="28">
        <v>1.7241379310344831</v>
      </c>
      <c r="AM846" s="28">
        <v>0.2068965517241379</v>
      </c>
      <c r="AN846" s="28">
        <v>0.27586206896551718</v>
      </c>
      <c r="AO846" s="28">
        <v>0.42857142857142849</v>
      </c>
      <c r="AP846" s="28">
        <v>0.4464285714285714</v>
      </c>
      <c r="AQ846" s="28">
        <v>5.3571428571428568E-2</v>
      </c>
      <c r="AR846" s="28">
        <v>7.1428571428571425E-2</v>
      </c>
      <c r="AS846" s="25">
        <v>1.1399999999999999</v>
      </c>
      <c r="AT846" s="25">
        <v>3.44</v>
      </c>
      <c r="AU846" s="25">
        <v>2.2999999999999998</v>
      </c>
      <c r="AV846" s="25">
        <v>2.5651724137931029</v>
      </c>
      <c r="AW846">
        <v>2.5651724137931029</v>
      </c>
      <c r="AX846">
        <v>6.53317716781069</v>
      </c>
      <c r="AY846" s="75"/>
      <c r="AZ846" s="75"/>
      <c r="BA846" s="75"/>
      <c r="BB846">
        <v>3.4967948219716591E-2</v>
      </c>
      <c r="BF846">
        <v>6.9935896439433182E-2</v>
      </c>
      <c r="BG846">
        <v>3.4967948219716591E-2</v>
      </c>
      <c r="BH846">
        <v>0</v>
      </c>
      <c r="BI846" s="79" t="s">
        <v>1264</v>
      </c>
      <c r="BJ846" s="79">
        <v>1373</v>
      </c>
      <c r="BK846" s="79">
        <v>12</v>
      </c>
      <c r="BM846" s="79" t="s">
        <v>1268</v>
      </c>
      <c r="BN846" s="79" t="s">
        <v>863</v>
      </c>
      <c r="BO846" s="79">
        <v>1</v>
      </c>
      <c r="BQ846" s="79">
        <v>0.5</v>
      </c>
      <c r="BR846" s="79">
        <v>1</v>
      </c>
      <c r="BS846" s="95" t="s">
        <v>464</v>
      </c>
      <c r="BT846" s="95" t="s">
        <v>464</v>
      </c>
      <c r="BU846" s="95" t="s">
        <v>1266</v>
      </c>
      <c r="BV846" s="95">
        <v>125</v>
      </c>
      <c r="BW846" s="95">
        <v>220</v>
      </c>
      <c r="BX846" s="95" t="s">
        <v>1287</v>
      </c>
      <c r="BY846" s="95">
        <f t="shared" si="222"/>
        <v>288</v>
      </c>
      <c r="BZ846" s="81">
        <v>97200</v>
      </c>
      <c r="CA846" s="2"/>
    </row>
    <row r="847" spans="1:79" x14ac:dyDescent="0.3">
      <c r="A847" s="2" t="s">
        <v>391</v>
      </c>
      <c r="B847" s="18" t="s">
        <v>1053</v>
      </c>
      <c r="C847" s="13"/>
      <c r="D847" s="2">
        <v>3.33</v>
      </c>
      <c r="E847" s="2" t="s">
        <v>380</v>
      </c>
      <c r="F847" s="9">
        <v>-1</v>
      </c>
      <c r="G847">
        <v>-1</v>
      </c>
      <c r="I847" s="2">
        <v>2</v>
      </c>
      <c r="J847" s="25">
        <v>0</v>
      </c>
      <c r="K847">
        <v>0</v>
      </c>
      <c r="L847">
        <v>0</v>
      </c>
      <c r="M847" s="2">
        <v>3.78</v>
      </c>
      <c r="N847" s="2">
        <v>3.78</v>
      </c>
      <c r="O847" s="2">
        <v>47.3</v>
      </c>
      <c r="P847" s="2" t="s">
        <v>519</v>
      </c>
      <c r="Q847" s="2">
        <v>23.7</v>
      </c>
      <c r="R847" s="25">
        <v>0</v>
      </c>
      <c r="U847">
        <v>0</v>
      </c>
      <c r="X847">
        <v>0</v>
      </c>
      <c r="AA847" s="2"/>
      <c r="AB847">
        <v>22</v>
      </c>
      <c r="AC847" s="55">
        <f t="shared" si="225"/>
        <v>675.84131999999988</v>
      </c>
      <c r="AD847" s="57">
        <v>0</v>
      </c>
      <c r="AE847" s="55">
        <v>0</v>
      </c>
      <c r="AF847" s="55">
        <v>0</v>
      </c>
      <c r="AG847" s="52">
        <f t="shared" si="224"/>
        <v>6.5104039510339509E-2</v>
      </c>
      <c r="AH847" s="52"/>
      <c r="AI847" s="52"/>
      <c r="AJ847" s="52"/>
      <c r="AK847" s="28">
        <v>1.625</v>
      </c>
      <c r="AL847" s="28">
        <v>1.625</v>
      </c>
      <c r="AM847" s="28">
        <v>0.1875</v>
      </c>
      <c r="AN847" s="28">
        <v>0.25</v>
      </c>
      <c r="AO847" s="28">
        <v>0.44067796610169491</v>
      </c>
      <c r="AP847" s="28">
        <v>0.44067796610169491</v>
      </c>
      <c r="AQ847" s="28">
        <v>5.0847457627118647E-2</v>
      </c>
      <c r="AR847" s="28">
        <v>6.7796610169491525E-2</v>
      </c>
      <c r="AS847" s="25">
        <v>1.1399999999999999</v>
      </c>
      <c r="AT847" s="25">
        <v>3.44</v>
      </c>
      <c r="AU847" s="25">
        <v>2.2999999999999998</v>
      </c>
      <c r="AV847" s="25">
        <v>2.5418750000000001</v>
      </c>
      <c r="AW847">
        <v>2.5418750000000001</v>
      </c>
      <c r="AX847">
        <v>6.5648866022566246</v>
      </c>
      <c r="AY847" s="75"/>
      <c r="AZ847" s="75"/>
      <c r="BA847" s="75"/>
      <c r="BB847">
        <v>3.2552019755169748E-2</v>
      </c>
      <c r="BF847">
        <v>6.5104039510339509E-2</v>
      </c>
      <c r="BG847">
        <v>3.2552019755169748E-2</v>
      </c>
      <c r="BH847">
        <v>0</v>
      </c>
      <c r="BI847" s="79" t="s">
        <v>1264</v>
      </c>
      <c r="BJ847" s="79">
        <v>1373</v>
      </c>
      <c r="BK847" s="79">
        <v>12</v>
      </c>
      <c r="BM847" s="79" t="s">
        <v>1268</v>
      </c>
      <c r="BN847" s="79" t="s">
        <v>863</v>
      </c>
      <c r="BO847" s="79">
        <v>1</v>
      </c>
      <c r="BP847" s="79">
        <v>3.87</v>
      </c>
      <c r="BQ847" s="79">
        <v>0.5</v>
      </c>
      <c r="BR847" s="79">
        <v>1</v>
      </c>
      <c r="BS847" s="95" t="s">
        <v>464</v>
      </c>
      <c r="BT847" s="95" t="s">
        <v>464</v>
      </c>
      <c r="BU847" s="95" t="s">
        <v>1266</v>
      </c>
      <c r="BV847" s="95">
        <v>125</v>
      </c>
      <c r="BW847" s="95">
        <v>220</v>
      </c>
      <c r="BX847" s="95" t="s">
        <v>1287</v>
      </c>
      <c r="BY847" s="95">
        <f t="shared" si="222"/>
        <v>288</v>
      </c>
      <c r="BZ847" s="81">
        <v>103360</v>
      </c>
      <c r="CA847" s="2"/>
    </row>
    <row r="848" spans="1:79" x14ac:dyDescent="0.3">
      <c r="A848" s="2" t="s">
        <v>392</v>
      </c>
      <c r="B848" s="18" t="s">
        <v>1054</v>
      </c>
      <c r="C848" s="13"/>
      <c r="D848" s="2">
        <v>3.35</v>
      </c>
      <c r="E848" s="2" t="s">
        <v>380</v>
      </c>
      <c r="F848" s="9">
        <v>-1</v>
      </c>
      <c r="G848">
        <v>-1</v>
      </c>
      <c r="I848" s="2">
        <v>1</v>
      </c>
      <c r="J848" s="25">
        <v>0</v>
      </c>
      <c r="K848">
        <v>0</v>
      </c>
      <c r="L848">
        <v>0</v>
      </c>
      <c r="M848" s="2">
        <v>3.81</v>
      </c>
      <c r="N848" s="2">
        <v>3.81</v>
      </c>
      <c r="O848" s="2">
        <v>28.3</v>
      </c>
      <c r="P848" s="2" t="s">
        <v>519</v>
      </c>
      <c r="Q848" s="2">
        <v>28.3</v>
      </c>
      <c r="R848" s="25">
        <v>0</v>
      </c>
      <c r="U848">
        <v>0</v>
      </c>
      <c r="X848">
        <v>0</v>
      </c>
      <c r="AA848" s="2"/>
      <c r="AB848">
        <v>22</v>
      </c>
      <c r="AC848" s="55">
        <f t="shared" si="225"/>
        <v>410.80563000000001</v>
      </c>
      <c r="AD848" s="57">
        <v>0</v>
      </c>
      <c r="AE848" s="55">
        <v>0</v>
      </c>
      <c r="AF848" s="55">
        <v>0</v>
      </c>
      <c r="AG848" s="52">
        <f t="shared" si="224"/>
        <v>5.3553306949566393E-2</v>
      </c>
      <c r="AH848" s="52"/>
      <c r="AI848" s="52"/>
      <c r="AJ848" s="52"/>
      <c r="AK848" s="28">
        <v>1.5789473684210531</v>
      </c>
      <c r="AL848" s="28">
        <v>1.4736842105263159</v>
      </c>
      <c r="AM848" s="28">
        <v>0.15789473684210531</v>
      </c>
      <c r="AN848" s="28">
        <v>0.2105263157894737</v>
      </c>
      <c r="AO848" s="28">
        <v>0.46153846153846162</v>
      </c>
      <c r="AP848" s="28">
        <v>0.43076923076923068</v>
      </c>
      <c r="AQ848" s="28">
        <v>4.6153846153846149E-2</v>
      </c>
      <c r="AR848" s="28">
        <v>6.1538461538461528E-2</v>
      </c>
      <c r="AS848" s="25">
        <v>1.1399999999999999</v>
      </c>
      <c r="AT848" s="25">
        <v>3.44</v>
      </c>
      <c r="AU848" s="25">
        <v>2.2999999999999998</v>
      </c>
      <c r="AV848" s="25">
        <v>2.5063157894736841</v>
      </c>
      <c r="AW848">
        <v>2.5063157894736841</v>
      </c>
      <c r="AX848">
        <v>6.6132852127267361</v>
      </c>
      <c r="AY848" s="75"/>
      <c r="AZ848" s="75"/>
      <c r="BA848" s="75"/>
      <c r="BB848">
        <v>2.67766534747832E-2</v>
      </c>
      <c r="BF848">
        <v>5.3553306949566393E-2</v>
      </c>
      <c r="BG848">
        <v>2.67766534747832E-2</v>
      </c>
      <c r="BH848">
        <v>0</v>
      </c>
      <c r="BI848" s="79" t="s">
        <v>1264</v>
      </c>
      <c r="BJ848" s="79">
        <v>1373</v>
      </c>
      <c r="BK848" s="79">
        <v>12</v>
      </c>
      <c r="BM848" s="79" t="s">
        <v>1268</v>
      </c>
      <c r="BN848" s="79" t="s">
        <v>863</v>
      </c>
      <c r="BO848" s="79">
        <v>1</v>
      </c>
      <c r="BQ848" s="79">
        <v>0.5</v>
      </c>
      <c r="BR848" s="79">
        <v>1</v>
      </c>
      <c r="BS848" s="95" t="s">
        <v>464</v>
      </c>
      <c r="BT848" s="95" t="s">
        <v>464</v>
      </c>
      <c r="BU848" s="95" t="s">
        <v>1266</v>
      </c>
      <c r="BV848" s="95">
        <v>125</v>
      </c>
      <c r="BW848" s="95">
        <v>220</v>
      </c>
      <c r="BX848" s="95" t="s">
        <v>1287</v>
      </c>
      <c r="BY848" s="95">
        <f t="shared" si="222"/>
        <v>288</v>
      </c>
      <c r="BZ848" s="81">
        <v>91400</v>
      </c>
      <c r="CA848" s="2"/>
    </row>
    <row r="849" spans="1:79" x14ac:dyDescent="0.3">
      <c r="A849" s="2" t="s">
        <v>1133</v>
      </c>
      <c r="B849" s="18" t="s">
        <v>1055</v>
      </c>
      <c r="C849" s="13"/>
      <c r="D849" s="2">
        <v>3.36</v>
      </c>
      <c r="E849" s="2" t="s">
        <v>380</v>
      </c>
      <c r="F849" s="9">
        <v>-1</v>
      </c>
      <c r="G849">
        <v>-1</v>
      </c>
      <c r="I849" s="2">
        <v>1</v>
      </c>
      <c r="J849" s="25">
        <v>0</v>
      </c>
      <c r="K849">
        <v>0</v>
      </c>
      <c r="L849">
        <v>0</v>
      </c>
      <c r="M849" s="2">
        <v>3.74</v>
      </c>
      <c r="N849" s="2">
        <v>3.74</v>
      </c>
      <c r="O849" s="2">
        <v>30.8</v>
      </c>
      <c r="P849" s="2" t="s">
        <v>519</v>
      </c>
      <c r="Q849" s="2">
        <v>30.8</v>
      </c>
      <c r="R849" s="25">
        <v>0</v>
      </c>
      <c r="U849">
        <v>0</v>
      </c>
      <c r="X849">
        <v>0</v>
      </c>
      <c r="AA849" s="2"/>
      <c r="AB849">
        <v>22</v>
      </c>
      <c r="AC849" s="55">
        <f t="shared" si="225"/>
        <v>430.81808000000007</v>
      </c>
      <c r="AD849" s="57">
        <v>0</v>
      </c>
      <c r="AE849" s="55">
        <v>0</v>
      </c>
      <c r="AF849" s="55">
        <v>0</v>
      </c>
      <c r="AG849" s="52">
        <f t="shared" si="224"/>
        <v>5.1065637728110194E-2</v>
      </c>
      <c r="AH849" s="52"/>
      <c r="AI849" s="52"/>
      <c r="AJ849" s="52"/>
      <c r="AK849" s="28">
        <v>1.545454545454545</v>
      </c>
      <c r="AL849" s="28">
        <v>1.363636363636364</v>
      </c>
      <c r="AM849" s="28">
        <v>0.13636363636363641</v>
      </c>
      <c r="AN849" s="28">
        <v>0.1818181818181818</v>
      </c>
      <c r="AO849" s="28">
        <v>0.47887323943661969</v>
      </c>
      <c r="AP849" s="28">
        <v>0.42253521126760563</v>
      </c>
      <c r="AQ849" s="28">
        <v>4.2253521126760563E-2</v>
      </c>
      <c r="AR849" s="28">
        <v>5.6338028169014093E-2</v>
      </c>
      <c r="AS849" s="25">
        <v>1.1399999999999999</v>
      </c>
      <c r="AT849" s="25">
        <v>3.44</v>
      </c>
      <c r="AU849" s="25">
        <v>2.2999999999999998</v>
      </c>
      <c r="AV849" s="25">
        <v>2.4804545454545459</v>
      </c>
      <c r="AW849">
        <v>2.480454545454545</v>
      </c>
      <c r="AX849">
        <v>6.6484842021595449</v>
      </c>
      <c r="AY849" s="75"/>
      <c r="AZ849" s="75"/>
      <c r="BA849" s="75"/>
      <c r="BB849">
        <v>2.5532818864055101E-2</v>
      </c>
      <c r="BF849">
        <v>5.1065637728110187E-2</v>
      </c>
      <c r="BG849">
        <v>2.5532818864055101E-2</v>
      </c>
      <c r="BH849">
        <v>0</v>
      </c>
      <c r="BI849" s="79" t="s">
        <v>1264</v>
      </c>
      <c r="BJ849" s="79">
        <v>1373</v>
      </c>
      <c r="BK849" s="79">
        <v>12</v>
      </c>
      <c r="BM849" s="79" t="s">
        <v>1268</v>
      </c>
      <c r="BN849" s="79" t="s">
        <v>863</v>
      </c>
      <c r="BO849" s="79">
        <v>1</v>
      </c>
      <c r="BP849" s="79">
        <v>4.66</v>
      </c>
      <c r="BQ849" s="79">
        <v>0.5</v>
      </c>
      <c r="BR849" s="79">
        <v>1</v>
      </c>
      <c r="BS849" s="95" t="s">
        <v>464</v>
      </c>
      <c r="BT849" s="95" t="s">
        <v>464</v>
      </c>
      <c r="BU849" s="95" t="s">
        <v>1266</v>
      </c>
      <c r="BV849" s="95">
        <v>125</v>
      </c>
      <c r="BW849" s="95">
        <v>220</v>
      </c>
      <c r="BX849" s="95" t="s">
        <v>1287</v>
      </c>
      <c r="BY849" s="95">
        <f t="shared" si="222"/>
        <v>288</v>
      </c>
      <c r="BZ849" s="81">
        <v>81560</v>
      </c>
      <c r="CA849" s="2"/>
    </row>
    <row r="850" spans="1:79" x14ac:dyDescent="0.3">
      <c r="A850" s="1" t="s">
        <v>394</v>
      </c>
      <c r="B850" s="18" t="s">
        <v>1056</v>
      </c>
      <c r="C850" s="13"/>
      <c r="D850" s="2">
        <v>3.29</v>
      </c>
      <c r="E850" s="2" t="s">
        <v>393</v>
      </c>
      <c r="F850" s="9">
        <v>-1</v>
      </c>
      <c r="G850">
        <v>-1</v>
      </c>
      <c r="H850" t="s">
        <v>1243</v>
      </c>
      <c r="I850" s="2">
        <v>1</v>
      </c>
      <c r="J850" s="25">
        <v>0</v>
      </c>
      <c r="K850">
        <v>0</v>
      </c>
      <c r="L850">
        <v>0</v>
      </c>
      <c r="M850" s="2">
        <v>3.85</v>
      </c>
      <c r="N850" s="2">
        <v>3.85</v>
      </c>
      <c r="O850" s="2">
        <v>21.37</v>
      </c>
      <c r="P850" s="2" t="s">
        <v>1131</v>
      </c>
      <c r="Q850" s="2"/>
      <c r="R850" s="25">
        <v>0</v>
      </c>
      <c r="U850">
        <v>0</v>
      </c>
      <c r="X850">
        <v>0</v>
      </c>
      <c r="AA850" s="2"/>
      <c r="AB850">
        <v>26</v>
      </c>
      <c r="AC850" s="55">
        <f t="shared" si="223"/>
        <v>316.75682500000005</v>
      </c>
      <c r="AD850" s="57">
        <v>0</v>
      </c>
      <c r="AE850" s="55">
        <v>0</v>
      </c>
      <c r="AF850" s="55">
        <v>0</v>
      </c>
      <c r="AG850" s="52">
        <f t="shared" si="220"/>
        <v>8.2081893578772921E-2</v>
      </c>
      <c r="AH850" s="52"/>
      <c r="AI850" s="52"/>
      <c r="AJ850" s="52"/>
      <c r="AK850" s="28">
        <v>1.791666666666667</v>
      </c>
      <c r="AL850" s="28">
        <v>2.416666666666667</v>
      </c>
      <c r="AM850" s="28">
        <v>1.166666666666667</v>
      </c>
      <c r="AN850" s="28">
        <v>1.166666666666667</v>
      </c>
      <c r="AO850" s="28">
        <v>0.27388535031847128</v>
      </c>
      <c r="AP850" s="28">
        <v>0.36942675159235672</v>
      </c>
      <c r="AQ850" s="28">
        <v>0.178343949044586</v>
      </c>
      <c r="AR850" s="28">
        <v>0.178343949044586</v>
      </c>
      <c r="AS850" s="25">
        <v>0.82</v>
      </c>
      <c r="AT850" s="25">
        <v>3.44</v>
      </c>
      <c r="AU850" s="25">
        <v>2.62</v>
      </c>
      <c r="AV850" s="25">
        <v>2.689166666666666</v>
      </c>
      <c r="AW850">
        <v>2.6891666666666669</v>
      </c>
      <c r="AX850">
        <v>6.2990365295585002</v>
      </c>
      <c r="AY850" s="75"/>
      <c r="AZ850" s="75"/>
      <c r="BA850" s="75">
        <v>0</v>
      </c>
      <c r="BB850">
        <v>4.1040946789386461E-2</v>
      </c>
      <c r="BF850">
        <v>8.2081893578772921E-2</v>
      </c>
      <c r="BG850">
        <v>4.1040946789386461E-2</v>
      </c>
      <c r="BH850">
        <v>0</v>
      </c>
      <c r="BS850" s="79" t="s">
        <v>464</v>
      </c>
      <c r="BT850" s="79" t="s">
        <v>464</v>
      </c>
      <c r="CA850" t="e">
        <f t="shared" si="221"/>
        <v>#NUM!</v>
      </c>
    </row>
    <row r="851" spans="1:79" x14ac:dyDescent="0.3">
      <c r="A851" s="5" t="s">
        <v>395</v>
      </c>
      <c r="B851" s="43" t="s">
        <v>1057</v>
      </c>
      <c r="C851" s="39"/>
      <c r="D851" s="5">
        <v>3.17</v>
      </c>
      <c r="E851" s="5" t="s">
        <v>393</v>
      </c>
      <c r="F851" s="40">
        <v>-2</v>
      </c>
      <c r="G851" s="5">
        <v>-1</v>
      </c>
      <c r="H851" s="5"/>
      <c r="I851" s="5">
        <v>1</v>
      </c>
      <c r="J851" s="41">
        <v>0</v>
      </c>
      <c r="K851">
        <v>0</v>
      </c>
      <c r="L851">
        <v>0</v>
      </c>
      <c r="M851" s="2">
        <v>3.85</v>
      </c>
      <c r="N851" s="2">
        <v>3.85</v>
      </c>
      <c r="O851" s="5">
        <v>21.88</v>
      </c>
      <c r="P851" s="5"/>
      <c r="Q851" s="5"/>
      <c r="R851" s="41">
        <v>0</v>
      </c>
      <c r="S851" s="5"/>
      <c r="T851" s="5"/>
      <c r="U851">
        <v>0</v>
      </c>
      <c r="X851">
        <v>0</v>
      </c>
      <c r="AA851" s="5"/>
      <c r="AB851" s="5">
        <v>26</v>
      </c>
      <c r="AC851" s="55">
        <f t="shared" si="223"/>
        <v>324.31630000000001</v>
      </c>
      <c r="AD851" s="57">
        <v>0</v>
      </c>
      <c r="AE851" s="55">
        <v>0</v>
      </c>
      <c r="AF851" s="55">
        <v>0</v>
      </c>
      <c r="AG851" s="52">
        <f t="shared" si="220"/>
        <v>8.0168650172686359E-2</v>
      </c>
      <c r="AH851" s="52"/>
      <c r="AI851" s="52"/>
      <c r="AJ851" s="52"/>
      <c r="AK851" s="5">
        <v>1.7272727272727271</v>
      </c>
      <c r="AL851" s="5">
        <v>2.1818181818181821</v>
      </c>
      <c r="AM851" s="5">
        <v>1.0181818181818181</v>
      </c>
      <c r="AN851" s="5">
        <v>1.0181818181818181</v>
      </c>
      <c r="AO851" s="5">
        <v>0.29051987767584098</v>
      </c>
      <c r="AP851" s="5">
        <v>0.36697247706422009</v>
      </c>
      <c r="AQ851" s="5">
        <v>0.17125382262996941</v>
      </c>
      <c r="AR851" s="5">
        <v>0.17125382262996941</v>
      </c>
      <c r="AS851" s="41">
        <v>0.82</v>
      </c>
      <c r="AT851" s="41">
        <v>3.44</v>
      </c>
      <c r="AU851" s="41">
        <v>2.62</v>
      </c>
      <c r="AV851" s="41">
        <v>2.6647272727272728</v>
      </c>
      <c r="AW851" s="5">
        <v>2.6647272727272728</v>
      </c>
      <c r="AX851" s="5">
        <v>6.4638943890893454</v>
      </c>
      <c r="AY851" s="75"/>
      <c r="AZ851" s="75"/>
      <c r="BA851" s="75"/>
      <c r="BB851">
        <v>4.008432508634318E-2</v>
      </c>
      <c r="BF851">
        <v>8.0168650172686359E-2</v>
      </c>
      <c r="BG851">
        <v>4.008432508634318E-2</v>
      </c>
      <c r="BH851">
        <v>0</v>
      </c>
      <c r="BS851" s="79" t="s">
        <v>464</v>
      </c>
      <c r="BT851" s="79" t="s">
        <v>464</v>
      </c>
      <c r="CA851" t="e">
        <f t="shared" si="221"/>
        <v>#NUM!</v>
      </c>
    </row>
    <row r="852" spans="1:79" x14ac:dyDescent="0.3">
      <c r="A852" s="5" t="s">
        <v>396</v>
      </c>
      <c r="B852" s="43" t="s">
        <v>1058</v>
      </c>
      <c r="C852" s="39"/>
      <c r="D852" s="5">
        <v>3.19</v>
      </c>
      <c r="E852" s="5" t="s">
        <v>393</v>
      </c>
      <c r="F852" s="40">
        <v>-2</v>
      </c>
      <c r="G852" s="5">
        <v>-1</v>
      </c>
      <c r="H852" s="5"/>
      <c r="I852" s="5">
        <v>1</v>
      </c>
      <c r="J852" s="41">
        <v>0</v>
      </c>
      <c r="K852">
        <v>0</v>
      </c>
      <c r="L852">
        <v>0</v>
      </c>
      <c r="M852" s="2">
        <v>3.85</v>
      </c>
      <c r="N852" s="2">
        <v>3.85</v>
      </c>
      <c r="O852" s="5">
        <v>23.3</v>
      </c>
      <c r="P852" s="5"/>
      <c r="Q852" s="5"/>
      <c r="R852" s="41">
        <v>0</v>
      </c>
      <c r="S852" s="5"/>
      <c r="T852" s="5"/>
      <c r="U852">
        <v>0</v>
      </c>
      <c r="X852">
        <v>0</v>
      </c>
      <c r="AA852" s="5"/>
      <c r="AB852" s="5">
        <v>26</v>
      </c>
      <c r="AC852" s="55">
        <f t="shared" si="223"/>
        <v>345.36425000000003</v>
      </c>
      <c r="AD852" s="57">
        <v>0</v>
      </c>
      <c r="AE852" s="55">
        <v>0</v>
      </c>
      <c r="AF852" s="55">
        <v>0</v>
      </c>
      <c r="AG852" s="52">
        <f t="shared" si="220"/>
        <v>7.5282835441132068E-2</v>
      </c>
      <c r="AH852" s="52"/>
      <c r="AI852" s="52"/>
      <c r="AJ852" s="52"/>
      <c r="AK852" s="5">
        <v>1.693548387096774</v>
      </c>
      <c r="AL852" s="5">
        <v>2.0483870967741939</v>
      </c>
      <c r="AM852" s="5">
        <v>1.064516129032258</v>
      </c>
      <c r="AN852" s="5">
        <v>1.129032258064516</v>
      </c>
      <c r="AO852" s="5">
        <v>0.28532608695652167</v>
      </c>
      <c r="AP852" s="5">
        <v>0.34510869565217389</v>
      </c>
      <c r="AQ852" s="5">
        <v>0.17934782608695651</v>
      </c>
      <c r="AR852" s="5">
        <v>0.19021739130434781</v>
      </c>
      <c r="AS852" s="41">
        <v>0.82</v>
      </c>
      <c r="AT852" s="41">
        <v>3.44</v>
      </c>
      <c r="AU852" s="41">
        <v>2.62</v>
      </c>
      <c r="AV852" s="41">
        <v>2.620645161290323</v>
      </c>
      <c r="AW852" s="5">
        <v>2.620645161290323</v>
      </c>
      <c r="AX852" s="5">
        <v>6.4654289883277096</v>
      </c>
      <c r="AY852" s="75"/>
      <c r="AZ852" s="75"/>
      <c r="BA852" s="75"/>
      <c r="BB852">
        <v>3.7641417720566027E-2</v>
      </c>
      <c r="BF852">
        <v>7.5282835441132068E-2</v>
      </c>
      <c r="BG852">
        <v>3.7641417720566027E-2</v>
      </c>
      <c r="BH852">
        <v>0</v>
      </c>
      <c r="BS852" s="79" t="s">
        <v>464</v>
      </c>
      <c r="BT852" s="79" t="s">
        <v>464</v>
      </c>
      <c r="CA852" t="e">
        <f t="shared" si="221"/>
        <v>#NUM!</v>
      </c>
    </row>
    <row r="853" spans="1:79" x14ac:dyDescent="0.3">
      <c r="A853" s="5" t="s">
        <v>397</v>
      </c>
      <c r="B853" s="43" t="s">
        <v>1059</v>
      </c>
      <c r="C853" s="39"/>
      <c r="D853" s="5">
        <v>3.19</v>
      </c>
      <c r="E853" s="5" t="s">
        <v>393</v>
      </c>
      <c r="F853" s="40">
        <v>-2</v>
      </c>
      <c r="G853" s="5">
        <v>-1</v>
      </c>
      <c r="H853" s="5"/>
      <c r="I853" s="5">
        <v>1</v>
      </c>
      <c r="J853" s="41">
        <v>0</v>
      </c>
      <c r="K853">
        <v>0</v>
      </c>
      <c r="L853">
        <v>0</v>
      </c>
      <c r="M853" s="2">
        <v>3.85</v>
      </c>
      <c r="N853" s="2">
        <v>3.85</v>
      </c>
      <c r="O853" s="5">
        <v>25.26</v>
      </c>
      <c r="P853" s="5"/>
      <c r="Q853" s="5"/>
      <c r="R853" s="41">
        <v>0</v>
      </c>
      <c r="S853" s="41"/>
      <c r="T853" s="41"/>
      <c r="U853">
        <v>0</v>
      </c>
      <c r="X853">
        <v>0</v>
      </c>
      <c r="AA853" s="5"/>
      <c r="AB853" s="5">
        <v>26</v>
      </c>
      <c r="AC853" s="55">
        <f t="shared" si="223"/>
        <v>374.41635000000008</v>
      </c>
      <c r="AD853" s="57">
        <v>0</v>
      </c>
      <c r="AE853" s="55">
        <v>0</v>
      </c>
      <c r="AF853" s="55">
        <v>0</v>
      </c>
      <c r="AG853" s="52">
        <f t="shared" si="220"/>
        <v>6.9441411946887452E-2</v>
      </c>
      <c r="AH853" s="51"/>
      <c r="AI853" s="52"/>
      <c r="AJ853" s="52"/>
      <c r="AK853" s="5">
        <v>1.661764705882353</v>
      </c>
      <c r="AL853" s="5">
        <v>1.9264705882352939</v>
      </c>
      <c r="AM853" s="5">
        <v>0.97058823529411764</v>
      </c>
      <c r="AN853" s="5">
        <v>1.029411764705882</v>
      </c>
      <c r="AO853" s="5">
        <v>0.29736842105263162</v>
      </c>
      <c r="AP853" s="5">
        <v>0.34473684210526317</v>
      </c>
      <c r="AQ853" s="5">
        <v>0.1736842105263158</v>
      </c>
      <c r="AR853" s="5">
        <v>0.18421052631578949</v>
      </c>
      <c r="AS853" s="41">
        <v>0.82</v>
      </c>
      <c r="AT853" s="41">
        <v>3.44</v>
      </c>
      <c r="AU853" s="41">
        <v>2.62</v>
      </c>
      <c r="AV853" s="41">
        <v>2.5938235294117651</v>
      </c>
      <c r="AW853" s="5">
        <v>2.5938235294117651</v>
      </c>
      <c r="AX853" s="5">
        <v>6.5012509424665001</v>
      </c>
      <c r="AY853" s="75"/>
      <c r="AZ853" s="75"/>
      <c r="BA853" s="75"/>
      <c r="BB853">
        <v>3.4720705973443733E-2</v>
      </c>
      <c r="BF853">
        <v>6.9441411946887452E-2</v>
      </c>
      <c r="BG853">
        <v>3.4720705973443733E-2</v>
      </c>
      <c r="BH853">
        <v>0</v>
      </c>
      <c r="BS853" s="79" t="s">
        <v>464</v>
      </c>
      <c r="BT853" s="79" t="s">
        <v>464</v>
      </c>
      <c r="CA853" t="e">
        <f t="shared" si="221"/>
        <v>#NUM!</v>
      </c>
    </row>
    <row r="854" spans="1:79" x14ac:dyDescent="0.3">
      <c r="A854" s="5" t="s">
        <v>398</v>
      </c>
      <c r="B854" s="43" t="s">
        <v>1060</v>
      </c>
      <c r="C854" s="39"/>
      <c r="D854" s="5">
        <v>3.17</v>
      </c>
      <c r="E854" s="5" t="s">
        <v>393</v>
      </c>
      <c r="F854" s="40">
        <v>-2</v>
      </c>
      <c r="G854" s="5">
        <v>-1</v>
      </c>
      <c r="H854" s="5"/>
      <c r="I854" s="5">
        <v>1</v>
      </c>
      <c r="J854" s="41">
        <v>0</v>
      </c>
      <c r="K854">
        <v>0</v>
      </c>
      <c r="L854">
        <v>0</v>
      </c>
      <c r="M854" s="2">
        <v>3.85</v>
      </c>
      <c r="N854" s="2">
        <v>3.85</v>
      </c>
      <c r="O854" s="5">
        <v>27.23</v>
      </c>
      <c r="P854" s="5"/>
      <c r="Q854" s="5"/>
      <c r="R854" s="41">
        <v>0</v>
      </c>
      <c r="S854" s="41"/>
      <c r="T854" s="41"/>
      <c r="U854">
        <v>0</v>
      </c>
      <c r="X854">
        <v>0</v>
      </c>
      <c r="AA854" s="5"/>
      <c r="AB854" s="5">
        <v>26</v>
      </c>
      <c r="AC854" s="55">
        <f t="shared" si="223"/>
        <v>403.61667500000004</v>
      </c>
      <c r="AD854" s="57">
        <v>0</v>
      </c>
      <c r="AE854" s="55">
        <v>0</v>
      </c>
      <c r="AF854" s="55">
        <v>0</v>
      </c>
      <c r="AG854" s="52">
        <f t="shared" si="220"/>
        <v>6.4417556583855201E-2</v>
      </c>
      <c r="AH854" s="51"/>
      <c r="AI854" s="52"/>
      <c r="AJ854" s="52"/>
      <c r="AK854" s="5">
        <v>1.6351351351351351</v>
      </c>
      <c r="AL854" s="5">
        <v>1.8243243243243239</v>
      </c>
      <c r="AM854" s="5">
        <v>0.89189189189189189</v>
      </c>
      <c r="AN854" s="5">
        <v>0.94594594594594594</v>
      </c>
      <c r="AO854" s="5">
        <v>0.30867346938775508</v>
      </c>
      <c r="AP854" s="5">
        <v>0.34438775510204078</v>
      </c>
      <c r="AQ854" s="5">
        <v>0.1683673469387755</v>
      </c>
      <c r="AR854" s="5">
        <v>0.1785714285714286</v>
      </c>
      <c r="AS854" s="41">
        <v>0.82</v>
      </c>
      <c r="AT854" s="41">
        <v>3.44</v>
      </c>
      <c r="AU854" s="41">
        <v>2.62</v>
      </c>
      <c r="AV854" s="41">
        <v>2.5713513513513511</v>
      </c>
      <c r="AW854" s="5">
        <v>2.571351351351352</v>
      </c>
      <c r="AX854" s="5">
        <v>6.5312639310692706</v>
      </c>
      <c r="AY854" s="75"/>
      <c r="AZ854" s="75"/>
      <c r="BA854" s="75"/>
      <c r="BB854">
        <v>3.2208778291927601E-2</v>
      </c>
      <c r="BF854">
        <v>6.4417556583855201E-2</v>
      </c>
      <c r="BG854">
        <v>3.2208778291927601E-2</v>
      </c>
      <c r="BH854">
        <v>0</v>
      </c>
      <c r="BS854" s="79" t="s">
        <v>464</v>
      </c>
      <c r="BT854" s="79" t="s">
        <v>464</v>
      </c>
      <c r="CA854" t="e">
        <f t="shared" si="221"/>
        <v>#NUM!</v>
      </c>
    </row>
    <row r="855" spans="1:79" x14ac:dyDescent="0.3">
      <c r="A855" s="5" t="s">
        <v>399</v>
      </c>
      <c r="B855" s="43" t="s">
        <v>1061</v>
      </c>
      <c r="C855" s="39"/>
      <c r="D855" s="5">
        <v>3.15</v>
      </c>
      <c r="E855" s="5" t="s">
        <v>393</v>
      </c>
      <c r="F855" s="40">
        <v>-2</v>
      </c>
      <c r="G855" s="5">
        <v>-1</v>
      </c>
      <c r="H855" s="5"/>
      <c r="I855" s="5">
        <v>1</v>
      </c>
      <c r="J855" s="41">
        <v>0</v>
      </c>
      <c r="K855">
        <v>0</v>
      </c>
      <c r="L855">
        <v>0</v>
      </c>
      <c r="M855" s="2">
        <v>3.85</v>
      </c>
      <c r="N855" s="2">
        <v>3.85</v>
      </c>
      <c r="O855" s="5">
        <v>33.19</v>
      </c>
      <c r="P855" s="5"/>
      <c r="Q855" s="5"/>
      <c r="R855" s="41">
        <v>0</v>
      </c>
      <c r="S855" s="41"/>
      <c r="T855" s="41"/>
      <c r="U855">
        <v>0</v>
      </c>
      <c r="X855">
        <v>0</v>
      </c>
      <c r="AA855" s="5"/>
      <c r="AB855" s="5">
        <v>26</v>
      </c>
      <c r="AC855" s="55">
        <f t="shared" si="223"/>
        <v>491.958775</v>
      </c>
      <c r="AD855" s="57">
        <v>0</v>
      </c>
      <c r="AE855" s="55">
        <v>0</v>
      </c>
      <c r="AF855" s="55">
        <v>0</v>
      </c>
      <c r="AG855" s="52">
        <f t="shared" si="220"/>
        <v>5.2849956787537733E-2</v>
      </c>
      <c r="AH855" s="51"/>
      <c r="AI855" s="52"/>
      <c r="AJ855" s="52"/>
      <c r="AK855" s="5">
        <v>1.593023255813953</v>
      </c>
      <c r="AL855" s="5">
        <v>1.6627906976744189</v>
      </c>
      <c r="AM855" s="5">
        <v>0.76744186046511631</v>
      </c>
      <c r="AN855" s="5">
        <v>0.81395348837209303</v>
      </c>
      <c r="AO855" s="5">
        <v>0.32932692307692307</v>
      </c>
      <c r="AP855" s="5">
        <v>0.34375000000000011</v>
      </c>
      <c r="AQ855" s="5">
        <v>0.1586538461538462</v>
      </c>
      <c r="AR855" s="5">
        <v>0.16826923076923081</v>
      </c>
      <c r="AS855" s="41">
        <v>0.82</v>
      </c>
      <c r="AT855" s="41">
        <v>3.44</v>
      </c>
      <c r="AU855" s="41">
        <v>2.62</v>
      </c>
      <c r="AV855" s="41">
        <v>2.5358139534883719</v>
      </c>
      <c r="AW855" s="5">
        <v>2.5358139534883719</v>
      </c>
      <c r="AX855" s="5">
        <v>6.5787263316503957</v>
      </c>
      <c r="AY855" s="75"/>
      <c r="AZ855" s="75"/>
      <c r="BA855" s="75"/>
      <c r="BB855">
        <v>2.642497839376887E-2</v>
      </c>
      <c r="BF855">
        <v>5.2849956787537733E-2</v>
      </c>
      <c r="BG855">
        <v>2.642497839376887E-2</v>
      </c>
      <c r="BH855">
        <v>0</v>
      </c>
      <c r="BS855" s="79" t="s">
        <v>464</v>
      </c>
      <c r="BT855" s="79" t="s">
        <v>464</v>
      </c>
      <c r="CA855" t="e">
        <f t="shared" si="221"/>
        <v>#NUM!</v>
      </c>
    </row>
    <row r="856" spans="1:79" x14ac:dyDescent="0.3">
      <c r="A856" s="5" t="s">
        <v>400</v>
      </c>
      <c r="B856" s="43" t="s">
        <v>1062</v>
      </c>
      <c r="C856" s="39"/>
      <c r="D856" s="5">
        <v>3.15</v>
      </c>
      <c r="E856" s="5" t="s">
        <v>393</v>
      </c>
      <c r="F856" s="49">
        <v>-2</v>
      </c>
      <c r="G856" s="5">
        <v>-1</v>
      </c>
      <c r="H856" s="5"/>
      <c r="I856" s="5">
        <v>1</v>
      </c>
      <c r="J856" s="41">
        <v>0</v>
      </c>
      <c r="K856">
        <v>0</v>
      </c>
      <c r="L856">
        <v>0</v>
      </c>
      <c r="M856" s="2">
        <v>3.85</v>
      </c>
      <c r="N856" s="2">
        <v>3.85</v>
      </c>
      <c r="O856" s="5">
        <v>38.67</v>
      </c>
      <c r="P856" s="5"/>
      <c r="Q856" s="5"/>
      <c r="R856" s="41">
        <v>0</v>
      </c>
      <c r="S856" s="41"/>
      <c r="T856" s="41"/>
      <c r="U856">
        <v>0</v>
      </c>
      <c r="X856">
        <v>0</v>
      </c>
      <c r="AA856" s="5"/>
      <c r="AB856" s="5">
        <v>26</v>
      </c>
      <c r="AC856" s="55">
        <f t="shared" si="223"/>
        <v>573.18607500000007</v>
      </c>
      <c r="AD856" s="57">
        <v>0</v>
      </c>
      <c r="AE856" s="55">
        <v>0</v>
      </c>
      <c r="AF856" s="55">
        <v>0</v>
      </c>
      <c r="AG856" s="52">
        <f t="shared" si="220"/>
        <v>4.5360487866004065E-2</v>
      </c>
      <c r="AH856" s="51"/>
      <c r="AI856" s="52"/>
      <c r="AJ856" s="52"/>
      <c r="AK856" s="5">
        <v>1.561224489795918</v>
      </c>
      <c r="AL856" s="5">
        <v>1.5408163265306121</v>
      </c>
      <c r="AM856" s="5">
        <v>0.67346938775510201</v>
      </c>
      <c r="AN856" s="5">
        <v>0.7142857142857143</v>
      </c>
      <c r="AO856" s="5">
        <v>0.34772727272727277</v>
      </c>
      <c r="AP856" s="5">
        <v>0.3431818181818182</v>
      </c>
      <c r="AQ856" s="5">
        <v>0.15</v>
      </c>
      <c r="AR856" s="5">
        <v>0.15909090909090909</v>
      </c>
      <c r="AS856" s="41">
        <v>0.82</v>
      </c>
      <c r="AT856" s="41">
        <v>3.44</v>
      </c>
      <c r="AU856" s="41">
        <v>2.62</v>
      </c>
      <c r="AV856" s="41">
        <v>2.5089795918367348</v>
      </c>
      <c r="AW856" s="5">
        <v>2.5089795918367348</v>
      </c>
      <c r="AX856" s="5">
        <v>6.6145652871912439</v>
      </c>
      <c r="AY856" s="75"/>
      <c r="AZ856" s="75"/>
      <c r="BA856" s="75"/>
      <c r="BB856">
        <v>2.2680243933002029E-2</v>
      </c>
      <c r="BF856">
        <v>4.5360487866004072E-2</v>
      </c>
      <c r="BG856">
        <v>2.2680243933002029E-2</v>
      </c>
      <c r="BH856">
        <v>0</v>
      </c>
      <c r="BS856" s="79" t="s">
        <v>464</v>
      </c>
      <c r="BT856" s="79" t="s">
        <v>464</v>
      </c>
      <c r="CA856" t="e">
        <f t="shared" si="221"/>
        <v>#NUM!</v>
      </c>
    </row>
    <row r="857" spans="1:79" x14ac:dyDescent="0.3">
      <c r="A857" s="2" t="s">
        <v>381</v>
      </c>
      <c r="B857" s="13" t="s">
        <v>838</v>
      </c>
      <c r="C857" s="13"/>
      <c r="D857" s="2">
        <v>3.46</v>
      </c>
      <c r="E857" s="2" t="s">
        <v>401</v>
      </c>
      <c r="F857" s="9">
        <v>-1</v>
      </c>
      <c r="G857">
        <v>-1</v>
      </c>
      <c r="I857" s="2">
        <v>2</v>
      </c>
      <c r="J857" s="25">
        <v>0</v>
      </c>
      <c r="K857">
        <v>0</v>
      </c>
      <c r="L857">
        <v>0</v>
      </c>
      <c r="M857" s="2">
        <v>3.7829999999999999</v>
      </c>
      <c r="N857" s="2">
        <v>3.7829999999999999</v>
      </c>
      <c r="O857" s="2">
        <v>27.18</v>
      </c>
      <c r="P857" s="2" t="s">
        <v>1131</v>
      </c>
      <c r="Q857" s="2"/>
      <c r="R857" s="25">
        <v>0</v>
      </c>
      <c r="S857" s="25"/>
      <c r="T857" s="25"/>
      <c r="U857">
        <v>0</v>
      </c>
      <c r="X857">
        <v>0</v>
      </c>
      <c r="AA857" s="2"/>
      <c r="AB857">
        <v>20</v>
      </c>
      <c r="AC857" s="55">
        <f t="shared" si="223"/>
        <v>388.97539902</v>
      </c>
      <c r="AD857" s="57">
        <v>0</v>
      </c>
      <c r="AE857" s="55">
        <v>0</v>
      </c>
      <c r="AF857" s="55">
        <v>0</v>
      </c>
      <c r="AG857" s="52">
        <f t="shared" si="220"/>
        <v>0.10283426689908304</v>
      </c>
      <c r="AH857" s="51"/>
      <c r="AI857" s="52"/>
      <c r="AJ857" s="52"/>
      <c r="AK857" s="28">
        <v>1.882352941176471</v>
      </c>
      <c r="AL857" s="28">
        <v>2.3529411764705879</v>
      </c>
      <c r="AM857" s="28">
        <v>0.35294117647058831</v>
      </c>
      <c r="AN857" s="28">
        <v>0.47058823529411759</v>
      </c>
      <c r="AO857" s="28">
        <v>0.37209302325581389</v>
      </c>
      <c r="AP857" s="28">
        <v>0.46511627906976749</v>
      </c>
      <c r="AQ857" s="28">
        <v>6.9767441860465129E-2</v>
      </c>
      <c r="AR857" s="28">
        <v>9.3023255813953487E-2</v>
      </c>
      <c r="AS857" s="25">
        <v>1.1399999999999999</v>
      </c>
      <c r="AT857" s="25">
        <v>3.44</v>
      </c>
      <c r="AU857" s="25">
        <v>2.2999999999999998</v>
      </c>
      <c r="AV857" s="25">
        <v>2.6882352941176468</v>
      </c>
      <c r="AW857">
        <v>2.6882352941176468</v>
      </c>
      <c r="AX857">
        <v>6.2192249941001183</v>
      </c>
      <c r="AY857" s="75"/>
      <c r="AZ857" s="75"/>
      <c r="BA857" s="75"/>
      <c r="BB857">
        <v>5.1417133449541519E-2</v>
      </c>
      <c r="BF857">
        <v>0.102834266899083</v>
      </c>
      <c r="BG857">
        <v>5.1417133449541519E-2</v>
      </c>
      <c r="BH857">
        <v>0</v>
      </c>
      <c r="BI857" s="79" t="s">
        <v>1264</v>
      </c>
      <c r="BJ857" s="79">
        <v>1273</v>
      </c>
      <c r="BK857" s="79">
        <v>10</v>
      </c>
      <c r="BM857" s="79" t="s">
        <v>464</v>
      </c>
      <c r="BN857" s="79" t="s">
        <v>464</v>
      </c>
      <c r="BO857" s="79">
        <v>0</v>
      </c>
      <c r="BP857" s="79">
        <v>21</v>
      </c>
      <c r="BQ857" s="79">
        <v>0.5</v>
      </c>
      <c r="BR857" s="79">
        <v>1</v>
      </c>
      <c r="BS857" s="95" t="s">
        <v>464</v>
      </c>
      <c r="BT857" s="95" t="s">
        <v>464</v>
      </c>
      <c r="BU857" s="95" t="s">
        <v>1266</v>
      </c>
      <c r="BV857" s="95">
        <v>125</v>
      </c>
      <c r="BW857" s="95">
        <v>220</v>
      </c>
      <c r="BX857" s="95" t="s">
        <v>1287</v>
      </c>
      <c r="BY857" s="95">
        <f t="shared" ref="BY857:BY877" si="226">273+15</f>
        <v>288</v>
      </c>
      <c r="BZ857" s="81">
        <v>44</v>
      </c>
      <c r="CA857">
        <f t="shared" si="221"/>
        <v>3.784189633918261</v>
      </c>
    </row>
    <row r="858" spans="1:79" x14ac:dyDescent="0.3">
      <c r="A858" s="2" t="s">
        <v>385</v>
      </c>
      <c r="B858" s="18" t="s">
        <v>1063</v>
      </c>
      <c r="C858" s="13"/>
      <c r="D858" s="2">
        <v>3.58</v>
      </c>
      <c r="E858" s="2" t="s">
        <v>401</v>
      </c>
      <c r="F858" s="9">
        <v>-1</v>
      </c>
      <c r="G858">
        <v>-1</v>
      </c>
      <c r="I858" s="2">
        <v>1</v>
      </c>
      <c r="J858" s="25">
        <v>0</v>
      </c>
      <c r="K858">
        <v>0</v>
      </c>
      <c r="L858">
        <v>0</v>
      </c>
      <c r="M858" s="2">
        <v>3.802</v>
      </c>
      <c r="N858" s="2">
        <v>3.802</v>
      </c>
      <c r="O858" s="2">
        <v>24.7</v>
      </c>
      <c r="P858" s="2" t="s">
        <v>439</v>
      </c>
      <c r="Q858" s="2"/>
      <c r="R858" s="25">
        <v>0</v>
      </c>
      <c r="S858" s="25"/>
      <c r="T858" s="25"/>
      <c r="U858">
        <v>0</v>
      </c>
      <c r="X858">
        <v>0</v>
      </c>
      <c r="AA858" s="2"/>
      <c r="AB858">
        <v>20</v>
      </c>
      <c r="AC858" s="55">
        <f t="shared" si="223"/>
        <v>357.04353880000002</v>
      </c>
      <c r="AD858" s="57">
        <v>0</v>
      </c>
      <c r="AE858" s="55">
        <v>0</v>
      </c>
      <c r="AF858" s="55">
        <v>0</v>
      </c>
      <c r="AG858" s="52">
        <f t="shared" si="220"/>
        <v>5.6015577448113731E-2</v>
      </c>
      <c r="AH858" s="51"/>
      <c r="AI858" s="52"/>
      <c r="AJ858" s="52"/>
      <c r="AK858" s="28">
        <v>1.606060606060606</v>
      </c>
      <c r="AL858" s="28">
        <v>1.545454545454545</v>
      </c>
      <c r="AM858" s="28">
        <v>0.1818181818181818</v>
      </c>
      <c r="AN858" s="28">
        <v>0.2424242424242424</v>
      </c>
      <c r="AO858" s="28">
        <v>0.44915254237288132</v>
      </c>
      <c r="AP858" s="28">
        <v>0.43220338983050849</v>
      </c>
      <c r="AQ858" s="28">
        <v>5.0847457627118647E-2</v>
      </c>
      <c r="AR858" s="28">
        <v>6.7796610169491525E-2</v>
      </c>
      <c r="AS858" s="25">
        <v>1.1399999999999999</v>
      </c>
      <c r="AT858" s="25">
        <v>3.44</v>
      </c>
      <c r="AU858" s="25">
        <v>2.2999999999999998</v>
      </c>
      <c r="AV858" s="25">
        <v>2.51939393939394</v>
      </c>
      <c r="AW858">
        <v>2.51939393939394</v>
      </c>
      <c r="AX858">
        <v>6.5741021946079687</v>
      </c>
      <c r="AY858" s="75"/>
      <c r="AZ858" s="75"/>
      <c r="BA858" s="75"/>
      <c r="BB858">
        <v>2.8007788724056869E-2</v>
      </c>
      <c r="BF858">
        <v>5.6015577448113731E-2</v>
      </c>
      <c r="BG858">
        <v>2.8007788724056869E-2</v>
      </c>
      <c r="BH858">
        <v>0</v>
      </c>
      <c r="BI858" s="79" t="s">
        <v>1264</v>
      </c>
      <c r="BJ858" s="79">
        <v>1273</v>
      </c>
      <c r="BK858" s="79">
        <v>10</v>
      </c>
      <c r="BM858" s="79" t="s">
        <v>464</v>
      </c>
      <c r="BN858" s="79" t="s">
        <v>464</v>
      </c>
      <c r="BO858" s="79">
        <v>0</v>
      </c>
      <c r="BQ858" s="79">
        <v>0.5</v>
      </c>
      <c r="BR858" s="79">
        <v>1</v>
      </c>
      <c r="BS858" s="95" t="s">
        <v>464</v>
      </c>
      <c r="BT858" s="95" t="s">
        <v>464</v>
      </c>
      <c r="BU858" s="95" t="s">
        <v>1266</v>
      </c>
      <c r="BV858" s="95">
        <v>125</v>
      </c>
      <c r="BW858" s="95">
        <v>220</v>
      </c>
      <c r="BX858" s="95" t="s">
        <v>1287</v>
      </c>
      <c r="BY858" s="95">
        <f t="shared" si="226"/>
        <v>288</v>
      </c>
      <c r="BZ858" s="81">
        <v>4800</v>
      </c>
      <c r="CA858">
        <f t="shared" si="221"/>
        <v>8.4763711968959825</v>
      </c>
    </row>
    <row r="859" spans="1:79" x14ac:dyDescent="0.3">
      <c r="A859" s="2" t="s">
        <v>381</v>
      </c>
      <c r="B859" s="13" t="s">
        <v>838</v>
      </c>
      <c r="C859" s="13"/>
      <c r="D859" s="2">
        <v>3.46</v>
      </c>
      <c r="E859" s="2" t="s">
        <v>401</v>
      </c>
      <c r="F859" s="9">
        <v>-1</v>
      </c>
      <c r="G859">
        <v>-1</v>
      </c>
      <c r="I859" s="2">
        <v>2</v>
      </c>
      <c r="J859" s="25">
        <v>0</v>
      </c>
      <c r="K859">
        <v>0</v>
      </c>
      <c r="L859">
        <v>0</v>
      </c>
      <c r="M859" s="2">
        <v>3.7829999999999999</v>
      </c>
      <c r="N859" s="2">
        <v>3.7829999999999999</v>
      </c>
      <c r="O859" s="2">
        <v>27.18</v>
      </c>
      <c r="P859" s="2" t="s">
        <v>1131</v>
      </c>
      <c r="Q859" s="2"/>
      <c r="R859" s="25">
        <v>0</v>
      </c>
      <c r="S859" s="25"/>
      <c r="T859" s="25"/>
      <c r="U859">
        <v>0</v>
      </c>
      <c r="X859">
        <v>0</v>
      </c>
      <c r="AA859" s="2"/>
      <c r="AB859">
        <v>20</v>
      </c>
      <c r="AC859" s="55">
        <f t="shared" ref="AC859:AC860" si="227">M859*N859*O859</f>
        <v>388.97539902</v>
      </c>
      <c r="AD859" s="57">
        <v>0</v>
      </c>
      <c r="AE859" s="55">
        <v>0</v>
      </c>
      <c r="AF859" s="55">
        <v>0</v>
      </c>
      <c r="AG859" s="52">
        <f t="shared" ref="AG859:AG860" si="228">I859*AB859/AC859</f>
        <v>0.10283426689908304</v>
      </c>
      <c r="AH859" s="51"/>
      <c r="AI859" s="52"/>
      <c r="AJ859" s="52"/>
      <c r="AK859" s="28">
        <v>1.882352941176471</v>
      </c>
      <c r="AL859" s="28">
        <v>2.3529411764705879</v>
      </c>
      <c r="AM859" s="28">
        <v>0.35294117647058831</v>
      </c>
      <c r="AN859" s="28">
        <v>0.47058823529411759</v>
      </c>
      <c r="AO859" s="28">
        <v>0.37209302325581389</v>
      </c>
      <c r="AP859" s="28">
        <v>0.46511627906976749</v>
      </c>
      <c r="AQ859" s="28">
        <v>6.9767441860465129E-2</v>
      </c>
      <c r="AR859" s="28">
        <v>9.3023255813953487E-2</v>
      </c>
      <c r="AS859" s="25">
        <v>1.1399999999999999</v>
      </c>
      <c r="AT859" s="25">
        <v>3.44</v>
      </c>
      <c r="AU859" s="25">
        <v>2.2999999999999998</v>
      </c>
      <c r="AV859" s="25">
        <v>2.6882352941176468</v>
      </c>
      <c r="AW859">
        <v>2.6882352941176468</v>
      </c>
      <c r="AX859">
        <v>6.2192249941001183</v>
      </c>
      <c r="AY859" s="75"/>
      <c r="AZ859" s="75"/>
      <c r="BA859" s="75"/>
      <c r="BB859">
        <v>5.1417133449541519E-2</v>
      </c>
      <c r="BF859">
        <v>0.102834266899083</v>
      </c>
      <c r="BG859">
        <v>5.1417133449541519E-2</v>
      </c>
      <c r="BH859">
        <v>0</v>
      </c>
      <c r="BI859" s="79" t="s">
        <v>1264</v>
      </c>
      <c r="BJ859" s="79">
        <v>1273</v>
      </c>
      <c r="BK859" s="79">
        <v>10</v>
      </c>
      <c r="BM859" s="79" t="s">
        <v>1268</v>
      </c>
      <c r="BN859" s="79" t="s">
        <v>863</v>
      </c>
      <c r="BO859" s="79">
        <v>1</v>
      </c>
      <c r="BP859" s="79">
        <v>21</v>
      </c>
      <c r="BQ859" s="79">
        <v>0.5</v>
      </c>
      <c r="BR859" s="79">
        <v>1</v>
      </c>
      <c r="BS859" s="95" t="s">
        <v>464</v>
      </c>
      <c r="BT859" s="95" t="s">
        <v>464</v>
      </c>
      <c r="BU859" s="95" t="s">
        <v>1266</v>
      </c>
      <c r="BV859" s="95">
        <v>125</v>
      </c>
      <c r="BW859" s="95">
        <v>220</v>
      </c>
      <c r="BX859" s="95" t="s">
        <v>1287</v>
      </c>
      <c r="BY859" s="95">
        <f t="shared" si="226"/>
        <v>288</v>
      </c>
      <c r="BZ859" s="81">
        <v>4800</v>
      </c>
      <c r="CA859">
        <f t="shared" ref="CA859:CA860" si="229">LN(BZ859)</f>
        <v>8.4763711968959825</v>
      </c>
    </row>
    <row r="860" spans="1:79" x14ac:dyDescent="0.3">
      <c r="A860" s="2" t="s">
        <v>385</v>
      </c>
      <c r="B860" s="18" t="s">
        <v>1063</v>
      </c>
      <c r="C860" s="13"/>
      <c r="D860" s="2">
        <v>3.58</v>
      </c>
      <c r="E860" s="2" t="s">
        <v>401</v>
      </c>
      <c r="F860" s="9">
        <v>-1</v>
      </c>
      <c r="G860">
        <v>-1</v>
      </c>
      <c r="I860" s="2">
        <v>1</v>
      </c>
      <c r="J860" s="25">
        <v>0</v>
      </c>
      <c r="K860">
        <v>0</v>
      </c>
      <c r="L860">
        <v>0</v>
      </c>
      <c r="M860" s="2">
        <v>3.802</v>
      </c>
      <c r="N860" s="2">
        <v>3.802</v>
      </c>
      <c r="O860" s="2">
        <v>24.7</v>
      </c>
      <c r="P860" s="2" t="s">
        <v>439</v>
      </c>
      <c r="Q860" s="2"/>
      <c r="R860" s="25">
        <v>0</v>
      </c>
      <c r="S860" s="25"/>
      <c r="T860" s="25"/>
      <c r="U860">
        <v>0</v>
      </c>
      <c r="X860">
        <v>0</v>
      </c>
      <c r="AA860" s="2"/>
      <c r="AB860">
        <v>20</v>
      </c>
      <c r="AC860" s="55">
        <f t="shared" si="227"/>
        <v>357.04353880000002</v>
      </c>
      <c r="AD860" s="57">
        <v>0</v>
      </c>
      <c r="AE860" s="55">
        <v>0</v>
      </c>
      <c r="AF860" s="55">
        <v>0</v>
      </c>
      <c r="AG860" s="52">
        <f t="shared" si="228"/>
        <v>5.6015577448113731E-2</v>
      </c>
      <c r="AH860" s="51"/>
      <c r="AI860" s="52"/>
      <c r="AJ860" s="52"/>
      <c r="AK860" s="28">
        <v>1.606060606060606</v>
      </c>
      <c r="AL860" s="28">
        <v>1.545454545454545</v>
      </c>
      <c r="AM860" s="28">
        <v>0.1818181818181818</v>
      </c>
      <c r="AN860" s="28">
        <v>0.2424242424242424</v>
      </c>
      <c r="AO860" s="28">
        <v>0.44915254237288132</v>
      </c>
      <c r="AP860" s="28">
        <v>0.43220338983050849</v>
      </c>
      <c r="AQ860" s="28">
        <v>5.0847457627118647E-2</v>
      </c>
      <c r="AR860" s="28">
        <v>6.7796610169491525E-2</v>
      </c>
      <c r="AS860" s="25">
        <v>1.1399999999999999</v>
      </c>
      <c r="AT860" s="25">
        <v>3.44</v>
      </c>
      <c r="AU860" s="25">
        <v>2.2999999999999998</v>
      </c>
      <c r="AV860" s="25">
        <v>2.51939393939394</v>
      </c>
      <c r="AW860">
        <v>2.51939393939394</v>
      </c>
      <c r="AX860">
        <v>6.5741021946079687</v>
      </c>
      <c r="AY860" s="75"/>
      <c r="AZ860" s="75"/>
      <c r="BA860" s="75"/>
      <c r="BB860">
        <v>2.8007788724056869E-2</v>
      </c>
      <c r="BF860">
        <v>5.6015577448113731E-2</v>
      </c>
      <c r="BG860">
        <v>2.8007788724056869E-2</v>
      </c>
      <c r="BH860">
        <v>0</v>
      </c>
      <c r="BI860" s="79" t="s">
        <v>1264</v>
      </c>
      <c r="BJ860" s="79">
        <v>1273</v>
      </c>
      <c r="BK860" s="79">
        <v>10</v>
      </c>
      <c r="BM860" s="79" t="s">
        <v>1268</v>
      </c>
      <c r="BN860" s="79" t="s">
        <v>863</v>
      </c>
      <c r="BO860" s="79">
        <v>1</v>
      </c>
      <c r="BQ860" s="79">
        <v>0.5</v>
      </c>
      <c r="BR860" s="79">
        <v>1</v>
      </c>
      <c r="BS860" s="95" t="s">
        <v>464</v>
      </c>
      <c r="BT860" s="95" t="s">
        <v>464</v>
      </c>
      <c r="BU860" s="95" t="s">
        <v>1266</v>
      </c>
      <c r="BV860" s="95">
        <v>125</v>
      </c>
      <c r="BW860" s="95">
        <v>220</v>
      </c>
      <c r="BX860" s="95" t="s">
        <v>1287</v>
      </c>
      <c r="BY860" s="95">
        <f t="shared" si="226"/>
        <v>288</v>
      </c>
      <c r="BZ860" s="81">
        <v>68000</v>
      </c>
      <c r="CA860">
        <f t="shared" si="229"/>
        <v>11.127262984158243</v>
      </c>
    </row>
    <row r="861" spans="1:79" x14ac:dyDescent="0.3">
      <c r="A861" s="2" t="s">
        <v>385</v>
      </c>
      <c r="B861" s="18" t="s">
        <v>1063</v>
      </c>
      <c r="C861" s="13"/>
      <c r="D861" s="2">
        <v>3.58</v>
      </c>
      <c r="E861" s="2" t="s">
        <v>401</v>
      </c>
      <c r="F861" s="9">
        <v>-1</v>
      </c>
      <c r="G861">
        <v>-1</v>
      </c>
      <c r="I861" s="2">
        <v>1</v>
      </c>
      <c r="J861" s="25">
        <v>0</v>
      </c>
      <c r="K861">
        <v>0</v>
      </c>
      <c r="L861">
        <v>0</v>
      </c>
      <c r="M861" s="2">
        <v>3.802</v>
      </c>
      <c r="N861" s="2">
        <v>3.802</v>
      </c>
      <c r="O861" s="2">
        <v>24.7</v>
      </c>
      <c r="P861" s="2" t="s">
        <v>439</v>
      </c>
      <c r="Q861" s="2"/>
      <c r="R861" s="25">
        <v>0</v>
      </c>
      <c r="S861" s="25"/>
      <c r="T861" s="25"/>
      <c r="U861">
        <v>0</v>
      </c>
      <c r="X861">
        <v>0</v>
      </c>
      <c r="AA861" s="2"/>
      <c r="AB861">
        <v>20</v>
      </c>
      <c r="AC861" s="55">
        <f t="shared" ref="AC861" si="230">M861*N861*O861</f>
        <v>357.04353880000002</v>
      </c>
      <c r="AD861" s="57">
        <v>0</v>
      </c>
      <c r="AE861" s="55">
        <v>0</v>
      </c>
      <c r="AF861" s="55">
        <v>0</v>
      </c>
      <c r="AG861" s="52">
        <f t="shared" ref="AG861" si="231">I861*AB861/AC861</f>
        <v>5.6015577448113731E-2</v>
      </c>
      <c r="AH861" s="51"/>
      <c r="AI861" s="52"/>
      <c r="AJ861" s="52"/>
      <c r="AK861" s="28">
        <v>1.606060606060606</v>
      </c>
      <c r="AL861" s="28">
        <v>1.545454545454545</v>
      </c>
      <c r="AM861" s="28">
        <v>0.1818181818181818</v>
      </c>
      <c r="AN861" s="28">
        <v>0.2424242424242424</v>
      </c>
      <c r="AO861" s="28">
        <v>0.44915254237288132</v>
      </c>
      <c r="AP861" s="28">
        <v>0.43220338983050849</v>
      </c>
      <c r="AQ861" s="28">
        <v>5.0847457627118647E-2</v>
      </c>
      <c r="AR861" s="28">
        <v>6.7796610169491525E-2</v>
      </c>
      <c r="AS861" s="25">
        <v>1.1399999999999999</v>
      </c>
      <c r="AT861" s="25">
        <v>3.44</v>
      </c>
      <c r="AU861" s="25">
        <v>2.2999999999999998</v>
      </c>
      <c r="AV861" s="25">
        <v>2.51939393939394</v>
      </c>
      <c r="AW861">
        <v>2.51939393939394</v>
      </c>
      <c r="AX861">
        <v>6.5741021946079687</v>
      </c>
      <c r="AY861" s="75"/>
      <c r="AZ861" s="75"/>
      <c r="BA861" s="75"/>
      <c r="BB861">
        <v>2.8007788724056869E-2</v>
      </c>
      <c r="BF861">
        <v>5.6015577448113731E-2</v>
      </c>
      <c r="BG861">
        <v>2.8007788724056869E-2</v>
      </c>
      <c r="BH861">
        <v>0</v>
      </c>
      <c r="BI861" s="79" t="s">
        <v>1264</v>
      </c>
      <c r="BJ861" s="79">
        <v>1273</v>
      </c>
      <c r="BK861" s="79">
        <v>10</v>
      </c>
      <c r="BM861" s="79" t="s">
        <v>1268</v>
      </c>
      <c r="BN861" s="79" t="s">
        <v>863</v>
      </c>
      <c r="BO861" s="79">
        <v>1</v>
      </c>
      <c r="BQ861" s="79">
        <v>0.5</v>
      </c>
      <c r="BR861" s="79">
        <v>0.2</v>
      </c>
      <c r="BS861" s="95" t="s">
        <v>464</v>
      </c>
      <c r="BT861" s="95" t="s">
        <v>464</v>
      </c>
      <c r="BU861" s="95" t="s">
        <v>1266</v>
      </c>
      <c r="BV861" s="95">
        <v>125</v>
      </c>
      <c r="BW861" s="95">
        <v>220</v>
      </c>
      <c r="BX861" s="95" t="s">
        <v>1287</v>
      </c>
      <c r="BY861" s="95">
        <f t="shared" si="226"/>
        <v>288</v>
      </c>
      <c r="BZ861" s="81">
        <v>8000</v>
      </c>
      <c r="CA861">
        <f t="shared" ref="CA861" si="232">LN(BZ861)</f>
        <v>8.987196820661973</v>
      </c>
    </row>
    <row r="862" spans="1:79" x14ac:dyDescent="0.3">
      <c r="A862" s="2" t="s">
        <v>385</v>
      </c>
      <c r="B862" s="18" t="s">
        <v>1063</v>
      </c>
      <c r="C862" s="13"/>
      <c r="D862" s="2">
        <v>3.58</v>
      </c>
      <c r="E862" s="2" t="s">
        <v>401</v>
      </c>
      <c r="F862" s="9">
        <v>-1</v>
      </c>
      <c r="G862">
        <v>-1</v>
      </c>
      <c r="I862" s="2">
        <v>1</v>
      </c>
      <c r="J862" s="25">
        <v>0</v>
      </c>
      <c r="K862">
        <v>0</v>
      </c>
      <c r="L862">
        <v>0</v>
      </c>
      <c r="M862" s="2">
        <v>3.802</v>
      </c>
      <c r="N862" s="2">
        <v>3.802</v>
      </c>
      <c r="O862" s="2">
        <v>24.7</v>
      </c>
      <c r="P862" s="2" t="s">
        <v>439</v>
      </c>
      <c r="Q862" s="2"/>
      <c r="R862" s="25">
        <v>0</v>
      </c>
      <c r="S862" s="25"/>
      <c r="T862" s="25"/>
      <c r="U862">
        <v>0</v>
      </c>
      <c r="X862">
        <v>0</v>
      </c>
      <c r="AA862" s="2"/>
      <c r="AB862">
        <v>20</v>
      </c>
      <c r="AC862" s="55">
        <f t="shared" ref="AC862" si="233">M862*N862*O862</f>
        <v>357.04353880000002</v>
      </c>
      <c r="AD862" s="57">
        <v>0</v>
      </c>
      <c r="AE862" s="55">
        <v>0</v>
      </c>
      <c r="AF862" s="55">
        <v>0</v>
      </c>
      <c r="AG862" s="52">
        <f t="shared" ref="AG862" si="234">I862*AB862/AC862</f>
        <v>5.6015577448113731E-2</v>
      </c>
      <c r="AH862" s="51"/>
      <c r="AI862" s="52"/>
      <c r="AJ862" s="52"/>
      <c r="AK862" s="28">
        <v>1.606060606060606</v>
      </c>
      <c r="AL862" s="28">
        <v>1.545454545454545</v>
      </c>
      <c r="AM862" s="28">
        <v>0.1818181818181818</v>
      </c>
      <c r="AN862" s="28">
        <v>0.2424242424242424</v>
      </c>
      <c r="AO862" s="28">
        <v>0.44915254237288132</v>
      </c>
      <c r="AP862" s="28">
        <v>0.43220338983050849</v>
      </c>
      <c r="AQ862" s="28">
        <v>5.0847457627118647E-2</v>
      </c>
      <c r="AR862" s="28">
        <v>6.7796610169491525E-2</v>
      </c>
      <c r="AS862" s="25">
        <v>1.1399999999999999</v>
      </c>
      <c r="AT862" s="25">
        <v>3.44</v>
      </c>
      <c r="AU862" s="25">
        <v>2.2999999999999998</v>
      </c>
      <c r="AV862" s="25">
        <v>2.51939393939394</v>
      </c>
      <c r="AW862">
        <v>2.51939393939394</v>
      </c>
      <c r="AX862">
        <v>6.5741021946079687</v>
      </c>
      <c r="AY862" s="75"/>
      <c r="AZ862" s="75"/>
      <c r="BA862" s="75"/>
      <c r="BB862">
        <v>2.8007788724056869E-2</v>
      </c>
      <c r="BF862">
        <v>5.6015577448113731E-2</v>
      </c>
      <c r="BG862">
        <v>2.8007788724056869E-2</v>
      </c>
      <c r="BH862">
        <v>0</v>
      </c>
      <c r="BI862" s="79" t="s">
        <v>1264</v>
      </c>
      <c r="BJ862" s="79">
        <v>1273</v>
      </c>
      <c r="BK862" s="79">
        <v>10</v>
      </c>
      <c r="BM862" s="79" t="s">
        <v>1268</v>
      </c>
      <c r="BN862" s="79" t="s">
        <v>863</v>
      </c>
      <c r="BO862" s="79">
        <v>1</v>
      </c>
      <c r="BQ862" s="79">
        <v>0.5</v>
      </c>
      <c r="BR862" s="79">
        <v>0.5</v>
      </c>
      <c r="BS862" s="95" t="s">
        <v>464</v>
      </c>
      <c r="BT862" s="95" t="s">
        <v>464</v>
      </c>
      <c r="BU862" s="95" t="s">
        <v>1266</v>
      </c>
      <c r="BV862" s="95">
        <v>125</v>
      </c>
      <c r="BW862" s="95">
        <v>220</v>
      </c>
      <c r="BX862" s="95" t="s">
        <v>1287</v>
      </c>
      <c r="BY862" s="95">
        <f t="shared" si="226"/>
        <v>288</v>
      </c>
      <c r="BZ862" s="81">
        <v>20000</v>
      </c>
      <c r="CA862">
        <f t="shared" ref="CA862" si="235">LN(BZ862)</f>
        <v>9.9034875525361272</v>
      </c>
    </row>
    <row r="863" spans="1:79" x14ac:dyDescent="0.3">
      <c r="A863" s="2" t="s">
        <v>385</v>
      </c>
      <c r="B863" s="18" t="s">
        <v>1063</v>
      </c>
      <c r="C863" s="13"/>
      <c r="D863" s="2">
        <v>3.58</v>
      </c>
      <c r="E863" s="2" t="s">
        <v>401</v>
      </c>
      <c r="F863" s="9">
        <v>-1</v>
      </c>
      <c r="G863">
        <v>-1</v>
      </c>
      <c r="I863" s="2">
        <v>1</v>
      </c>
      <c r="J863" s="25">
        <v>0</v>
      </c>
      <c r="K863">
        <v>0</v>
      </c>
      <c r="L863">
        <v>0</v>
      </c>
      <c r="M863" s="2">
        <v>3.802</v>
      </c>
      <c r="N863" s="2">
        <v>3.802</v>
      </c>
      <c r="O863" s="2">
        <v>24.7</v>
      </c>
      <c r="P863" s="2" t="s">
        <v>439</v>
      </c>
      <c r="Q863" s="2"/>
      <c r="R863" s="25">
        <v>0</v>
      </c>
      <c r="S863" s="25"/>
      <c r="T863" s="25"/>
      <c r="U863">
        <v>0</v>
      </c>
      <c r="X863">
        <v>0</v>
      </c>
      <c r="AA863" s="2"/>
      <c r="AB863">
        <v>20</v>
      </c>
      <c r="AC863" s="55">
        <f t="shared" ref="AC863" si="236">M863*N863*O863</f>
        <v>357.04353880000002</v>
      </c>
      <c r="AD863" s="57">
        <v>0</v>
      </c>
      <c r="AE863" s="55">
        <v>0</v>
      </c>
      <c r="AF863" s="55">
        <v>0</v>
      </c>
      <c r="AG863" s="52">
        <f t="shared" ref="AG863" si="237">I863*AB863/AC863</f>
        <v>5.6015577448113731E-2</v>
      </c>
      <c r="AH863" s="51"/>
      <c r="AI863" s="52"/>
      <c r="AJ863" s="52"/>
      <c r="AK863" s="28">
        <v>1.606060606060606</v>
      </c>
      <c r="AL863" s="28">
        <v>1.545454545454545</v>
      </c>
      <c r="AM863" s="28">
        <v>0.1818181818181818</v>
      </c>
      <c r="AN863" s="28">
        <v>0.2424242424242424</v>
      </c>
      <c r="AO863" s="28">
        <v>0.44915254237288132</v>
      </c>
      <c r="AP863" s="28">
        <v>0.43220338983050849</v>
      </c>
      <c r="AQ863" s="28">
        <v>5.0847457627118647E-2</v>
      </c>
      <c r="AR863" s="28">
        <v>6.7796610169491525E-2</v>
      </c>
      <c r="AS863" s="25">
        <v>1.1399999999999999</v>
      </c>
      <c r="AT863" s="25">
        <v>3.44</v>
      </c>
      <c r="AU863" s="25">
        <v>2.2999999999999998</v>
      </c>
      <c r="AV863" s="25">
        <v>2.51939393939394</v>
      </c>
      <c r="AW863">
        <v>2.51939393939394</v>
      </c>
      <c r="AX863">
        <v>6.5741021946079687</v>
      </c>
      <c r="AY863" s="75"/>
      <c r="AZ863" s="75"/>
      <c r="BA863" s="75"/>
      <c r="BB863">
        <v>2.8007788724056869E-2</v>
      </c>
      <c r="BF863">
        <v>5.6015577448113731E-2</v>
      </c>
      <c r="BG863">
        <v>2.8007788724056869E-2</v>
      </c>
      <c r="BH863">
        <v>0</v>
      </c>
      <c r="BI863" s="79" t="s">
        <v>1264</v>
      </c>
      <c r="BJ863" s="79">
        <v>1273</v>
      </c>
      <c r="BK863" s="79">
        <v>10</v>
      </c>
      <c r="BM863" s="79" t="s">
        <v>1268</v>
      </c>
      <c r="BN863" s="79" t="s">
        <v>863</v>
      </c>
      <c r="BO863" s="79">
        <v>1</v>
      </c>
      <c r="BQ863" s="79">
        <v>0.5</v>
      </c>
      <c r="BR863" s="79">
        <v>0.75</v>
      </c>
      <c r="BS863" s="95" t="s">
        <v>464</v>
      </c>
      <c r="BT863" s="95" t="s">
        <v>464</v>
      </c>
      <c r="BU863" s="95" t="s">
        <v>1266</v>
      </c>
      <c r="BV863" s="95">
        <v>125</v>
      </c>
      <c r="BW863" s="95">
        <v>220</v>
      </c>
      <c r="BX863" s="95" t="s">
        <v>1287</v>
      </c>
      <c r="BY863" s="95">
        <f t="shared" si="226"/>
        <v>288</v>
      </c>
      <c r="BZ863" s="81">
        <v>52000</v>
      </c>
      <c r="CA863">
        <f t="shared" ref="CA863" si="238">LN(BZ863)</f>
        <v>10.858998997563564</v>
      </c>
    </row>
    <row r="864" spans="1:79" x14ac:dyDescent="0.3">
      <c r="A864" s="2" t="s">
        <v>385</v>
      </c>
      <c r="B864" s="18" t="s">
        <v>1063</v>
      </c>
      <c r="C864" s="13"/>
      <c r="D864" s="2">
        <v>3.58</v>
      </c>
      <c r="E864" s="2" t="s">
        <v>401</v>
      </c>
      <c r="F864" s="9">
        <v>-1</v>
      </c>
      <c r="G864">
        <v>-1</v>
      </c>
      <c r="I864" s="2">
        <v>1</v>
      </c>
      <c r="J864" s="25">
        <v>0</v>
      </c>
      <c r="K864">
        <v>0</v>
      </c>
      <c r="L864">
        <v>0</v>
      </c>
      <c r="M864" s="2">
        <v>3.802</v>
      </c>
      <c r="N864" s="2">
        <v>3.802</v>
      </c>
      <c r="O864" s="2">
        <v>24.7</v>
      </c>
      <c r="P864" s="2" t="s">
        <v>439</v>
      </c>
      <c r="Q864" s="2"/>
      <c r="R864" s="25">
        <v>0</v>
      </c>
      <c r="S864" s="25"/>
      <c r="T864" s="25"/>
      <c r="U864">
        <v>0</v>
      </c>
      <c r="X864">
        <v>0</v>
      </c>
      <c r="AA864" s="2"/>
      <c r="AB864">
        <v>20</v>
      </c>
      <c r="AC864" s="55">
        <f t="shared" ref="AC864:AC866" si="239">M864*N864*O864</f>
        <v>357.04353880000002</v>
      </c>
      <c r="AD864" s="57">
        <v>0</v>
      </c>
      <c r="AE864" s="55">
        <v>0</v>
      </c>
      <c r="AF864" s="55">
        <v>0</v>
      </c>
      <c r="AG864" s="52">
        <f t="shared" ref="AG864:AG866" si="240">I864*AB864/AC864</f>
        <v>5.6015577448113731E-2</v>
      </c>
      <c r="AH864" s="51"/>
      <c r="AI864" s="52"/>
      <c r="AJ864" s="52"/>
      <c r="AK864" s="28">
        <v>1.606060606060606</v>
      </c>
      <c r="AL864" s="28">
        <v>1.545454545454545</v>
      </c>
      <c r="AM864" s="28">
        <v>0.1818181818181818</v>
      </c>
      <c r="AN864" s="28">
        <v>0.2424242424242424</v>
      </c>
      <c r="AO864" s="28">
        <v>0.44915254237288132</v>
      </c>
      <c r="AP864" s="28">
        <v>0.43220338983050849</v>
      </c>
      <c r="AQ864" s="28">
        <v>5.0847457627118647E-2</v>
      </c>
      <c r="AR864" s="28">
        <v>6.7796610169491525E-2</v>
      </c>
      <c r="AS864" s="25">
        <v>1.1399999999999999</v>
      </c>
      <c r="AT864" s="25">
        <v>3.44</v>
      </c>
      <c r="AU864" s="25">
        <v>2.2999999999999998</v>
      </c>
      <c r="AV864" s="25">
        <v>2.51939393939394</v>
      </c>
      <c r="AW864">
        <v>2.51939393939394</v>
      </c>
      <c r="AX864">
        <v>6.5741021946079687</v>
      </c>
      <c r="AY864" s="75"/>
      <c r="AZ864" s="75"/>
      <c r="BA864" s="75"/>
      <c r="BB864">
        <v>2.8007788724056869E-2</v>
      </c>
      <c r="BF864">
        <v>5.6015577448113731E-2</v>
      </c>
      <c r="BG864">
        <v>2.8007788724056869E-2</v>
      </c>
      <c r="BH864">
        <v>0</v>
      </c>
      <c r="BI864" s="79" t="s">
        <v>1264</v>
      </c>
      <c r="BJ864" s="79">
        <v>1273</v>
      </c>
      <c r="BK864" s="79">
        <v>10</v>
      </c>
      <c r="BM864" s="79" t="s">
        <v>1268</v>
      </c>
      <c r="BN864" s="79" t="s">
        <v>863</v>
      </c>
      <c r="BO864" s="79">
        <v>1</v>
      </c>
      <c r="BQ864" s="79">
        <v>0.5</v>
      </c>
      <c r="BR864" s="79">
        <v>2</v>
      </c>
      <c r="BS864" s="95" t="s">
        <v>464</v>
      </c>
      <c r="BT864" s="95" t="s">
        <v>464</v>
      </c>
      <c r="BU864" s="95" t="s">
        <v>1266</v>
      </c>
      <c r="BV864" s="95">
        <v>125</v>
      </c>
      <c r="BW864" s="95">
        <v>220</v>
      </c>
      <c r="BX864" s="95" t="s">
        <v>1287</v>
      </c>
      <c r="BY864" s="95">
        <f t="shared" si="226"/>
        <v>288</v>
      </c>
      <c r="BZ864" s="81">
        <v>100000</v>
      </c>
      <c r="CA864">
        <f t="shared" ref="CA864:CA866" si="241">LN(BZ864)</f>
        <v>11.512925464970229</v>
      </c>
    </row>
    <row r="865" spans="1:79" x14ac:dyDescent="0.3">
      <c r="A865" s="2" t="s">
        <v>385</v>
      </c>
      <c r="B865" s="18" t="s">
        <v>1063</v>
      </c>
      <c r="C865" s="13"/>
      <c r="D865" s="2">
        <v>3.58</v>
      </c>
      <c r="E865" s="2" t="s">
        <v>401</v>
      </c>
      <c r="F865" s="9">
        <v>-1</v>
      </c>
      <c r="G865">
        <v>-1</v>
      </c>
      <c r="I865" s="2">
        <v>1</v>
      </c>
      <c r="J865" s="25">
        <v>0</v>
      </c>
      <c r="K865">
        <v>0</v>
      </c>
      <c r="L865">
        <v>0</v>
      </c>
      <c r="M865" s="2">
        <v>3.802</v>
      </c>
      <c r="N865" s="2">
        <v>3.802</v>
      </c>
      <c r="O865" s="2">
        <v>24.7</v>
      </c>
      <c r="P865" s="2" t="s">
        <v>439</v>
      </c>
      <c r="Q865" s="2"/>
      <c r="R865" s="25">
        <v>0</v>
      </c>
      <c r="S865" s="25"/>
      <c r="T865" s="25"/>
      <c r="U865">
        <v>0</v>
      </c>
      <c r="X865">
        <v>0</v>
      </c>
      <c r="AA865" s="2"/>
      <c r="AB865">
        <v>20</v>
      </c>
      <c r="AC865" s="55">
        <f t="shared" si="239"/>
        <v>357.04353880000002</v>
      </c>
      <c r="AD865" s="57">
        <v>0</v>
      </c>
      <c r="AE865" s="55">
        <v>0</v>
      </c>
      <c r="AF865" s="55">
        <v>0</v>
      </c>
      <c r="AG865" s="52">
        <f t="shared" si="240"/>
        <v>5.6015577448113731E-2</v>
      </c>
      <c r="AH865" s="51"/>
      <c r="AI865" s="52"/>
      <c r="AJ865" s="52"/>
      <c r="AK865" s="28">
        <v>1.606060606060606</v>
      </c>
      <c r="AL865" s="28">
        <v>1.545454545454545</v>
      </c>
      <c r="AM865" s="28">
        <v>0.1818181818181818</v>
      </c>
      <c r="AN865" s="28">
        <v>0.2424242424242424</v>
      </c>
      <c r="AO865" s="28">
        <v>0.44915254237288132</v>
      </c>
      <c r="AP865" s="28">
        <v>0.43220338983050849</v>
      </c>
      <c r="AQ865" s="28">
        <v>5.0847457627118647E-2</v>
      </c>
      <c r="AR865" s="28">
        <v>6.7796610169491525E-2</v>
      </c>
      <c r="AS865" s="25">
        <v>1.1399999999999999</v>
      </c>
      <c r="AT865" s="25">
        <v>3.44</v>
      </c>
      <c r="AU865" s="25">
        <v>2.2999999999999998</v>
      </c>
      <c r="AV865" s="25">
        <v>2.51939393939394</v>
      </c>
      <c r="AW865">
        <v>2.51939393939394</v>
      </c>
      <c r="AX865">
        <v>6.5741021946079687</v>
      </c>
      <c r="AY865" s="75"/>
      <c r="AZ865" s="75"/>
      <c r="BA865" s="75"/>
      <c r="BB865">
        <v>2.8007788724056869E-2</v>
      </c>
      <c r="BF865">
        <v>5.6015577448113731E-2</v>
      </c>
      <c r="BG865">
        <v>2.8007788724056869E-2</v>
      </c>
      <c r="BH865">
        <v>0</v>
      </c>
      <c r="BI865" s="79" t="s">
        <v>1264</v>
      </c>
      <c r="BJ865" s="79">
        <v>1273</v>
      </c>
      <c r="BK865" s="79">
        <v>10</v>
      </c>
      <c r="BM865" s="79" t="s">
        <v>1268</v>
      </c>
      <c r="BN865" s="79" t="s">
        <v>863</v>
      </c>
      <c r="BO865" s="79">
        <v>1</v>
      </c>
      <c r="BQ865" s="79">
        <v>0.5</v>
      </c>
      <c r="BR865" s="79">
        <v>6</v>
      </c>
      <c r="BS865" s="95" t="s">
        <v>464</v>
      </c>
      <c r="BT865" s="95" t="s">
        <v>464</v>
      </c>
      <c r="BU865" s="95" t="s">
        <v>1266</v>
      </c>
      <c r="BV865" s="95">
        <v>125</v>
      </c>
      <c r="BW865" s="95">
        <v>220</v>
      </c>
      <c r="BX865" s="95" t="s">
        <v>1287</v>
      </c>
      <c r="BY865" s="95">
        <f t="shared" si="226"/>
        <v>288</v>
      </c>
      <c r="BZ865" s="81">
        <v>140000</v>
      </c>
      <c r="CA865">
        <f t="shared" si="241"/>
        <v>11.849397701591441</v>
      </c>
    </row>
    <row r="866" spans="1:79" x14ac:dyDescent="0.3">
      <c r="A866" s="2" t="s">
        <v>385</v>
      </c>
      <c r="B866" s="18" t="s">
        <v>1063</v>
      </c>
      <c r="C866" s="13"/>
      <c r="D866" s="2">
        <v>3.58</v>
      </c>
      <c r="E866" s="2" t="s">
        <v>401</v>
      </c>
      <c r="F866" s="9">
        <v>-1</v>
      </c>
      <c r="G866">
        <v>-1</v>
      </c>
      <c r="I866" s="2">
        <v>1</v>
      </c>
      <c r="J866" s="25">
        <v>0</v>
      </c>
      <c r="K866">
        <v>0</v>
      </c>
      <c r="L866">
        <v>0</v>
      </c>
      <c r="M866" s="2">
        <v>3.802</v>
      </c>
      <c r="N866" s="2">
        <v>3.802</v>
      </c>
      <c r="O866" s="2">
        <v>24.7</v>
      </c>
      <c r="P866" s="2" t="s">
        <v>439</v>
      </c>
      <c r="Q866" s="2"/>
      <c r="R866" s="25">
        <v>0</v>
      </c>
      <c r="S866" s="25"/>
      <c r="T866" s="25"/>
      <c r="U866">
        <v>0</v>
      </c>
      <c r="X866">
        <v>0</v>
      </c>
      <c r="AA866" s="2"/>
      <c r="AB866">
        <v>20</v>
      </c>
      <c r="AC866" s="55">
        <f t="shared" si="239"/>
        <v>357.04353880000002</v>
      </c>
      <c r="AD866" s="57">
        <v>0</v>
      </c>
      <c r="AE866" s="55">
        <v>0</v>
      </c>
      <c r="AF866" s="55">
        <v>0</v>
      </c>
      <c r="AG866" s="52">
        <f t="shared" si="240"/>
        <v>5.6015577448113731E-2</v>
      </c>
      <c r="AH866" s="51"/>
      <c r="AI866" s="52"/>
      <c r="AJ866" s="52"/>
      <c r="AK866" s="28">
        <v>1.606060606060606</v>
      </c>
      <c r="AL866" s="28">
        <v>1.545454545454545</v>
      </c>
      <c r="AM866" s="28">
        <v>0.1818181818181818</v>
      </c>
      <c r="AN866" s="28">
        <v>0.2424242424242424</v>
      </c>
      <c r="AO866" s="28">
        <v>0.44915254237288132</v>
      </c>
      <c r="AP866" s="28">
        <v>0.43220338983050849</v>
      </c>
      <c r="AQ866" s="28">
        <v>5.0847457627118647E-2</v>
      </c>
      <c r="AR866" s="28">
        <v>6.7796610169491525E-2</v>
      </c>
      <c r="AS866" s="25">
        <v>1.1399999999999999</v>
      </c>
      <c r="AT866" s="25">
        <v>3.44</v>
      </c>
      <c r="AU866" s="25">
        <v>2.2999999999999998</v>
      </c>
      <c r="AV866" s="25">
        <v>2.51939393939394</v>
      </c>
      <c r="AW866">
        <v>2.51939393939394</v>
      </c>
      <c r="AX866">
        <v>6.5741021946079687</v>
      </c>
      <c r="AY866" s="75"/>
      <c r="AZ866" s="75"/>
      <c r="BA866" s="75"/>
      <c r="BB866">
        <v>2.8007788724056869E-2</v>
      </c>
      <c r="BF866">
        <v>5.6015577448113731E-2</v>
      </c>
      <c r="BG866">
        <v>2.8007788724056869E-2</v>
      </c>
      <c r="BH866">
        <v>0</v>
      </c>
      <c r="BI866" s="79" t="s">
        <v>1264</v>
      </c>
      <c r="BJ866" s="79">
        <v>1273</v>
      </c>
      <c r="BK866" s="79">
        <v>10</v>
      </c>
      <c r="BM866" s="79" t="s">
        <v>1268</v>
      </c>
      <c r="BN866" s="79" t="s">
        <v>863</v>
      </c>
      <c r="BO866" s="79">
        <v>1</v>
      </c>
      <c r="BQ866" s="79">
        <v>0.5</v>
      </c>
      <c r="BR866" s="79">
        <v>10</v>
      </c>
      <c r="BS866" s="95" t="s">
        <v>464</v>
      </c>
      <c r="BT866" s="95" t="s">
        <v>464</v>
      </c>
      <c r="BU866" s="95" t="s">
        <v>1266</v>
      </c>
      <c r="BV866" s="95">
        <v>125</v>
      </c>
      <c r="BW866" s="95">
        <v>220</v>
      </c>
      <c r="BX866" s="95" t="s">
        <v>1287</v>
      </c>
      <c r="BY866" s="95">
        <f t="shared" si="226"/>
        <v>288</v>
      </c>
      <c r="BZ866" s="81">
        <v>152000</v>
      </c>
      <c r="CA866">
        <f t="shared" si="241"/>
        <v>11.931635799828413</v>
      </c>
    </row>
    <row r="867" spans="1:79" x14ac:dyDescent="0.3">
      <c r="A867" s="2" t="s">
        <v>385</v>
      </c>
      <c r="B867" s="18" t="s">
        <v>1063</v>
      </c>
      <c r="C867" s="13"/>
      <c r="D867" s="2">
        <v>3.58</v>
      </c>
      <c r="E867" s="2" t="s">
        <v>401</v>
      </c>
      <c r="F867" s="9">
        <v>-1</v>
      </c>
      <c r="G867">
        <v>-1</v>
      </c>
      <c r="I867" s="2">
        <v>1</v>
      </c>
      <c r="J867" s="25">
        <v>0</v>
      </c>
      <c r="K867">
        <v>0</v>
      </c>
      <c r="L867">
        <v>0</v>
      </c>
      <c r="M867" s="2">
        <v>3.802</v>
      </c>
      <c r="N867" s="2">
        <v>3.802</v>
      </c>
      <c r="O867" s="2">
        <v>24.7</v>
      </c>
      <c r="P867" s="2" t="s">
        <v>439</v>
      </c>
      <c r="Q867" s="2"/>
      <c r="R867" s="25">
        <v>0</v>
      </c>
      <c r="S867" s="25"/>
      <c r="T867" s="25"/>
      <c r="U867">
        <v>0</v>
      </c>
      <c r="X867">
        <v>0</v>
      </c>
      <c r="AA867" s="2"/>
      <c r="AB867">
        <v>20</v>
      </c>
      <c r="AC867" s="55">
        <f t="shared" ref="AC867" si="242">M867*N867*O867</f>
        <v>357.04353880000002</v>
      </c>
      <c r="AD867" s="57">
        <v>0</v>
      </c>
      <c r="AE867" s="55">
        <v>0</v>
      </c>
      <c r="AF867" s="55">
        <v>0</v>
      </c>
      <c r="AG867" s="52">
        <f t="shared" ref="AG867" si="243">I867*AB867/AC867</f>
        <v>5.6015577448113731E-2</v>
      </c>
      <c r="AH867" s="51"/>
      <c r="AI867" s="52"/>
      <c r="AJ867" s="52"/>
      <c r="AK867" s="28">
        <v>1.606060606060606</v>
      </c>
      <c r="AL867" s="28">
        <v>1.545454545454545</v>
      </c>
      <c r="AM867" s="28">
        <v>0.1818181818181818</v>
      </c>
      <c r="AN867" s="28">
        <v>0.2424242424242424</v>
      </c>
      <c r="AO867" s="28">
        <v>0.44915254237288132</v>
      </c>
      <c r="AP867" s="28">
        <v>0.43220338983050849</v>
      </c>
      <c r="AQ867" s="28">
        <v>5.0847457627118647E-2</v>
      </c>
      <c r="AR867" s="28">
        <v>6.7796610169491525E-2</v>
      </c>
      <c r="AS867" s="25">
        <v>1.1399999999999999</v>
      </c>
      <c r="AT867" s="25">
        <v>3.44</v>
      </c>
      <c r="AU867" s="25">
        <v>2.2999999999999998</v>
      </c>
      <c r="AV867" s="25">
        <v>2.51939393939394</v>
      </c>
      <c r="AW867">
        <v>2.51939393939394</v>
      </c>
      <c r="AX867">
        <v>6.5741021946079687</v>
      </c>
      <c r="AY867" s="75"/>
      <c r="AZ867" s="75"/>
      <c r="BA867" s="75"/>
      <c r="BB867">
        <v>2.8007788724056869E-2</v>
      </c>
      <c r="BF867">
        <v>5.6015577448113731E-2</v>
      </c>
      <c r="BG867">
        <v>2.8007788724056869E-2</v>
      </c>
      <c r="BH867">
        <v>0</v>
      </c>
      <c r="BI867" s="79" t="s">
        <v>1264</v>
      </c>
      <c r="BJ867" s="79">
        <v>1273</v>
      </c>
      <c r="BK867" s="79">
        <v>10</v>
      </c>
      <c r="BM867" s="79" t="s">
        <v>1268</v>
      </c>
      <c r="BN867" s="79" t="s">
        <v>863</v>
      </c>
      <c r="BO867" s="79">
        <v>0</v>
      </c>
      <c r="BQ867" s="79">
        <v>0.5</v>
      </c>
      <c r="BR867" s="79">
        <v>1</v>
      </c>
      <c r="BS867" s="95" t="s">
        <v>464</v>
      </c>
      <c r="BT867" s="95" t="s">
        <v>464</v>
      </c>
      <c r="BU867" s="95" t="s">
        <v>1266</v>
      </c>
      <c r="BV867" s="95">
        <v>125</v>
      </c>
      <c r="BW867" s="95">
        <v>220</v>
      </c>
      <c r="BX867" s="95" t="s">
        <v>1287</v>
      </c>
      <c r="BY867" s="95">
        <f t="shared" si="226"/>
        <v>288</v>
      </c>
      <c r="BZ867" s="81">
        <v>6000</v>
      </c>
      <c r="CA867">
        <f t="shared" ref="CA867" si="244">LN(BZ867)</f>
        <v>8.6995147482101913</v>
      </c>
    </row>
    <row r="868" spans="1:79" x14ac:dyDescent="0.3">
      <c r="A868" s="2" t="s">
        <v>385</v>
      </c>
      <c r="B868" s="18" t="s">
        <v>1063</v>
      </c>
      <c r="C868" s="13"/>
      <c r="D868" s="2">
        <v>3.58</v>
      </c>
      <c r="E868" s="2" t="s">
        <v>401</v>
      </c>
      <c r="F868" s="9">
        <v>-1</v>
      </c>
      <c r="G868">
        <v>-1</v>
      </c>
      <c r="I868" s="2">
        <v>1</v>
      </c>
      <c r="J868" s="25">
        <v>0</v>
      </c>
      <c r="K868">
        <v>0</v>
      </c>
      <c r="L868">
        <v>0</v>
      </c>
      <c r="M868" s="2">
        <v>3.802</v>
      </c>
      <c r="N868" s="2">
        <v>3.802</v>
      </c>
      <c r="O868" s="2">
        <v>24.7</v>
      </c>
      <c r="P868" s="2" t="s">
        <v>439</v>
      </c>
      <c r="Q868" s="2"/>
      <c r="R868" s="25">
        <v>0</v>
      </c>
      <c r="S868" s="25"/>
      <c r="T868" s="25"/>
      <c r="U868">
        <v>0</v>
      </c>
      <c r="X868">
        <v>0</v>
      </c>
      <c r="AA868" s="2"/>
      <c r="AB868">
        <v>20</v>
      </c>
      <c r="AC868" s="55">
        <f t="shared" ref="AC868" si="245">M868*N868*O868</f>
        <v>357.04353880000002</v>
      </c>
      <c r="AD868" s="57">
        <v>0</v>
      </c>
      <c r="AE868" s="55">
        <v>0</v>
      </c>
      <c r="AF868" s="55">
        <v>0</v>
      </c>
      <c r="AG868" s="52">
        <f t="shared" ref="AG868" si="246">I868*AB868/AC868</f>
        <v>5.6015577448113731E-2</v>
      </c>
      <c r="AH868" s="51"/>
      <c r="AI868" s="52"/>
      <c r="AJ868" s="52"/>
      <c r="AK868" s="28">
        <v>1.606060606060606</v>
      </c>
      <c r="AL868" s="28">
        <v>1.545454545454545</v>
      </c>
      <c r="AM868" s="28">
        <v>0.1818181818181818</v>
      </c>
      <c r="AN868" s="28">
        <v>0.2424242424242424</v>
      </c>
      <c r="AO868" s="28">
        <v>0.44915254237288132</v>
      </c>
      <c r="AP868" s="28">
        <v>0.43220338983050849</v>
      </c>
      <c r="AQ868" s="28">
        <v>5.0847457627118647E-2</v>
      </c>
      <c r="AR868" s="28">
        <v>6.7796610169491525E-2</v>
      </c>
      <c r="AS868" s="25">
        <v>1.1399999999999999</v>
      </c>
      <c r="AT868" s="25">
        <v>3.44</v>
      </c>
      <c r="AU868" s="25">
        <v>2.2999999999999998</v>
      </c>
      <c r="AV868" s="25">
        <v>2.51939393939394</v>
      </c>
      <c r="AW868">
        <v>2.51939393939394</v>
      </c>
      <c r="AX868">
        <v>6.5741021946079687</v>
      </c>
      <c r="AY868" s="75"/>
      <c r="AZ868" s="75"/>
      <c r="BA868" s="75"/>
      <c r="BB868">
        <v>2.8007788724056869E-2</v>
      </c>
      <c r="BF868">
        <v>5.6015577448113731E-2</v>
      </c>
      <c r="BG868">
        <v>2.8007788724056869E-2</v>
      </c>
      <c r="BH868">
        <v>0</v>
      </c>
      <c r="BI868" s="79" t="s">
        <v>1264</v>
      </c>
      <c r="BJ868" s="79">
        <v>1273</v>
      </c>
      <c r="BK868" s="79">
        <v>10</v>
      </c>
      <c r="BM868" s="79" t="s">
        <v>1268</v>
      </c>
      <c r="BN868" s="79" t="s">
        <v>863</v>
      </c>
      <c r="BO868" s="79">
        <v>0.25</v>
      </c>
      <c r="BQ868" s="79">
        <v>0.5</v>
      </c>
      <c r="BR868" s="79">
        <v>1</v>
      </c>
      <c r="BS868" s="95" t="s">
        <v>464</v>
      </c>
      <c r="BT868" s="95" t="s">
        <v>464</v>
      </c>
      <c r="BU868" s="95" t="s">
        <v>1266</v>
      </c>
      <c r="BV868" s="95">
        <v>125</v>
      </c>
      <c r="BW868" s="95">
        <v>220</v>
      </c>
      <c r="BX868" s="95" t="s">
        <v>1287</v>
      </c>
      <c r="BY868" s="95">
        <f t="shared" si="226"/>
        <v>288</v>
      </c>
      <c r="BZ868" s="81">
        <v>36000</v>
      </c>
      <c r="CA868">
        <f t="shared" ref="CA868" si="247">LN(BZ868)</f>
        <v>10.491274217438248</v>
      </c>
    </row>
    <row r="869" spans="1:79" x14ac:dyDescent="0.3">
      <c r="A869" s="2" t="s">
        <v>385</v>
      </c>
      <c r="B869" s="18" t="s">
        <v>1063</v>
      </c>
      <c r="C869" s="13"/>
      <c r="D869" s="2">
        <v>3.58</v>
      </c>
      <c r="E869" s="2" t="s">
        <v>401</v>
      </c>
      <c r="F869" s="9">
        <v>-1</v>
      </c>
      <c r="G869">
        <v>-1</v>
      </c>
      <c r="I869" s="2">
        <v>1</v>
      </c>
      <c r="J869" s="25">
        <v>0</v>
      </c>
      <c r="K869">
        <v>0</v>
      </c>
      <c r="L869">
        <v>0</v>
      </c>
      <c r="M869" s="2">
        <v>3.802</v>
      </c>
      <c r="N869" s="2">
        <v>3.802</v>
      </c>
      <c r="O869" s="2">
        <v>24.7</v>
      </c>
      <c r="P869" s="2" t="s">
        <v>439</v>
      </c>
      <c r="Q869" s="2"/>
      <c r="R869" s="25">
        <v>0</v>
      </c>
      <c r="S869" s="25"/>
      <c r="T869" s="25"/>
      <c r="U869">
        <v>0</v>
      </c>
      <c r="X869">
        <v>0</v>
      </c>
      <c r="AA869" s="2"/>
      <c r="AB869">
        <v>20</v>
      </c>
      <c r="AC869" s="55">
        <f t="shared" ref="AC869:AC871" si="248">M869*N869*O869</f>
        <v>357.04353880000002</v>
      </c>
      <c r="AD869" s="57">
        <v>0</v>
      </c>
      <c r="AE869" s="55">
        <v>0</v>
      </c>
      <c r="AF869" s="55">
        <v>0</v>
      </c>
      <c r="AG869" s="52">
        <f t="shared" ref="AG869:AG871" si="249">I869*AB869/AC869</f>
        <v>5.6015577448113731E-2</v>
      </c>
      <c r="AH869" s="51"/>
      <c r="AI869" s="52"/>
      <c r="AJ869" s="52"/>
      <c r="AK869" s="28">
        <v>1.606060606060606</v>
      </c>
      <c r="AL869" s="28">
        <v>1.545454545454545</v>
      </c>
      <c r="AM869" s="28">
        <v>0.1818181818181818</v>
      </c>
      <c r="AN869" s="28">
        <v>0.2424242424242424</v>
      </c>
      <c r="AO869" s="28">
        <v>0.44915254237288132</v>
      </c>
      <c r="AP869" s="28">
        <v>0.43220338983050849</v>
      </c>
      <c r="AQ869" s="28">
        <v>5.0847457627118647E-2</v>
      </c>
      <c r="AR869" s="28">
        <v>6.7796610169491525E-2</v>
      </c>
      <c r="AS869" s="25">
        <v>1.1399999999999999</v>
      </c>
      <c r="AT869" s="25">
        <v>3.44</v>
      </c>
      <c r="AU869" s="25">
        <v>2.2999999999999998</v>
      </c>
      <c r="AV869" s="25">
        <v>2.51939393939394</v>
      </c>
      <c r="AW869">
        <v>2.51939393939394</v>
      </c>
      <c r="AX869">
        <v>6.5741021946079687</v>
      </c>
      <c r="AY869" s="75"/>
      <c r="AZ869" s="75"/>
      <c r="BA869" s="75"/>
      <c r="BB869">
        <v>2.8007788724056869E-2</v>
      </c>
      <c r="BF869">
        <v>5.6015577448113731E-2</v>
      </c>
      <c r="BG869">
        <v>2.8007788724056869E-2</v>
      </c>
      <c r="BH869">
        <v>0</v>
      </c>
      <c r="BI869" s="79" t="s">
        <v>1264</v>
      </c>
      <c r="BJ869" s="79">
        <v>1273</v>
      </c>
      <c r="BK869" s="79">
        <v>10</v>
      </c>
      <c r="BM869" s="79" t="s">
        <v>1268</v>
      </c>
      <c r="BN869" s="79" t="s">
        <v>863</v>
      </c>
      <c r="BO869" s="79">
        <v>0.5</v>
      </c>
      <c r="BQ869" s="79">
        <v>0.5</v>
      </c>
      <c r="BR869" s="79">
        <v>1</v>
      </c>
      <c r="BS869" s="95" t="s">
        <v>464</v>
      </c>
      <c r="BT869" s="95" t="s">
        <v>464</v>
      </c>
      <c r="BU869" s="95" t="s">
        <v>1266</v>
      </c>
      <c r="BV869" s="95">
        <v>125</v>
      </c>
      <c r="BW869" s="95">
        <v>220</v>
      </c>
      <c r="BX869" s="95" t="s">
        <v>1287</v>
      </c>
      <c r="BY869" s="95">
        <f t="shared" si="226"/>
        <v>288</v>
      </c>
      <c r="BZ869" s="81">
        <v>62000</v>
      </c>
      <c r="CA869">
        <f t="shared" ref="CA869:CA871" si="250">LN(BZ869)</f>
        <v>11.034889664027229</v>
      </c>
    </row>
    <row r="870" spans="1:79" x14ac:dyDescent="0.3">
      <c r="A870" s="2" t="s">
        <v>385</v>
      </c>
      <c r="B870" s="18" t="s">
        <v>1063</v>
      </c>
      <c r="C870" s="13"/>
      <c r="D870" s="2">
        <v>3.58</v>
      </c>
      <c r="E870" s="2" t="s">
        <v>401</v>
      </c>
      <c r="F870" s="9">
        <v>-1</v>
      </c>
      <c r="G870">
        <v>-1</v>
      </c>
      <c r="I870" s="2">
        <v>1</v>
      </c>
      <c r="J870" s="25">
        <v>0</v>
      </c>
      <c r="K870">
        <v>0</v>
      </c>
      <c r="L870">
        <v>0</v>
      </c>
      <c r="M870" s="2">
        <v>3.802</v>
      </c>
      <c r="N870" s="2">
        <v>3.802</v>
      </c>
      <c r="O870" s="2">
        <v>24.7</v>
      </c>
      <c r="P870" s="2" t="s">
        <v>439</v>
      </c>
      <c r="Q870" s="2"/>
      <c r="R870" s="25">
        <v>0</v>
      </c>
      <c r="S870" s="25"/>
      <c r="T870" s="25"/>
      <c r="U870">
        <v>0</v>
      </c>
      <c r="X870">
        <v>0</v>
      </c>
      <c r="AA870" s="2"/>
      <c r="AB870">
        <v>20</v>
      </c>
      <c r="AC870" s="55">
        <f t="shared" si="248"/>
        <v>357.04353880000002</v>
      </c>
      <c r="AD870" s="57">
        <v>0</v>
      </c>
      <c r="AE870" s="55">
        <v>0</v>
      </c>
      <c r="AF870" s="55">
        <v>0</v>
      </c>
      <c r="AG870" s="52">
        <f t="shared" si="249"/>
        <v>5.6015577448113731E-2</v>
      </c>
      <c r="AH870" s="51"/>
      <c r="AI870" s="52"/>
      <c r="AJ870" s="52"/>
      <c r="AK870" s="28">
        <v>1.606060606060606</v>
      </c>
      <c r="AL870" s="28">
        <v>1.545454545454545</v>
      </c>
      <c r="AM870" s="28">
        <v>0.1818181818181818</v>
      </c>
      <c r="AN870" s="28">
        <v>0.2424242424242424</v>
      </c>
      <c r="AO870" s="28">
        <v>0.44915254237288132</v>
      </c>
      <c r="AP870" s="28">
        <v>0.43220338983050849</v>
      </c>
      <c r="AQ870" s="28">
        <v>5.0847457627118647E-2</v>
      </c>
      <c r="AR870" s="28">
        <v>6.7796610169491525E-2</v>
      </c>
      <c r="AS870" s="25">
        <v>1.1399999999999999</v>
      </c>
      <c r="AT870" s="25">
        <v>3.44</v>
      </c>
      <c r="AU870" s="25">
        <v>2.2999999999999998</v>
      </c>
      <c r="AV870" s="25">
        <v>2.51939393939394</v>
      </c>
      <c r="AW870">
        <v>2.51939393939394</v>
      </c>
      <c r="AX870">
        <v>6.5741021946079687</v>
      </c>
      <c r="AY870" s="75"/>
      <c r="AZ870" s="75"/>
      <c r="BA870" s="75"/>
      <c r="BB870">
        <v>2.8007788724056869E-2</v>
      </c>
      <c r="BF870">
        <v>5.6015577448113731E-2</v>
      </c>
      <c r="BG870">
        <v>2.8007788724056869E-2</v>
      </c>
      <c r="BH870">
        <v>0</v>
      </c>
      <c r="BI870" s="79" t="s">
        <v>1264</v>
      </c>
      <c r="BJ870" s="79">
        <v>1273</v>
      </c>
      <c r="BK870" s="79">
        <v>10</v>
      </c>
      <c r="BM870" s="79" t="s">
        <v>1268</v>
      </c>
      <c r="BN870" s="79" t="s">
        <v>863</v>
      </c>
      <c r="BO870" s="79">
        <v>0.75</v>
      </c>
      <c r="BQ870" s="79">
        <v>0.5</v>
      </c>
      <c r="BR870" s="79">
        <v>1</v>
      </c>
      <c r="BS870" s="95" t="s">
        <v>464</v>
      </c>
      <c r="BT870" s="95" t="s">
        <v>464</v>
      </c>
      <c r="BU870" s="95" t="s">
        <v>1266</v>
      </c>
      <c r="BV870" s="95">
        <v>125</v>
      </c>
      <c r="BW870" s="95">
        <v>220</v>
      </c>
      <c r="BX870" s="95" t="s">
        <v>1287</v>
      </c>
      <c r="BY870" s="95">
        <f t="shared" si="226"/>
        <v>288</v>
      </c>
      <c r="BZ870" s="81">
        <v>74000</v>
      </c>
      <c r="CA870">
        <f t="shared" si="250"/>
        <v>11.211820372186306</v>
      </c>
    </row>
    <row r="871" spans="1:79" x14ac:dyDescent="0.3">
      <c r="A871" s="2" t="s">
        <v>385</v>
      </c>
      <c r="B871" s="18" t="s">
        <v>1063</v>
      </c>
      <c r="C871" s="13"/>
      <c r="D871" s="2">
        <v>3.58</v>
      </c>
      <c r="E871" s="2" t="s">
        <v>401</v>
      </c>
      <c r="F871" s="9">
        <v>-1</v>
      </c>
      <c r="G871">
        <v>-1</v>
      </c>
      <c r="I871" s="2">
        <v>1</v>
      </c>
      <c r="J871" s="25">
        <v>0</v>
      </c>
      <c r="K871">
        <v>0</v>
      </c>
      <c r="L871">
        <v>0</v>
      </c>
      <c r="M871" s="2">
        <v>3.802</v>
      </c>
      <c r="N871" s="2">
        <v>3.802</v>
      </c>
      <c r="O871" s="2">
        <v>24.7</v>
      </c>
      <c r="P871" s="2" t="s">
        <v>439</v>
      </c>
      <c r="Q871" s="2"/>
      <c r="R871" s="25">
        <v>0</v>
      </c>
      <c r="S871" s="25"/>
      <c r="T871" s="25"/>
      <c r="U871">
        <v>0</v>
      </c>
      <c r="X871">
        <v>0</v>
      </c>
      <c r="AA871" s="2"/>
      <c r="AB871">
        <v>20</v>
      </c>
      <c r="AC871" s="55">
        <f t="shared" si="248"/>
        <v>357.04353880000002</v>
      </c>
      <c r="AD871" s="57">
        <v>0</v>
      </c>
      <c r="AE871" s="55">
        <v>0</v>
      </c>
      <c r="AF871" s="55">
        <v>0</v>
      </c>
      <c r="AG871" s="52">
        <f t="shared" si="249"/>
        <v>5.6015577448113731E-2</v>
      </c>
      <c r="AH871" s="51"/>
      <c r="AI871" s="52"/>
      <c r="AJ871" s="52"/>
      <c r="AK871" s="28">
        <v>1.606060606060606</v>
      </c>
      <c r="AL871" s="28">
        <v>1.545454545454545</v>
      </c>
      <c r="AM871" s="28">
        <v>0.1818181818181818</v>
      </c>
      <c r="AN871" s="28">
        <v>0.2424242424242424</v>
      </c>
      <c r="AO871" s="28">
        <v>0.44915254237288132</v>
      </c>
      <c r="AP871" s="28">
        <v>0.43220338983050849</v>
      </c>
      <c r="AQ871" s="28">
        <v>5.0847457627118647E-2</v>
      </c>
      <c r="AR871" s="28">
        <v>6.7796610169491525E-2</v>
      </c>
      <c r="AS871" s="25">
        <v>1.1399999999999999</v>
      </c>
      <c r="AT871" s="25">
        <v>3.44</v>
      </c>
      <c r="AU871" s="25">
        <v>2.2999999999999998</v>
      </c>
      <c r="AV871" s="25">
        <v>2.51939393939394</v>
      </c>
      <c r="AW871">
        <v>2.51939393939394</v>
      </c>
      <c r="AX871">
        <v>6.5741021946079687</v>
      </c>
      <c r="AY871" s="75"/>
      <c r="AZ871" s="75"/>
      <c r="BA871" s="75"/>
      <c r="BB871">
        <v>2.8007788724056869E-2</v>
      </c>
      <c r="BF871">
        <v>5.6015577448113731E-2</v>
      </c>
      <c r="BG871">
        <v>2.8007788724056869E-2</v>
      </c>
      <c r="BH871">
        <v>0</v>
      </c>
      <c r="BI871" s="79" t="s">
        <v>1264</v>
      </c>
      <c r="BJ871" s="79">
        <v>1273</v>
      </c>
      <c r="BK871" s="79">
        <v>10</v>
      </c>
      <c r="BM871" s="79" t="s">
        <v>1268</v>
      </c>
      <c r="BN871" s="79" t="s">
        <v>863</v>
      </c>
      <c r="BO871" s="79">
        <v>2</v>
      </c>
      <c r="BQ871" s="79">
        <v>0.5</v>
      </c>
      <c r="BR871" s="79">
        <v>1</v>
      </c>
      <c r="BS871" s="95" t="s">
        <v>464</v>
      </c>
      <c r="BT871" s="95" t="s">
        <v>464</v>
      </c>
      <c r="BU871" s="95" t="s">
        <v>1266</v>
      </c>
      <c r="BV871" s="95">
        <v>125</v>
      </c>
      <c r="BW871" s="95">
        <v>220</v>
      </c>
      <c r="BX871" s="95" t="s">
        <v>1287</v>
      </c>
      <c r="BY871" s="95">
        <f t="shared" si="226"/>
        <v>288</v>
      </c>
      <c r="BZ871" s="81">
        <v>68000</v>
      </c>
      <c r="CA871">
        <f t="shared" si="250"/>
        <v>11.127262984158243</v>
      </c>
    </row>
    <row r="872" spans="1:79" x14ac:dyDescent="0.3">
      <c r="A872" s="2" t="s">
        <v>385</v>
      </c>
      <c r="B872" s="18" t="s">
        <v>1063</v>
      </c>
      <c r="C872" s="13"/>
      <c r="D872" s="2">
        <v>3.58</v>
      </c>
      <c r="E872" s="2" t="s">
        <v>401</v>
      </c>
      <c r="F872" s="9">
        <v>-1</v>
      </c>
      <c r="G872">
        <v>-1</v>
      </c>
      <c r="I872" s="2">
        <v>1</v>
      </c>
      <c r="J872" s="25">
        <v>0</v>
      </c>
      <c r="K872">
        <v>0</v>
      </c>
      <c r="L872">
        <v>0</v>
      </c>
      <c r="M872" s="2">
        <v>3.802</v>
      </c>
      <c r="N872" s="2">
        <v>3.802</v>
      </c>
      <c r="O872" s="2">
        <v>24.7</v>
      </c>
      <c r="P872" s="2" t="s">
        <v>439</v>
      </c>
      <c r="Q872" s="2"/>
      <c r="R872" s="25">
        <v>0</v>
      </c>
      <c r="S872" s="25"/>
      <c r="T872" s="25"/>
      <c r="U872">
        <v>0</v>
      </c>
      <c r="X872">
        <v>0</v>
      </c>
      <c r="AA872" s="2"/>
      <c r="AB872">
        <v>20</v>
      </c>
      <c r="AC872" s="55">
        <f t="shared" ref="AC872" si="251">M872*N872*O872</f>
        <v>357.04353880000002</v>
      </c>
      <c r="AD872" s="57">
        <v>0</v>
      </c>
      <c r="AE872" s="55">
        <v>0</v>
      </c>
      <c r="AF872" s="55">
        <v>0</v>
      </c>
      <c r="AG872" s="52">
        <f t="shared" ref="AG872" si="252">I872*AB872/AC872</f>
        <v>5.6015577448113731E-2</v>
      </c>
      <c r="AH872" s="51"/>
      <c r="AI872" s="52"/>
      <c r="AJ872" s="52"/>
      <c r="AK872" s="28">
        <v>1.606060606060606</v>
      </c>
      <c r="AL872" s="28">
        <v>1.545454545454545</v>
      </c>
      <c r="AM872" s="28">
        <v>0.1818181818181818</v>
      </c>
      <c r="AN872" s="28">
        <v>0.2424242424242424</v>
      </c>
      <c r="AO872" s="28">
        <v>0.44915254237288132</v>
      </c>
      <c r="AP872" s="28">
        <v>0.43220338983050849</v>
      </c>
      <c r="AQ872" s="28">
        <v>5.0847457627118647E-2</v>
      </c>
      <c r="AR872" s="28">
        <v>6.7796610169491525E-2</v>
      </c>
      <c r="AS872" s="25">
        <v>1.1399999999999999</v>
      </c>
      <c r="AT872" s="25">
        <v>3.44</v>
      </c>
      <c r="AU872" s="25">
        <v>2.2999999999999998</v>
      </c>
      <c r="AV872" s="25">
        <v>2.51939393939394</v>
      </c>
      <c r="AW872">
        <v>2.51939393939394</v>
      </c>
      <c r="AX872">
        <v>6.5741021946079687</v>
      </c>
      <c r="AY872" s="75"/>
      <c r="AZ872" s="75"/>
      <c r="BA872" s="75"/>
      <c r="BB872">
        <v>2.8007788724056869E-2</v>
      </c>
      <c r="BF872">
        <v>5.6015577448113731E-2</v>
      </c>
      <c r="BG872">
        <v>2.8007788724056869E-2</v>
      </c>
      <c r="BH872">
        <v>0</v>
      </c>
      <c r="BI872" s="79" t="s">
        <v>1264</v>
      </c>
      <c r="BJ872" s="79">
        <v>1273</v>
      </c>
      <c r="BK872" s="79">
        <v>10</v>
      </c>
      <c r="BM872" s="79" t="s">
        <v>1268</v>
      </c>
      <c r="BN872" s="79" t="s">
        <v>863</v>
      </c>
      <c r="BO872" s="79">
        <v>5</v>
      </c>
      <c r="BQ872" s="79">
        <v>0.5</v>
      </c>
      <c r="BR872" s="79">
        <v>1</v>
      </c>
      <c r="BS872" s="95" t="s">
        <v>464</v>
      </c>
      <c r="BT872" s="95" t="s">
        <v>464</v>
      </c>
      <c r="BU872" s="95" t="s">
        <v>1266</v>
      </c>
      <c r="BV872" s="95">
        <v>125</v>
      </c>
      <c r="BW872" s="95">
        <v>220</v>
      </c>
      <c r="BX872" s="95" t="s">
        <v>1287</v>
      </c>
      <c r="BY872" s="95">
        <f t="shared" si="226"/>
        <v>288</v>
      </c>
      <c r="BZ872" s="81">
        <v>44000</v>
      </c>
      <c r="CA872">
        <f t="shared" ref="CA872" si="253">LN(BZ872)</f>
        <v>10.691944912900398</v>
      </c>
    </row>
    <row r="873" spans="1:79" x14ac:dyDescent="0.3">
      <c r="A873" s="2" t="s">
        <v>385</v>
      </c>
      <c r="B873" s="18" t="s">
        <v>1063</v>
      </c>
      <c r="C873" s="13"/>
      <c r="D873" s="2">
        <v>3.58</v>
      </c>
      <c r="E873" s="2" t="s">
        <v>401</v>
      </c>
      <c r="F873" s="9">
        <v>-1</v>
      </c>
      <c r="G873">
        <v>-1</v>
      </c>
      <c r="I873" s="2">
        <v>1</v>
      </c>
      <c r="J873" s="25">
        <v>0</v>
      </c>
      <c r="K873">
        <v>0</v>
      </c>
      <c r="L873">
        <v>0</v>
      </c>
      <c r="M873" s="2">
        <v>3.802</v>
      </c>
      <c r="N873" s="2">
        <v>3.802</v>
      </c>
      <c r="O873" s="2">
        <v>24.7</v>
      </c>
      <c r="P873" s="2" t="s">
        <v>439</v>
      </c>
      <c r="Q873" s="2"/>
      <c r="R873" s="25">
        <v>0</v>
      </c>
      <c r="S873" s="25"/>
      <c r="T873" s="25"/>
      <c r="U873">
        <v>0</v>
      </c>
      <c r="X873">
        <v>0</v>
      </c>
      <c r="AA873" s="2"/>
      <c r="AB873">
        <v>20</v>
      </c>
      <c r="AC873" s="55">
        <f t="shared" ref="AC873" si="254">M873*N873*O873</f>
        <v>357.04353880000002</v>
      </c>
      <c r="AD873" s="57">
        <v>0</v>
      </c>
      <c r="AE873" s="55">
        <v>0</v>
      </c>
      <c r="AF873" s="55">
        <v>0</v>
      </c>
      <c r="AG873" s="52">
        <f t="shared" ref="AG873" si="255">I873*AB873/AC873</f>
        <v>5.6015577448113731E-2</v>
      </c>
      <c r="AH873" s="51"/>
      <c r="AI873" s="52"/>
      <c r="AJ873" s="52"/>
      <c r="AK873" s="28">
        <v>1.606060606060606</v>
      </c>
      <c r="AL873" s="28">
        <v>1.545454545454545</v>
      </c>
      <c r="AM873" s="28">
        <v>0.1818181818181818</v>
      </c>
      <c r="AN873" s="28">
        <v>0.2424242424242424</v>
      </c>
      <c r="AO873" s="28">
        <v>0.44915254237288132</v>
      </c>
      <c r="AP873" s="28">
        <v>0.43220338983050849</v>
      </c>
      <c r="AQ873" s="28">
        <v>5.0847457627118647E-2</v>
      </c>
      <c r="AR873" s="28">
        <v>6.7796610169491525E-2</v>
      </c>
      <c r="AS873" s="25">
        <v>1.1399999999999999</v>
      </c>
      <c r="AT873" s="25">
        <v>3.44</v>
      </c>
      <c r="AU873" s="25">
        <v>2.2999999999999998</v>
      </c>
      <c r="AV873" s="25">
        <v>2.51939393939394</v>
      </c>
      <c r="AW873">
        <v>2.51939393939394</v>
      </c>
      <c r="AX873">
        <v>6.5741021946079687</v>
      </c>
      <c r="AY873" s="75"/>
      <c r="AZ873" s="75"/>
      <c r="BA873" s="75"/>
      <c r="BB873">
        <v>2.8007788724056869E-2</v>
      </c>
      <c r="BF873">
        <v>5.6015577448113731E-2</v>
      </c>
      <c r="BG873">
        <v>2.8007788724056869E-2</v>
      </c>
      <c r="BH873">
        <v>0</v>
      </c>
      <c r="BI873" s="79" t="s">
        <v>1264</v>
      </c>
      <c r="BJ873" s="79">
        <v>1273</v>
      </c>
      <c r="BK873" s="79">
        <v>10</v>
      </c>
      <c r="BM873" s="79" t="s">
        <v>1268</v>
      </c>
      <c r="BN873" s="79" t="s">
        <v>863</v>
      </c>
      <c r="BO873" s="79">
        <v>1</v>
      </c>
      <c r="BQ873" s="79">
        <v>0</v>
      </c>
      <c r="BR873" s="79">
        <v>1</v>
      </c>
      <c r="BS873" s="95" t="s">
        <v>464</v>
      </c>
      <c r="BT873" s="95" t="s">
        <v>464</v>
      </c>
      <c r="BU873" s="95" t="s">
        <v>1266</v>
      </c>
      <c r="BV873" s="95">
        <v>125</v>
      </c>
      <c r="BW873" s="95">
        <v>220</v>
      </c>
      <c r="BX873" s="95" t="s">
        <v>1287</v>
      </c>
      <c r="BY873" s="95">
        <f t="shared" si="226"/>
        <v>288</v>
      </c>
      <c r="BZ873" s="81">
        <v>0</v>
      </c>
      <c r="CA873" t="e">
        <f t="shared" ref="CA873" si="256">LN(BZ873)</f>
        <v>#NUM!</v>
      </c>
    </row>
    <row r="874" spans="1:79" x14ac:dyDescent="0.3">
      <c r="A874" s="2" t="s">
        <v>385</v>
      </c>
      <c r="B874" s="18" t="s">
        <v>1063</v>
      </c>
      <c r="C874" s="13"/>
      <c r="D874" s="2">
        <v>3.58</v>
      </c>
      <c r="E874" s="2" t="s">
        <v>401</v>
      </c>
      <c r="F874" s="9">
        <v>-1</v>
      </c>
      <c r="G874">
        <v>-1</v>
      </c>
      <c r="I874" s="2">
        <v>1</v>
      </c>
      <c r="J874" s="25">
        <v>0</v>
      </c>
      <c r="K874">
        <v>0</v>
      </c>
      <c r="L874">
        <v>0</v>
      </c>
      <c r="M874" s="2">
        <v>3.802</v>
      </c>
      <c r="N874" s="2">
        <v>3.802</v>
      </c>
      <c r="O874" s="2">
        <v>24.7</v>
      </c>
      <c r="P874" s="2" t="s">
        <v>439</v>
      </c>
      <c r="Q874" s="2"/>
      <c r="R874" s="25">
        <v>0</v>
      </c>
      <c r="S874" s="25"/>
      <c r="T874" s="25"/>
      <c r="U874">
        <v>0</v>
      </c>
      <c r="X874">
        <v>0</v>
      </c>
      <c r="AA874" s="2"/>
      <c r="AB874">
        <v>20</v>
      </c>
      <c r="AC874" s="55">
        <f t="shared" ref="AC874" si="257">M874*N874*O874</f>
        <v>357.04353880000002</v>
      </c>
      <c r="AD874" s="57">
        <v>0</v>
      </c>
      <c r="AE874" s="55">
        <v>0</v>
      </c>
      <c r="AF874" s="55">
        <v>0</v>
      </c>
      <c r="AG874" s="52">
        <f t="shared" ref="AG874" si="258">I874*AB874/AC874</f>
        <v>5.6015577448113731E-2</v>
      </c>
      <c r="AH874" s="51"/>
      <c r="AI874" s="52"/>
      <c r="AJ874" s="52"/>
      <c r="AK874" s="28">
        <v>1.606060606060606</v>
      </c>
      <c r="AL874" s="28">
        <v>1.545454545454545</v>
      </c>
      <c r="AM874" s="28">
        <v>0.1818181818181818</v>
      </c>
      <c r="AN874" s="28">
        <v>0.2424242424242424</v>
      </c>
      <c r="AO874" s="28">
        <v>0.44915254237288132</v>
      </c>
      <c r="AP874" s="28">
        <v>0.43220338983050849</v>
      </c>
      <c r="AQ874" s="28">
        <v>5.0847457627118647E-2</v>
      </c>
      <c r="AR874" s="28">
        <v>6.7796610169491525E-2</v>
      </c>
      <c r="AS874" s="25">
        <v>1.1399999999999999</v>
      </c>
      <c r="AT874" s="25">
        <v>3.44</v>
      </c>
      <c r="AU874" s="25">
        <v>2.2999999999999998</v>
      </c>
      <c r="AV874" s="25">
        <v>2.51939393939394</v>
      </c>
      <c r="AW874">
        <v>2.51939393939394</v>
      </c>
      <c r="AX874">
        <v>6.5741021946079687</v>
      </c>
      <c r="AY874" s="75"/>
      <c r="AZ874" s="75"/>
      <c r="BA874" s="75"/>
      <c r="BB874">
        <v>2.8007788724056869E-2</v>
      </c>
      <c r="BF874">
        <v>5.6015577448113731E-2</v>
      </c>
      <c r="BG874">
        <v>2.8007788724056869E-2</v>
      </c>
      <c r="BH874">
        <v>0</v>
      </c>
      <c r="BI874" s="79" t="s">
        <v>1264</v>
      </c>
      <c r="BJ874" s="79">
        <v>1273</v>
      </c>
      <c r="BK874" s="79">
        <v>10</v>
      </c>
      <c r="BM874" s="79" t="s">
        <v>1268</v>
      </c>
      <c r="BN874" s="79" t="s">
        <v>863</v>
      </c>
      <c r="BO874" s="79">
        <v>1</v>
      </c>
      <c r="BQ874" s="79">
        <f>0.008/0.05</f>
        <v>0.16</v>
      </c>
      <c r="BR874" s="79">
        <v>1</v>
      </c>
      <c r="BS874" s="95" t="s">
        <v>464</v>
      </c>
      <c r="BT874" s="95" t="s">
        <v>464</v>
      </c>
      <c r="BU874" s="95" t="s">
        <v>1266</v>
      </c>
      <c r="BV874" s="95">
        <v>125</v>
      </c>
      <c r="BW874" s="95">
        <v>220</v>
      </c>
      <c r="BX874" s="95" t="s">
        <v>1287</v>
      </c>
      <c r="BY874" s="95">
        <f t="shared" si="226"/>
        <v>288</v>
      </c>
      <c r="BZ874" s="81">
        <v>30000</v>
      </c>
      <c r="CA874">
        <f t="shared" ref="CA874" si="259">LN(BZ874)</f>
        <v>10.308952660644293</v>
      </c>
    </row>
    <row r="875" spans="1:79" x14ac:dyDescent="0.3">
      <c r="A875" s="2" t="s">
        <v>385</v>
      </c>
      <c r="B875" s="18" t="s">
        <v>1063</v>
      </c>
      <c r="C875" s="13"/>
      <c r="D875" s="2">
        <v>3.58</v>
      </c>
      <c r="E875" s="2" t="s">
        <v>401</v>
      </c>
      <c r="F875" s="9">
        <v>-1</v>
      </c>
      <c r="G875">
        <v>-1</v>
      </c>
      <c r="I875" s="2">
        <v>1</v>
      </c>
      <c r="J875" s="25">
        <v>0</v>
      </c>
      <c r="K875">
        <v>0</v>
      </c>
      <c r="L875">
        <v>0</v>
      </c>
      <c r="M875" s="2">
        <v>3.802</v>
      </c>
      <c r="N875" s="2">
        <v>3.802</v>
      </c>
      <c r="O875" s="2">
        <v>24.7</v>
      </c>
      <c r="P875" s="2" t="s">
        <v>439</v>
      </c>
      <c r="Q875" s="2"/>
      <c r="R875" s="25">
        <v>0</v>
      </c>
      <c r="S875" s="25"/>
      <c r="T875" s="25"/>
      <c r="U875">
        <v>0</v>
      </c>
      <c r="X875">
        <v>0</v>
      </c>
      <c r="AA875" s="2"/>
      <c r="AB875">
        <v>20</v>
      </c>
      <c r="AC875" s="55">
        <f t="shared" ref="AC875" si="260">M875*N875*O875</f>
        <v>357.04353880000002</v>
      </c>
      <c r="AD875" s="57">
        <v>0</v>
      </c>
      <c r="AE875" s="55">
        <v>0</v>
      </c>
      <c r="AF875" s="55">
        <v>0</v>
      </c>
      <c r="AG875" s="52">
        <f t="shared" ref="AG875" si="261">I875*AB875/AC875</f>
        <v>5.6015577448113731E-2</v>
      </c>
      <c r="AH875" s="51"/>
      <c r="AI875" s="52"/>
      <c r="AJ875" s="52"/>
      <c r="AK875" s="28">
        <v>1.606060606060606</v>
      </c>
      <c r="AL875" s="28">
        <v>1.545454545454545</v>
      </c>
      <c r="AM875" s="28">
        <v>0.1818181818181818</v>
      </c>
      <c r="AN875" s="28">
        <v>0.2424242424242424</v>
      </c>
      <c r="AO875" s="28">
        <v>0.44915254237288132</v>
      </c>
      <c r="AP875" s="28">
        <v>0.43220338983050849</v>
      </c>
      <c r="AQ875" s="28">
        <v>5.0847457627118647E-2</v>
      </c>
      <c r="AR875" s="28">
        <v>6.7796610169491525E-2</v>
      </c>
      <c r="AS875" s="25">
        <v>1.1399999999999999</v>
      </c>
      <c r="AT875" s="25">
        <v>3.44</v>
      </c>
      <c r="AU875" s="25">
        <v>2.2999999999999998</v>
      </c>
      <c r="AV875" s="25">
        <v>2.51939393939394</v>
      </c>
      <c r="AW875">
        <v>2.51939393939394</v>
      </c>
      <c r="AX875">
        <v>6.5741021946079687</v>
      </c>
      <c r="AY875" s="75"/>
      <c r="AZ875" s="75"/>
      <c r="BA875" s="75"/>
      <c r="BB875">
        <v>2.8007788724056869E-2</v>
      </c>
      <c r="BF875">
        <v>5.6015577448113731E-2</v>
      </c>
      <c r="BG875">
        <v>2.8007788724056869E-2</v>
      </c>
      <c r="BH875">
        <v>0</v>
      </c>
      <c r="BI875" s="79" t="s">
        <v>1264</v>
      </c>
      <c r="BJ875" s="79">
        <v>1273</v>
      </c>
      <c r="BK875" s="79">
        <v>10</v>
      </c>
      <c r="BM875" s="79" t="s">
        <v>1268</v>
      </c>
      <c r="BN875" s="79" t="s">
        <v>863</v>
      </c>
      <c r="BO875" s="79">
        <v>1</v>
      </c>
      <c r="BQ875" s="79">
        <f>2*BQ874</f>
        <v>0.32</v>
      </c>
      <c r="BR875" s="79">
        <v>1</v>
      </c>
      <c r="BS875" s="95" t="s">
        <v>464</v>
      </c>
      <c r="BT875" s="95" t="s">
        <v>464</v>
      </c>
      <c r="BU875" s="95" t="s">
        <v>1266</v>
      </c>
      <c r="BV875" s="95">
        <v>125</v>
      </c>
      <c r="BW875" s="95">
        <v>220</v>
      </c>
      <c r="BX875" s="95" t="s">
        <v>1287</v>
      </c>
      <c r="BY875" s="95">
        <f t="shared" si="226"/>
        <v>288</v>
      </c>
      <c r="BZ875" s="81">
        <v>64000</v>
      </c>
      <c r="CA875">
        <f t="shared" ref="CA875" si="262">LN(BZ875)</f>
        <v>11.066638362341809</v>
      </c>
    </row>
    <row r="876" spans="1:79" x14ac:dyDescent="0.3">
      <c r="A876" s="2" t="s">
        <v>385</v>
      </c>
      <c r="B876" s="18" t="s">
        <v>1063</v>
      </c>
      <c r="C876" s="13"/>
      <c r="D876" s="2">
        <v>3.58</v>
      </c>
      <c r="E876" s="2" t="s">
        <v>401</v>
      </c>
      <c r="F876" s="9">
        <v>-1</v>
      </c>
      <c r="G876">
        <v>-1</v>
      </c>
      <c r="I876" s="2">
        <v>1</v>
      </c>
      <c r="J876" s="25">
        <v>0</v>
      </c>
      <c r="K876">
        <v>0</v>
      </c>
      <c r="L876">
        <v>0</v>
      </c>
      <c r="M876" s="2">
        <v>3.802</v>
      </c>
      <c r="N876" s="2">
        <v>3.802</v>
      </c>
      <c r="O876" s="2">
        <v>24.7</v>
      </c>
      <c r="P876" s="2" t="s">
        <v>439</v>
      </c>
      <c r="Q876" s="2"/>
      <c r="R876" s="25">
        <v>0</v>
      </c>
      <c r="S876" s="25"/>
      <c r="T876" s="25"/>
      <c r="U876">
        <v>0</v>
      </c>
      <c r="X876">
        <v>0</v>
      </c>
      <c r="AA876" s="2"/>
      <c r="AB876">
        <v>20</v>
      </c>
      <c r="AC876" s="55">
        <f t="shared" ref="AC876" si="263">M876*N876*O876</f>
        <v>357.04353880000002</v>
      </c>
      <c r="AD876" s="57">
        <v>0</v>
      </c>
      <c r="AE876" s="55">
        <v>0</v>
      </c>
      <c r="AF876" s="55">
        <v>0</v>
      </c>
      <c r="AG876" s="52">
        <f t="shared" ref="AG876" si="264">I876*AB876/AC876</f>
        <v>5.6015577448113731E-2</v>
      </c>
      <c r="AH876" s="51"/>
      <c r="AI876" s="52"/>
      <c r="AJ876" s="52"/>
      <c r="AK876" s="28">
        <v>1.606060606060606</v>
      </c>
      <c r="AL876" s="28">
        <v>1.545454545454545</v>
      </c>
      <c r="AM876" s="28">
        <v>0.1818181818181818</v>
      </c>
      <c r="AN876" s="28">
        <v>0.2424242424242424</v>
      </c>
      <c r="AO876" s="28">
        <v>0.44915254237288132</v>
      </c>
      <c r="AP876" s="28">
        <v>0.43220338983050849</v>
      </c>
      <c r="AQ876" s="28">
        <v>5.0847457627118647E-2</v>
      </c>
      <c r="AR876" s="28">
        <v>6.7796610169491525E-2</v>
      </c>
      <c r="AS876" s="25">
        <v>1.1399999999999999</v>
      </c>
      <c r="AT876" s="25">
        <v>3.44</v>
      </c>
      <c r="AU876" s="25">
        <v>2.2999999999999998</v>
      </c>
      <c r="AV876" s="25">
        <v>2.51939393939394</v>
      </c>
      <c r="AW876">
        <v>2.51939393939394</v>
      </c>
      <c r="AX876">
        <v>6.5741021946079687</v>
      </c>
      <c r="AY876" s="75"/>
      <c r="AZ876" s="75"/>
      <c r="BA876" s="75"/>
      <c r="BB876">
        <v>2.8007788724056869E-2</v>
      </c>
      <c r="BF876">
        <v>5.6015577448113731E-2</v>
      </c>
      <c r="BG876">
        <v>2.8007788724056869E-2</v>
      </c>
      <c r="BH876">
        <v>0</v>
      </c>
      <c r="BI876" s="79" t="s">
        <v>1264</v>
      </c>
      <c r="BJ876" s="79">
        <v>1273</v>
      </c>
      <c r="BK876" s="79">
        <v>10</v>
      </c>
      <c r="BM876" s="79" t="s">
        <v>1268</v>
      </c>
      <c r="BN876" s="79" t="s">
        <v>863</v>
      </c>
      <c r="BO876" s="79">
        <v>1</v>
      </c>
      <c r="BQ876" s="79">
        <f>0.05/0.05</f>
        <v>1</v>
      </c>
      <c r="BR876" s="79">
        <v>1</v>
      </c>
      <c r="BS876" s="95" t="s">
        <v>464</v>
      </c>
      <c r="BT876" s="95" t="s">
        <v>464</v>
      </c>
      <c r="BU876" s="95" t="s">
        <v>1266</v>
      </c>
      <c r="BV876" s="95">
        <v>125</v>
      </c>
      <c r="BW876" s="95">
        <v>220</v>
      </c>
      <c r="BX876" s="95" t="s">
        <v>1287</v>
      </c>
      <c r="BY876" s="95">
        <f t="shared" si="226"/>
        <v>288</v>
      </c>
      <c r="BZ876" s="81">
        <v>88000</v>
      </c>
      <c r="CA876">
        <f t="shared" ref="CA876" si="265">LN(BZ876)</f>
        <v>11.385092093460344</v>
      </c>
    </row>
    <row r="877" spans="1:79" x14ac:dyDescent="0.3">
      <c r="A877" s="2" t="s">
        <v>385</v>
      </c>
      <c r="B877" s="18" t="s">
        <v>1063</v>
      </c>
      <c r="C877" s="13"/>
      <c r="D877" s="2">
        <v>3.58</v>
      </c>
      <c r="E877" s="2" t="s">
        <v>401</v>
      </c>
      <c r="F877" s="9">
        <v>-1</v>
      </c>
      <c r="G877">
        <v>-1</v>
      </c>
      <c r="I877" s="2">
        <v>1</v>
      </c>
      <c r="J877" s="25">
        <v>0</v>
      </c>
      <c r="K877">
        <v>0</v>
      </c>
      <c r="L877">
        <v>0</v>
      </c>
      <c r="M877" s="2">
        <v>3.802</v>
      </c>
      <c r="N877" s="2">
        <v>3.802</v>
      </c>
      <c r="O877" s="2">
        <v>24.7</v>
      </c>
      <c r="P877" s="2" t="s">
        <v>439</v>
      </c>
      <c r="Q877" s="2"/>
      <c r="R877" s="25">
        <v>0</v>
      </c>
      <c r="S877" s="25"/>
      <c r="T877" s="25"/>
      <c r="U877">
        <v>0</v>
      </c>
      <c r="X877">
        <v>0</v>
      </c>
      <c r="AA877" s="2"/>
      <c r="AB877">
        <v>20</v>
      </c>
      <c r="AC877" s="55">
        <f t="shared" ref="AC877" si="266">M877*N877*O877</f>
        <v>357.04353880000002</v>
      </c>
      <c r="AD877" s="57">
        <v>0</v>
      </c>
      <c r="AE877" s="55">
        <v>0</v>
      </c>
      <c r="AF877" s="55">
        <v>0</v>
      </c>
      <c r="AG877" s="52">
        <f t="shared" ref="AG877" si="267">I877*AB877/AC877</f>
        <v>5.6015577448113731E-2</v>
      </c>
      <c r="AH877" s="51"/>
      <c r="AI877" s="52"/>
      <c r="AJ877" s="52"/>
      <c r="AK877" s="28">
        <v>1.606060606060606</v>
      </c>
      <c r="AL877" s="28">
        <v>1.545454545454545</v>
      </c>
      <c r="AM877" s="28">
        <v>0.1818181818181818</v>
      </c>
      <c r="AN877" s="28">
        <v>0.2424242424242424</v>
      </c>
      <c r="AO877" s="28">
        <v>0.44915254237288132</v>
      </c>
      <c r="AP877" s="28">
        <v>0.43220338983050849</v>
      </c>
      <c r="AQ877" s="28">
        <v>5.0847457627118647E-2</v>
      </c>
      <c r="AR877" s="28">
        <v>6.7796610169491525E-2</v>
      </c>
      <c r="AS877" s="25">
        <v>1.1399999999999999</v>
      </c>
      <c r="AT877" s="25">
        <v>3.44</v>
      </c>
      <c r="AU877" s="25">
        <v>2.2999999999999998</v>
      </c>
      <c r="AV877" s="25">
        <v>2.51939393939394</v>
      </c>
      <c r="AW877">
        <v>2.51939393939394</v>
      </c>
      <c r="AX877">
        <v>6.5741021946079687</v>
      </c>
      <c r="AY877" s="75"/>
      <c r="AZ877" s="75"/>
      <c r="BA877" s="75"/>
      <c r="BB877">
        <v>2.8007788724056869E-2</v>
      </c>
      <c r="BF877">
        <v>5.6015577448113731E-2</v>
      </c>
      <c r="BG877">
        <v>2.8007788724056869E-2</v>
      </c>
      <c r="BH877">
        <v>0</v>
      </c>
      <c r="BI877" s="79" t="s">
        <v>1264</v>
      </c>
      <c r="BJ877" s="79">
        <v>1273</v>
      </c>
      <c r="BK877" s="79">
        <v>10</v>
      </c>
      <c r="BM877" s="79" t="s">
        <v>1268</v>
      </c>
      <c r="BN877" s="79" t="s">
        <v>863</v>
      </c>
      <c r="BO877" s="79">
        <v>1</v>
      </c>
      <c r="BQ877" s="79">
        <f>2</f>
        <v>2</v>
      </c>
      <c r="BR877" s="79">
        <v>1</v>
      </c>
      <c r="BS877" s="95" t="s">
        <v>464</v>
      </c>
      <c r="BT877" s="95" t="s">
        <v>464</v>
      </c>
      <c r="BU877" s="95" t="s">
        <v>1266</v>
      </c>
      <c r="BV877" s="95">
        <v>125</v>
      </c>
      <c r="BW877" s="95">
        <v>220</v>
      </c>
      <c r="BX877" s="95" t="s">
        <v>1287</v>
      </c>
      <c r="BY877" s="95">
        <f t="shared" si="226"/>
        <v>288</v>
      </c>
      <c r="BZ877" s="81">
        <v>84000</v>
      </c>
      <c r="CA877">
        <f t="shared" ref="CA877:CA940" si="268">LN(BZ877)</f>
        <v>11.33857207782545</v>
      </c>
    </row>
    <row r="878" spans="1:79" x14ac:dyDescent="0.3">
      <c r="A878" s="2" t="s">
        <v>51</v>
      </c>
      <c r="B878" s="13" t="s">
        <v>703</v>
      </c>
      <c r="C878" s="13"/>
      <c r="D878" s="2">
        <v>5.5</v>
      </c>
      <c r="E878" s="2" t="s">
        <v>52</v>
      </c>
      <c r="F878" s="70" t="s">
        <v>536</v>
      </c>
      <c r="G878" t="s">
        <v>617</v>
      </c>
      <c r="I878" s="2"/>
      <c r="J878" s="25">
        <v>1</v>
      </c>
      <c r="K878">
        <v>4</v>
      </c>
      <c r="L878">
        <v>0</v>
      </c>
      <c r="M878" s="2">
        <v>-1</v>
      </c>
      <c r="N878" s="2"/>
      <c r="O878" s="2"/>
      <c r="P878" s="2"/>
      <c r="Q878" s="2"/>
      <c r="R878" s="25">
        <v>12.88926011</v>
      </c>
      <c r="S878" s="25">
        <v>12.88926011</v>
      </c>
      <c r="T878" s="25">
        <v>12.88926011</v>
      </c>
      <c r="U878">
        <v>5.5223699999999996</v>
      </c>
      <c r="V878">
        <v>5.5240799999999997</v>
      </c>
      <c r="W878">
        <v>25.026399999999999</v>
      </c>
      <c r="X878">
        <v>0</v>
      </c>
      <c r="AA878" s="2"/>
      <c r="AB878">
        <v>18</v>
      </c>
      <c r="AC878" s="55">
        <f t="shared" si="223"/>
        <v>0</v>
      </c>
      <c r="AD878" s="57">
        <v>195.03203980213701</v>
      </c>
      <c r="AE878" s="55">
        <v>763.45570050087724</v>
      </c>
      <c r="AF878" s="55">
        <v>0</v>
      </c>
      <c r="AG878" s="52"/>
      <c r="AH878" s="51">
        <v>9.2292528029042184E-2</v>
      </c>
      <c r="AI878" s="52">
        <v>9.4308025930991482E-2</v>
      </c>
      <c r="AJ878" s="52"/>
      <c r="AK878" s="28">
        <v>2</v>
      </c>
      <c r="AL878" s="28">
        <v>3</v>
      </c>
      <c r="AM878" s="28">
        <v>1.857142857142857</v>
      </c>
      <c r="AN878" s="28">
        <v>4</v>
      </c>
      <c r="AO878" s="28">
        <v>0.18421052631578949</v>
      </c>
      <c r="AP878" s="28">
        <v>0.27631578947368418</v>
      </c>
      <c r="AQ878" s="28">
        <v>0.1710526315789474</v>
      </c>
      <c r="AR878" s="28">
        <v>0.36842105263157893</v>
      </c>
      <c r="AS878" s="25">
        <v>0.95</v>
      </c>
      <c r="AT878" s="25">
        <v>3.44</v>
      </c>
      <c r="AU878" s="25">
        <v>2.4900000000000002</v>
      </c>
      <c r="AV878" s="25">
        <v>2.782142857142857</v>
      </c>
      <c r="AW878">
        <v>2.7821428571428579</v>
      </c>
      <c r="AX878">
        <v>6.2021612289285706</v>
      </c>
      <c r="AY878" s="75">
        <v>0.52524560229640982</v>
      </c>
      <c r="AZ878" s="75">
        <v>0.53671599358424449</v>
      </c>
      <c r="BA878" s="75"/>
      <c r="BC878">
        <v>4.6146264014521092E-2</v>
      </c>
      <c r="BD878">
        <v>4.7154012965495741E-2</v>
      </c>
      <c r="BF878">
        <v>9.3300276980016833E-2</v>
      </c>
      <c r="BG878">
        <v>4.6650138490008423E-2</v>
      </c>
      <c r="BH878">
        <v>0.53098079794032715</v>
      </c>
      <c r="BS878" s="79" t="s">
        <v>464</v>
      </c>
      <c r="BT878" s="79" t="s">
        <v>464</v>
      </c>
      <c r="CA878" t="e">
        <f t="shared" si="268"/>
        <v>#NUM!</v>
      </c>
    </row>
    <row r="879" spans="1:79" x14ac:dyDescent="0.3">
      <c r="A879" s="2" t="s">
        <v>403</v>
      </c>
      <c r="B879" s="17" t="s">
        <v>956</v>
      </c>
      <c r="C879" s="13"/>
      <c r="D879" s="2">
        <v>3.76</v>
      </c>
      <c r="E879" s="2" t="s">
        <v>402</v>
      </c>
      <c r="F879" s="9">
        <v>-1</v>
      </c>
      <c r="G879">
        <v>-1</v>
      </c>
      <c r="I879" s="2">
        <v>2</v>
      </c>
      <c r="J879" s="25">
        <v>0</v>
      </c>
      <c r="K879">
        <v>0</v>
      </c>
      <c r="L879">
        <v>0</v>
      </c>
      <c r="M879" s="2">
        <v>3.9</v>
      </c>
      <c r="N879" s="2">
        <v>3.9</v>
      </c>
      <c r="O879" s="2">
        <f>15.91*2</f>
        <v>31.82</v>
      </c>
      <c r="P879" s="2"/>
      <c r="Q879" s="2"/>
      <c r="R879" s="25">
        <v>0</v>
      </c>
      <c r="S879" s="25"/>
      <c r="T879" s="25"/>
      <c r="U879">
        <v>0</v>
      </c>
      <c r="X879">
        <v>0</v>
      </c>
      <c r="AA879" s="2"/>
      <c r="AB879">
        <v>20</v>
      </c>
      <c r="AC879" s="55">
        <f t="shared" si="223"/>
        <v>483.98219999999998</v>
      </c>
      <c r="AD879" s="57">
        <v>0</v>
      </c>
      <c r="AE879" s="55">
        <v>0</v>
      </c>
      <c r="AF879" s="55">
        <v>0</v>
      </c>
      <c r="AG879" s="52">
        <f>I879*AB879/AC879</f>
        <v>8.2647667620833989E-2</v>
      </c>
      <c r="AH879" s="51"/>
      <c r="AI879" s="52"/>
      <c r="AJ879" s="52"/>
      <c r="AK879" s="28">
        <v>1.882352941176471</v>
      </c>
      <c r="AL879" s="28">
        <v>2.3529411764705879</v>
      </c>
      <c r="AM879" s="28">
        <v>0.43529411764705878</v>
      </c>
      <c r="AN879" s="28">
        <v>0.82352941176470584</v>
      </c>
      <c r="AO879" s="28">
        <v>0.34261241970021411</v>
      </c>
      <c r="AP879" s="28">
        <v>0.42826552462526768</v>
      </c>
      <c r="AQ879" s="28">
        <v>7.922912205567452E-2</v>
      </c>
      <c r="AR879" s="28">
        <v>0.1498929336188437</v>
      </c>
      <c r="AS879" s="25">
        <v>0.82</v>
      </c>
      <c r="AT879" s="25">
        <v>3.44</v>
      </c>
      <c r="AU879" s="25">
        <v>2.62</v>
      </c>
      <c r="AV879" s="25">
        <v>2.5324117647058819</v>
      </c>
      <c r="AW879">
        <v>2.532941176470588</v>
      </c>
      <c r="AX879">
        <v>5.690008021176471</v>
      </c>
      <c r="AY879" s="75"/>
      <c r="AZ879" s="75"/>
      <c r="BA879" s="75"/>
      <c r="BB879">
        <v>4.1323833810416988E-2</v>
      </c>
      <c r="BF879">
        <v>8.2647667620833989E-2</v>
      </c>
      <c r="BG879">
        <v>4.1323833810416988E-2</v>
      </c>
      <c r="BH879">
        <v>0</v>
      </c>
      <c r="BS879" s="79" t="s">
        <v>464</v>
      </c>
      <c r="BT879" s="79" t="s">
        <v>464</v>
      </c>
      <c r="CA879" t="e">
        <f t="shared" si="268"/>
        <v>#NUM!</v>
      </c>
    </row>
    <row r="880" spans="1:79" x14ac:dyDescent="0.3">
      <c r="A880" s="2" t="s">
        <v>404</v>
      </c>
      <c r="B880" s="33" t="s">
        <v>957</v>
      </c>
      <c r="C880" s="34"/>
      <c r="D880" s="2">
        <v>3.88</v>
      </c>
      <c r="E880" s="2" t="s">
        <v>402</v>
      </c>
      <c r="F880" s="35">
        <v>-1</v>
      </c>
      <c r="G880" s="2">
        <v>-1</v>
      </c>
      <c r="H880" s="2"/>
      <c r="I880" s="2">
        <v>2</v>
      </c>
      <c r="J880" s="29">
        <v>0</v>
      </c>
      <c r="K880">
        <v>0</v>
      </c>
      <c r="L880">
        <v>0</v>
      </c>
      <c r="M880" s="2">
        <v>3.8050000000000002</v>
      </c>
      <c r="N880" s="2">
        <v>3.8050000000000002</v>
      </c>
      <c r="O880" s="2">
        <v>27.44</v>
      </c>
      <c r="P880" s="2" t="s">
        <v>1131</v>
      </c>
      <c r="Q880" s="2"/>
      <c r="R880" s="29">
        <v>0</v>
      </c>
      <c r="S880" s="29"/>
      <c r="T880" s="29"/>
      <c r="U880">
        <v>0</v>
      </c>
      <c r="X880">
        <v>0</v>
      </c>
      <c r="AA880" s="2"/>
      <c r="AB880" s="2">
        <v>20</v>
      </c>
      <c r="AC880" s="55">
        <f t="shared" si="223"/>
        <v>397.27700600000003</v>
      </c>
      <c r="AD880" s="57">
        <v>0</v>
      </c>
      <c r="AE880" s="55">
        <v>0</v>
      </c>
      <c r="AF880" s="55">
        <v>0</v>
      </c>
      <c r="AG880" s="52">
        <f>I880*AB880/AC880</f>
        <v>0.10068541444857747</v>
      </c>
      <c r="AH880" s="51"/>
      <c r="AI880" s="52"/>
      <c r="AJ880" s="52"/>
      <c r="AK880" s="2">
        <v>1.882352941176471</v>
      </c>
      <c r="AL880" s="2">
        <v>2.3529411764705879</v>
      </c>
      <c r="AM880" s="2">
        <v>0.43529411764705878</v>
      </c>
      <c r="AN880" s="2">
        <v>0.82352941176470584</v>
      </c>
      <c r="AO880" s="2">
        <v>0.34261241970021411</v>
      </c>
      <c r="AP880" s="2">
        <v>0.42826552462526768</v>
      </c>
      <c r="AQ880" s="2">
        <v>7.922912205567452E-2</v>
      </c>
      <c r="AR880" s="2">
        <v>0.1498929336188437</v>
      </c>
      <c r="AS880" s="29">
        <v>1.1850000000000001</v>
      </c>
      <c r="AT880" s="29">
        <v>3.44</v>
      </c>
      <c r="AU880" s="29">
        <v>2.2549999999999999</v>
      </c>
      <c r="AV880" s="29">
        <v>2.6947647058823532</v>
      </c>
      <c r="AW880" s="2">
        <v>2.6952941176470588</v>
      </c>
      <c r="AX880" s="2">
        <v>6.2494732999824709</v>
      </c>
      <c r="AY880" s="75"/>
      <c r="AZ880" s="75"/>
      <c r="BA880" s="75"/>
      <c r="BB880">
        <v>5.0342707224288727E-2</v>
      </c>
      <c r="BF880">
        <v>0.1006854144485775</v>
      </c>
      <c r="BG880">
        <v>5.0342707224288727E-2</v>
      </c>
      <c r="BH880">
        <v>0</v>
      </c>
      <c r="BS880" s="79" t="s">
        <v>464</v>
      </c>
      <c r="BT880" s="79" t="s">
        <v>464</v>
      </c>
      <c r="CA880" t="e">
        <f t="shared" si="268"/>
        <v>#NUM!</v>
      </c>
    </row>
    <row r="881" spans="1:79" x14ac:dyDescent="0.3">
      <c r="A881" s="2" t="s">
        <v>405</v>
      </c>
      <c r="B881" s="17" t="s">
        <v>958</v>
      </c>
      <c r="C881" s="13"/>
      <c r="D881" s="2">
        <v>4.51</v>
      </c>
      <c r="E881" s="2" t="s">
        <v>402</v>
      </c>
      <c r="F881" s="9">
        <v>-1</v>
      </c>
      <c r="G881">
        <v>-1</v>
      </c>
      <c r="H881" s="1" t="s">
        <v>1184</v>
      </c>
      <c r="I881" s="2"/>
      <c r="J881" s="25">
        <v>0</v>
      </c>
      <c r="K881">
        <v>0</v>
      </c>
      <c r="L881">
        <v>0</v>
      </c>
      <c r="M881" s="2">
        <v>-1</v>
      </c>
      <c r="N881" s="2"/>
      <c r="O881" s="2"/>
      <c r="P881" s="2"/>
      <c r="Q881" s="2"/>
      <c r="R881" s="25">
        <v>0</v>
      </c>
      <c r="S881" s="25"/>
      <c r="T881" s="25"/>
      <c r="U881">
        <v>0</v>
      </c>
      <c r="X881">
        <v>0</v>
      </c>
      <c r="AA881" s="2"/>
      <c r="AB881">
        <v>14</v>
      </c>
      <c r="AC881" s="55">
        <f t="shared" si="223"/>
        <v>0</v>
      </c>
      <c r="AD881" s="57">
        <v>0</v>
      </c>
      <c r="AE881" s="55">
        <v>0</v>
      </c>
      <c r="AF881" s="55">
        <v>0</v>
      </c>
      <c r="AG881" s="52"/>
      <c r="AH881" s="51"/>
      <c r="AI881" s="52"/>
      <c r="AJ881" s="52"/>
      <c r="AK881" s="28">
        <v>1.9090909090909089</v>
      </c>
      <c r="AL881" s="28">
        <v>2.545454545454545</v>
      </c>
      <c r="AM881" s="28">
        <v>0.60909090909090913</v>
      </c>
      <c r="AN881" s="28">
        <v>2.790909090909091</v>
      </c>
      <c r="AO881" s="28">
        <v>0.24305555555555561</v>
      </c>
      <c r="AP881" s="28">
        <v>0.32407407407407413</v>
      </c>
      <c r="AQ881" s="28">
        <v>7.7546296296296308E-2</v>
      </c>
      <c r="AR881" s="28">
        <v>0.35532407407407413</v>
      </c>
      <c r="AS881" s="25">
        <v>0.82</v>
      </c>
      <c r="AT881" s="25">
        <v>3.44</v>
      </c>
      <c r="AU881" s="25">
        <v>2.62</v>
      </c>
      <c r="AV881" s="25">
        <v>2.6393636363636359</v>
      </c>
      <c r="AW881">
        <v>2.6363636363636358</v>
      </c>
      <c r="AX881">
        <v>6.0025089159090914</v>
      </c>
      <c r="AY881" s="75"/>
      <c r="AZ881" s="75"/>
      <c r="BA881" s="75"/>
      <c r="BF881">
        <v>0</v>
      </c>
      <c r="BG881">
        <v>0</v>
      </c>
      <c r="BH881">
        <v>0</v>
      </c>
      <c r="BS881" s="79" t="s">
        <v>464</v>
      </c>
      <c r="BT881" s="79" t="s">
        <v>464</v>
      </c>
      <c r="CA881" t="e">
        <f t="shared" si="268"/>
        <v>#NUM!</v>
      </c>
    </row>
    <row r="882" spans="1:79" x14ac:dyDescent="0.3">
      <c r="A882" s="2" t="s">
        <v>1190</v>
      </c>
      <c r="B882" s="33" t="s">
        <v>959</v>
      </c>
      <c r="C882" s="34"/>
      <c r="D882" s="2">
        <v>5.4</v>
      </c>
      <c r="E882" s="2" t="s">
        <v>402</v>
      </c>
      <c r="F882" s="35">
        <v>-1</v>
      </c>
      <c r="G882" s="2">
        <v>-1</v>
      </c>
      <c r="H882" s="2" t="s">
        <v>1164</v>
      </c>
      <c r="I882" s="2"/>
      <c r="J882" s="29">
        <v>0</v>
      </c>
      <c r="K882">
        <v>0</v>
      </c>
      <c r="L882">
        <v>1</v>
      </c>
      <c r="M882" s="2">
        <v>3.89</v>
      </c>
      <c r="N882" s="2">
        <v>3.89</v>
      </c>
      <c r="O882" s="2">
        <v>10.34</v>
      </c>
      <c r="P882" s="2" t="s">
        <v>440</v>
      </c>
      <c r="Q882" s="2"/>
      <c r="R882" s="29">
        <v>0</v>
      </c>
      <c r="S882" s="29"/>
      <c r="T882" s="29"/>
      <c r="U882">
        <v>0</v>
      </c>
      <c r="X882">
        <v>3.88</v>
      </c>
      <c r="Y882">
        <v>3.88</v>
      </c>
      <c r="Z882">
        <v>10.66</v>
      </c>
      <c r="AA882" s="2"/>
      <c r="AB882" s="2">
        <v>14</v>
      </c>
      <c r="AC882" s="55">
        <f t="shared" si="223"/>
        <v>156.465914</v>
      </c>
      <c r="AD882" s="57">
        <v>0</v>
      </c>
      <c r="AE882" s="55">
        <v>0</v>
      </c>
      <c r="AF882" s="55">
        <v>160.479904</v>
      </c>
      <c r="AG882" s="52"/>
      <c r="AH882" s="51"/>
      <c r="AI882" s="52"/>
      <c r="AJ882" s="67">
        <f>L882*AB882/AF882</f>
        <v>8.7238337331009372E-2</v>
      </c>
      <c r="AK882" s="2">
        <v>2</v>
      </c>
      <c r="AL882" s="2">
        <v>2.8</v>
      </c>
      <c r="AM882" s="2">
        <v>0.67</v>
      </c>
      <c r="AN882" s="2">
        <v>3.07</v>
      </c>
      <c r="AO882" s="2">
        <v>0.23419203747072601</v>
      </c>
      <c r="AP882" s="2">
        <v>0.32786885245901642</v>
      </c>
      <c r="AQ882" s="2">
        <v>7.8454332552693226E-2</v>
      </c>
      <c r="AR882" s="2">
        <v>0.35948477751756441</v>
      </c>
      <c r="AS882" s="29">
        <v>1.1000000000000001</v>
      </c>
      <c r="AT882" s="29">
        <v>3.44</v>
      </c>
      <c r="AU882" s="29">
        <v>2.34</v>
      </c>
      <c r="AV882" s="29">
        <v>2.8212999999999999</v>
      </c>
      <c r="AW882" s="2">
        <v>2.8180000000000001</v>
      </c>
      <c r="AX882" s="2">
        <v>6.3696075919999986</v>
      </c>
      <c r="AY882" s="75"/>
      <c r="AZ882" s="75"/>
      <c r="BA882" s="75">
        <v>0</v>
      </c>
      <c r="BE882">
        <v>4.3619168665504693E-2</v>
      </c>
      <c r="BF882">
        <v>8.7238337331009372E-2</v>
      </c>
      <c r="BG882">
        <v>4.3619168665504693E-2</v>
      </c>
      <c r="BH882">
        <v>0</v>
      </c>
      <c r="BS882" s="79" t="s">
        <v>464</v>
      </c>
      <c r="BT882" s="79" t="s">
        <v>464</v>
      </c>
      <c r="CA882" t="e">
        <f t="shared" si="268"/>
        <v>#NUM!</v>
      </c>
    </row>
    <row r="883" spans="1:79" x14ac:dyDescent="0.3">
      <c r="A883" s="2" t="s">
        <v>406</v>
      </c>
      <c r="B883" s="17" t="s">
        <v>960</v>
      </c>
      <c r="C883" s="13"/>
      <c r="D883" s="2">
        <v>0.01</v>
      </c>
      <c r="E883" s="2" t="s">
        <v>408</v>
      </c>
      <c r="F883" s="9">
        <v>-1</v>
      </c>
      <c r="G883">
        <v>4101345</v>
      </c>
      <c r="I883" s="2"/>
      <c r="J883" s="25">
        <v>0</v>
      </c>
      <c r="K883">
        <v>2</v>
      </c>
      <c r="L883">
        <v>2</v>
      </c>
      <c r="M883" s="2">
        <v>5.3959999999999999</v>
      </c>
      <c r="N883" s="2">
        <v>5.4489999999999998</v>
      </c>
      <c r="O883" s="2">
        <v>20.521999999999998</v>
      </c>
      <c r="P883" s="2" t="s">
        <v>1135</v>
      </c>
      <c r="Q883" s="2"/>
      <c r="R883" s="25">
        <v>0</v>
      </c>
      <c r="S883" s="25"/>
      <c r="T883" s="25"/>
      <c r="U883">
        <v>3.9685999999999999</v>
      </c>
      <c r="V883">
        <v>3.9685999999999999</v>
      </c>
      <c r="W883">
        <v>19.3154</v>
      </c>
      <c r="X883">
        <v>0</v>
      </c>
      <c r="AA883" s="2"/>
      <c r="AB883">
        <v>13.84</v>
      </c>
      <c r="AC883" s="55">
        <f t="shared" si="223"/>
        <v>603.40434368799993</v>
      </c>
      <c r="AD883" s="57">
        <v>0</v>
      </c>
      <c r="AE883" s="55">
        <v>0</v>
      </c>
      <c r="AF883" s="55">
        <v>304.20999999999998</v>
      </c>
      <c r="AG883" s="52"/>
      <c r="AH883" s="51"/>
      <c r="AI883" s="52"/>
      <c r="AJ883" s="67">
        <f>L883*AB883/AF883</f>
        <v>9.0989776798921798E-2</v>
      </c>
      <c r="AK883" s="28">
        <v>2</v>
      </c>
      <c r="AL883" s="28">
        <v>2.3221476510067109</v>
      </c>
      <c r="AM883" s="28">
        <v>1.593959731543624</v>
      </c>
      <c r="AN883" s="28">
        <v>0</v>
      </c>
      <c r="AO883" s="28">
        <v>0.33806012478729441</v>
      </c>
      <c r="AP883" s="28">
        <v>0.39251276233692572</v>
      </c>
      <c r="AQ883" s="28">
        <v>0.26942711287577992</v>
      </c>
      <c r="AR883" s="28">
        <v>0</v>
      </c>
      <c r="AS883" s="25">
        <v>1.1000000000000001</v>
      </c>
      <c r="AT883" s="25">
        <v>3.44</v>
      </c>
      <c r="AU883" s="25">
        <v>2.34</v>
      </c>
      <c r="AV883" s="25">
        <v>2.5943624161073831</v>
      </c>
      <c r="AW883">
        <v>2.5943624161073831</v>
      </c>
      <c r="AX883">
        <v>5.8869633505033558</v>
      </c>
      <c r="AY883" s="75"/>
      <c r="AZ883" s="75">
        <v>0.46352185946891089</v>
      </c>
      <c r="BA883" s="75"/>
      <c r="BD883" t="s">
        <v>459</v>
      </c>
      <c r="BE883">
        <v>4.5494888399460899E-2</v>
      </c>
      <c r="BF883">
        <v>9.0989776798921798E-2</v>
      </c>
      <c r="BG883" t="s">
        <v>459</v>
      </c>
      <c r="BH883">
        <v>0.46352185946891089</v>
      </c>
      <c r="BS883" s="79" t="s">
        <v>464</v>
      </c>
      <c r="BT883" s="79" t="s">
        <v>464</v>
      </c>
      <c r="CA883" t="e">
        <f t="shared" si="268"/>
        <v>#NUM!</v>
      </c>
    </row>
    <row r="884" spans="1:79" x14ac:dyDescent="0.3">
      <c r="A884" s="2" t="s">
        <v>407</v>
      </c>
      <c r="B884" s="17" t="s">
        <v>961</v>
      </c>
      <c r="C884" s="13"/>
      <c r="D884" s="2">
        <v>0.15</v>
      </c>
      <c r="E884" s="2" t="s">
        <v>408</v>
      </c>
      <c r="F884" s="9">
        <v>-1</v>
      </c>
      <c r="G884" t="s">
        <v>673</v>
      </c>
      <c r="I884" s="2"/>
      <c r="J884" s="25">
        <v>0</v>
      </c>
      <c r="K884">
        <v>2</v>
      </c>
      <c r="L884">
        <v>2</v>
      </c>
      <c r="M884" s="2">
        <v>5.484</v>
      </c>
      <c r="N884" s="2">
        <v>5.4790000000000001</v>
      </c>
      <c r="O884" s="2">
        <v>20.064</v>
      </c>
      <c r="P884" s="2" t="s">
        <v>1135</v>
      </c>
      <c r="Q884" s="2"/>
      <c r="R884" s="25">
        <v>0</v>
      </c>
      <c r="S884" s="25"/>
      <c r="T884" s="25"/>
      <c r="U884">
        <v>3.9685999999999999</v>
      </c>
      <c r="V884">
        <v>3.9685999999999999</v>
      </c>
      <c r="W884">
        <v>19.3154</v>
      </c>
      <c r="X884">
        <v>0</v>
      </c>
      <c r="AA884" s="2"/>
      <c r="AB884">
        <v>12.7</v>
      </c>
      <c r="AC884" s="55">
        <f t="shared" si="223"/>
        <v>602.85971750399995</v>
      </c>
      <c r="AD884" s="57">
        <v>0</v>
      </c>
      <c r="AE884" s="55">
        <v>304.21341573178398</v>
      </c>
      <c r="AF884" s="55"/>
      <c r="AG884" s="52"/>
      <c r="AH884" s="51"/>
      <c r="AI884" s="52">
        <v>9.098875515866349E-2</v>
      </c>
      <c r="AJ884" s="52"/>
      <c r="AK884" s="28">
        <v>2</v>
      </c>
      <c r="AL884" s="28">
        <v>2.2378854625550662</v>
      </c>
      <c r="AM884" s="28">
        <v>1.6740088105726869</v>
      </c>
      <c r="AN884" s="28">
        <v>0</v>
      </c>
      <c r="AO884" s="28">
        <v>0.33830104321907611</v>
      </c>
      <c r="AP884" s="28">
        <v>0.37853949329359171</v>
      </c>
      <c r="AQ884" s="28">
        <v>0.2831594634873324</v>
      </c>
      <c r="AR884" s="28">
        <v>0</v>
      </c>
      <c r="AS884" s="25">
        <v>1.1000000000000001</v>
      </c>
      <c r="AT884" s="25">
        <v>3.44</v>
      </c>
      <c r="AU884" s="25">
        <v>2.34</v>
      </c>
      <c r="AV884" s="25">
        <v>2.5518942731277532</v>
      </c>
      <c r="AW884">
        <v>2.5518942731277532</v>
      </c>
      <c r="AX884">
        <v>5.8039684980176212</v>
      </c>
      <c r="AY884" s="75"/>
      <c r="AZ884" s="75">
        <v>0.46352185946891089</v>
      </c>
      <c r="BA884" s="75"/>
      <c r="BD884">
        <v>4.1747008327855002E-2</v>
      </c>
      <c r="BF884">
        <v>9.098875515866349E-2</v>
      </c>
      <c r="BG884">
        <v>4.1747008327855002E-2</v>
      </c>
      <c r="BH884">
        <v>0.46352185946891089</v>
      </c>
      <c r="BS884" s="79" t="s">
        <v>464</v>
      </c>
      <c r="BT884" s="79" t="s">
        <v>464</v>
      </c>
      <c r="CA884" t="e">
        <f t="shared" si="268"/>
        <v>#NUM!</v>
      </c>
    </row>
    <row r="885" spans="1:79" x14ac:dyDescent="0.3">
      <c r="A885" s="2" t="s">
        <v>409</v>
      </c>
      <c r="B885" s="17" t="s">
        <v>962</v>
      </c>
      <c r="C885" s="13"/>
      <c r="D885" s="2">
        <v>3.22</v>
      </c>
      <c r="E885" s="2" t="s">
        <v>411</v>
      </c>
      <c r="F885" s="9">
        <v>-1</v>
      </c>
      <c r="G885">
        <v>-1</v>
      </c>
      <c r="I885" s="2"/>
      <c r="J885" s="25">
        <v>0</v>
      </c>
      <c r="K885">
        <v>2</v>
      </c>
      <c r="L885">
        <v>0</v>
      </c>
      <c r="M885" s="2">
        <v>7.8239999999999998</v>
      </c>
      <c r="N885" s="2">
        <v>7.8432000000000004</v>
      </c>
      <c r="O885" s="2">
        <v>7.9165000000000001</v>
      </c>
      <c r="P885" s="2" t="s">
        <v>1136</v>
      </c>
      <c r="Q885" s="2"/>
      <c r="R885" s="25">
        <v>0</v>
      </c>
      <c r="S885" s="25"/>
      <c r="T885" s="25"/>
      <c r="U885">
        <v>3.9685999999999999</v>
      </c>
      <c r="V885">
        <v>3.9685999999999999</v>
      </c>
      <c r="W885">
        <v>19.3154</v>
      </c>
      <c r="X885">
        <v>0</v>
      </c>
      <c r="AA885" s="2"/>
      <c r="AB885">
        <v>6</v>
      </c>
      <c r="AC885" s="55">
        <f t="shared" si="223"/>
        <v>485.79758046720002</v>
      </c>
      <c r="AD885" s="57">
        <v>0</v>
      </c>
      <c r="AE885" s="55">
        <v>304.21341573178398</v>
      </c>
      <c r="AF885" s="55">
        <v>0</v>
      </c>
      <c r="AG885" s="52"/>
      <c r="AH885" s="51"/>
      <c r="AI885" s="52">
        <v>8.3494016655709991E-2</v>
      </c>
      <c r="AJ885" s="52"/>
      <c r="AK885" s="28">
        <v>1.7690531177829101</v>
      </c>
      <c r="AL885" s="28">
        <v>2.7713625866050808</v>
      </c>
      <c r="AM885" s="28">
        <v>1</v>
      </c>
      <c r="AN885" s="28">
        <v>0</v>
      </c>
      <c r="AO885" s="28">
        <v>0.31929970821175491</v>
      </c>
      <c r="AP885" s="28">
        <v>0.50020842017507294</v>
      </c>
      <c r="AQ885" s="28">
        <v>0.18049187161317221</v>
      </c>
      <c r="AR885" s="28">
        <v>0</v>
      </c>
      <c r="AS885" s="25">
        <v>1.1000000000000001</v>
      </c>
      <c r="AT885" s="25">
        <v>3.44</v>
      </c>
      <c r="AU885" s="25">
        <v>2.34</v>
      </c>
      <c r="AV885" s="25">
        <v>2.8367205542725169</v>
      </c>
      <c r="AW885">
        <v>2.8367205542725169</v>
      </c>
      <c r="AX885">
        <v>6.3438920491916866</v>
      </c>
      <c r="AY885" s="75"/>
      <c r="AZ885" s="75"/>
      <c r="BA885" s="75"/>
      <c r="BD885">
        <v>1.9722996060403931E-2</v>
      </c>
      <c r="BF885">
        <v>8.3494016655709991E-2</v>
      </c>
      <c r="BG885">
        <v>1.9722996060403931E-2</v>
      </c>
      <c r="BH885">
        <v>0</v>
      </c>
      <c r="BS885" s="79" t="s">
        <v>464</v>
      </c>
      <c r="BT885" s="79" t="s">
        <v>464</v>
      </c>
      <c r="CA885" t="e">
        <f t="shared" si="268"/>
        <v>#NUM!</v>
      </c>
    </row>
    <row r="886" spans="1:79" x14ac:dyDescent="0.3">
      <c r="A886" s="2" t="s">
        <v>90</v>
      </c>
      <c r="B886" s="17" t="s">
        <v>963</v>
      </c>
      <c r="C886" s="13"/>
      <c r="D886" s="2">
        <v>3.87</v>
      </c>
      <c r="E886" s="2" t="s">
        <v>411</v>
      </c>
      <c r="F886" s="9">
        <v>-1</v>
      </c>
      <c r="G886">
        <v>-1</v>
      </c>
      <c r="I886" s="2"/>
      <c r="J886" s="25">
        <v>0</v>
      </c>
      <c r="K886">
        <v>0</v>
      </c>
      <c r="L886">
        <v>0</v>
      </c>
      <c r="M886" s="2">
        <v>3.9186000000000001</v>
      </c>
      <c r="N886" s="2">
        <v>3.9186000000000001</v>
      </c>
      <c r="O886" s="2">
        <v>7.9149000000000003</v>
      </c>
      <c r="P886" s="2" t="s">
        <v>439</v>
      </c>
      <c r="Q886" s="2"/>
      <c r="R886" s="25">
        <v>0</v>
      </c>
      <c r="S886" s="25"/>
      <c r="T886" s="25"/>
      <c r="U886">
        <v>0</v>
      </c>
      <c r="X886">
        <v>0</v>
      </c>
      <c r="AA886" s="2"/>
      <c r="AB886">
        <v>6</v>
      </c>
      <c r="AC886" s="55">
        <f t="shared" si="223"/>
        <v>121.536660930804</v>
      </c>
      <c r="AD886" s="57">
        <v>0</v>
      </c>
      <c r="AE886" s="55">
        <v>0</v>
      </c>
      <c r="AF886" s="55">
        <v>0</v>
      </c>
      <c r="AG886" s="52"/>
      <c r="AH886" s="51"/>
      <c r="AI886" s="52"/>
      <c r="AJ886" s="52"/>
      <c r="AK886" s="28">
        <v>2</v>
      </c>
      <c r="AL886" s="28">
        <v>2.7713625866050808</v>
      </c>
      <c r="AM886" s="28">
        <v>0.76905311778290997</v>
      </c>
      <c r="AN886" s="28">
        <v>3.2332563510392611</v>
      </c>
      <c r="AO886" s="28">
        <v>0.2279547249276126</v>
      </c>
      <c r="AP886" s="28">
        <v>0.31587259805211898</v>
      </c>
      <c r="AQ886" s="28">
        <v>8.765464595946304E-2</v>
      </c>
      <c r="AR886" s="28">
        <v>0.36851803106080561</v>
      </c>
      <c r="AS886" s="25">
        <v>1.1000000000000001</v>
      </c>
      <c r="AT886" s="25">
        <v>3.44</v>
      </c>
      <c r="AU886" s="25">
        <v>2.34</v>
      </c>
      <c r="AV886" s="25">
        <v>2.813625866050808</v>
      </c>
      <c r="AW886">
        <v>2.8136258660508089</v>
      </c>
      <c r="AX886">
        <v>6.3665749591224019</v>
      </c>
      <c r="AY886" s="75"/>
      <c r="AZ886" s="75"/>
      <c r="BA886" s="75"/>
      <c r="BF886">
        <v>0</v>
      </c>
      <c r="BG886">
        <v>0</v>
      </c>
      <c r="BH886">
        <v>0</v>
      </c>
      <c r="BS886" s="79" t="s">
        <v>464</v>
      </c>
      <c r="BT886" s="79" t="s">
        <v>464</v>
      </c>
      <c r="CA886" t="e">
        <f t="shared" si="268"/>
        <v>#NUM!</v>
      </c>
    </row>
    <row r="887" spans="1:79" x14ac:dyDescent="0.3">
      <c r="A887" s="2" t="s">
        <v>410</v>
      </c>
      <c r="B887" s="13" t="s">
        <v>839</v>
      </c>
      <c r="C887" s="13"/>
      <c r="D887" s="2">
        <v>3.56</v>
      </c>
      <c r="E887" s="2" t="s">
        <v>411</v>
      </c>
      <c r="F887" s="9" t="s">
        <v>602</v>
      </c>
      <c r="G887" t="s">
        <v>674</v>
      </c>
      <c r="I887" s="2"/>
      <c r="J887" s="25">
        <v>2</v>
      </c>
      <c r="K887">
        <v>0</v>
      </c>
      <c r="L887">
        <v>0</v>
      </c>
      <c r="M887" s="2">
        <v>-1</v>
      </c>
      <c r="N887" s="2"/>
      <c r="O887" s="2"/>
      <c r="P887" s="2"/>
      <c r="Q887" s="2"/>
      <c r="R887" s="25">
        <v>5.44114334</v>
      </c>
      <c r="S887" s="25">
        <v>5.44114334</v>
      </c>
      <c r="T887" s="25">
        <v>5.44114334</v>
      </c>
      <c r="U887">
        <v>0</v>
      </c>
      <c r="X887">
        <v>0</v>
      </c>
      <c r="AA887" s="2"/>
      <c r="AB887">
        <v>6</v>
      </c>
      <c r="AC887" s="55">
        <f t="shared" si="223"/>
        <v>0</v>
      </c>
      <c r="AD887" s="57">
        <v>112.4131248985337</v>
      </c>
      <c r="AE887" s="55">
        <v>0</v>
      </c>
      <c r="AF887" s="55">
        <v>0</v>
      </c>
      <c r="AG887" s="52"/>
      <c r="AH887" s="51">
        <v>0.106749100790779</v>
      </c>
      <c r="AI887" s="52"/>
      <c r="AJ887" s="52"/>
      <c r="AK887" s="28">
        <v>2</v>
      </c>
      <c r="AL887" s="28">
        <v>2.4</v>
      </c>
      <c r="AM887" s="28">
        <v>0.4</v>
      </c>
      <c r="AN887" s="28">
        <v>0</v>
      </c>
      <c r="AO887" s="28">
        <v>0.41666666666666669</v>
      </c>
      <c r="AP887" s="28">
        <v>0.5</v>
      </c>
      <c r="AQ887" s="28">
        <v>8.3333333333333343E-2</v>
      </c>
      <c r="AR887" s="28">
        <v>0</v>
      </c>
      <c r="AS887" s="25">
        <v>1</v>
      </c>
      <c r="AT887" s="25">
        <v>3.44</v>
      </c>
      <c r="AU887" s="25">
        <v>2.44</v>
      </c>
      <c r="AV887" s="25">
        <v>2.5720000000000001</v>
      </c>
      <c r="AW887">
        <v>2.5720000000000001</v>
      </c>
      <c r="AX887">
        <v>5.8278852370000003</v>
      </c>
      <c r="AY887" s="75">
        <v>0.58846120068676144</v>
      </c>
      <c r="AZ887" s="75">
        <v>0.59176212397517092</v>
      </c>
      <c r="BA887" s="75"/>
      <c r="BC887">
        <v>5.3374550395389492E-2</v>
      </c>
      <c r="BF887">
        <v>0.106749100790779</v>
      </c>
      <c r="BG887">
        <v>5.3374550395389492E-2</v>
      </c>
      <c r="BH887">
        <v>0.59011166233096612</v>
      </c>
      <c r="BS887" s="79" t="s">
        <v>464</v>
      </c>
      <c r="BT887" s="79" t="s">
        <v>464</v>
      </c>
      <c r="CA887" t="e">
        <f t="shared" si="268"/>
        <v>#NUM!</v>
      </c>
    </row>
    <row r="888" spans="1:79" x14ac:dyDescent="0.3">
      <c r="A888" s="2" t="s">
        <v>413</v>
      </c>
      <c r="B888" s="13" t="s">
        <v>840</v>
      </c>
      <c r="C888" s="13"/>
      <c r="D888" s="2">
        <v>2.86</v>
      </c>
      <c r="E888" s="2" t="s">
        <v>412</v>
      </c>
      <c r="F888" s="9">
        <v>-1</v>
      </c>
      <c r="G888">
        <v>-1</v>
      </c>
      <c r="H888" s="69" t="s">
        <v>1244</v>
      </c>
      <c r="I888" s="2">
        <v>1</v>
      </c>
      <c r="J888" s="25">
        <v>0</v>
      </c>
      <c r="K888">
        <v>4</v>
      </c>
      <c r="L888">
        <v>0</v>
      </c>
      <c r="M888" s="2">
        <v>3.91</v>
      </c>
      <c r="N888" s="2">
        <v>3.91</v>
      </c>
      <c r="O888" s="2">
        <v>18.495999999999999</v>
      </c>
      <c r="P888" s="2" t="s">
        <v>439</v>
      </c>
      <c r="Q888" s="2"/>
      <c r="R888" s="25">
        <v>0</v>
      </c>
      <c r="S888" s="25"/>
      <c r="T888" s="25"/>
      <c r="U888">
        <v>5.38</v>
      </c>
      <c r="V888">
        <v>5.44</v>
      </c>
      <c r="W888">
        <v>7.6390000000000002</v>
      </c>
      <c r="X888">
        <v>0</v>
      </c>
      <c r="AA888" s="2"/>
      <c r="AB888">
        <v>22</v>
      </c>
      <c r="AC888" s="55">
        <f t="shared" si="223"/>
        <v>282.7686976</v>
      </c>
      <c r="AD888" s="57">
        <v>0</v>
      </c>
      <c r="AE888" s="55">
        <v>223.5721408</v>
      </c>
      <c r="AF888" s="55">
        <v>0</v>
      </c>
      <c r="AG888" s="52"/>
      <c r="AH888" s="51"/>
      <c r="AI888" s="52">
        <v>0.1073479008347001</v>
      </c>
      <c r="AJ888" s="52"/>
      <c r="AK888" s="28">
        <v>2</v>
      </c>
      <c r="AL888" s="28">
        <v>3.052631578947369</v>
      </c>
      <c r="AM888" s="28">
        <v>1.8947368421052631</v>
      </c>
      <c r="AN888" s="28">
        <v>3.6842105263157889</v>
      </c>
      <c r="AO888" s="28">
        <v>0.18811881188118809</v>
      </c>
      <c r="AP888" s="28">
        <v>0.28712871287128722</v>
      </c>
      <c r="AQ888" s="28">
        <v>0.17821782178217821</v>
      </c>
      <c r="AR888" s="28">
        <v>0.34653465346534651</v>
      </c>
      <c r="AS888" s="25">
        <v>0.95</v>
      </c>
      <c r="AT888" s="25">
        <v>3.44</v>
      </c>
      <c r="AU888" s="25">
        <v>2.4900000000000002</v>
      </c>
      <c r="AV888" s="25">
        <v>2.7347368421052631</v>
      </c>
      <c r="AW888">
        <v>2.7347368421052631</v>
      </c>
      <c r="AX888">
        <v>6.1677369702631566</v>
      </c>
      <c r="AY888" s="75"/>
      <c r="AZ888" s="75"/>
      <c r="BA888" s="75">
        <v>0</v>
      </c>
      <c r="BB888">
        <v>3.8901052674367873E-2</v>
      </c>
      <c r="BD888">
        <v>0.19680448486361679</v>
      </c>
      <c r="BF888">
        <v>0.1073479008347001</v>
      </c>
      <c r="BG888">
        <v>0.1178527687689923</v>
      </c>
      <c r="BH888">
        <v>0</v>
      </c>
      <c r="BS888" s="79" t="s">
        <v>464</v>
      </c>
      <c r="BT888" s="79" t="s">
        <v>464</v>
      </c>
      <c r="CA888" t="e">
        <f t="shared" si="268"/>
        <v>#NUM!</v>
      </c>
    </row>
    <row r="889" spans="1:79" x14ac:dyDescent="0.3">
      <c r="A889" s="2" t="s">
        <v>414</v>
      </c>
      <c r="B889" s="13" t="s">
        <v>841</v>
      </c>
      <c r="C889" s="13"/>
      <c r="D889" s="2">
        <v>2.58</v>
      </c>
      <c r="E889" s="2" t="s">
        <v>412</v>
      </c>
      <c r="F889" s="9">
        <v>-1</v>
      </c>
      <c r="G889">
        <v>-1</v>
      </c>
      <c r="H889" s="69" t="s">
        <v>1244</v>
      </c>
      <c r="I889" s="2">
        <v>1</v>
      </c>
      <c r="J889" s="25">
        <v>0</v>
      </c>
      <c r="K889">
        <v>0</v>
      </c>
      <c r="L889">
        <v>0</v>
      </c>
      <c r="M889" s="2">
        <v>3.9119999999999999</v>
      </c>
      <c r="N889" s="2">
        <v>3.9119999999999999</v>
      </c>
      <c r="O889" s="2">
        <v>18.582000000000001</v>
      </c>
      <c r="P889" s="2" t="s">
        <v>439</v>
      </c>
      <c r="Q889" s="2"/>
      <c r="R889" s="25">
        <v>0</v>
      </c>
      <c r="S889" s="25"/>
      <c r="T889" s="25"/>
      <c r="U889">
        <v>0</v>
      </c>
      <c r="X889">
        <v>0</v>
      </c>
      <c r="AA889" s="2"/>
      <c r="AB889">
        <v>22</v>
      </c>
      <c r="AC889" s="55">
        <f t="shared" si="223"/>
        <v>284.37417100800002</v>
      </c>
      <c r="AD889" s="57">
        <v>0</v>
      </c>
      <c r="AE889" s="55">
        <v>0</v>
      </c>
      <c r="AF889" s="55">
        <v>0</v>
      </c>
      <c r="AG889" s="52">
        <f>I889*AB889/AC889</f>
        <v>7.7362862885958422E-2</v>
      </c>
      <c r="AH889" s="51"/>
      <c r="AI889" s="52"/>
      <c r="AJ889" s="52"/>
      <c r="AK889" s="28">
        <v>2</v>
      </c>
      <c r="AL889" s="28">
        <v>3.1578947368421049</v>
      </c>
      <c r="AM889" s="28">
        <v>2.4210526315789469</v>
      </c>
      <c r="AN889" s="28">
        <v>4.4210526315789478</v>
      </c>
      <c r="AO889" s="28">
        <v>0.16666666666666671</v>
      </c>
      <c r="AP889" s="28">
        <v>0.26315789473684209</v>
      </c>
      <c r="AQ889" s="28">
        <v>0.2017543859649123</v>
      </c>
      <c r="AR889" s="28">
        <v>0.36842105263157898</v>
      </c>
      <c r="AS889" s="25">
        <v>0.95</v>
      </c>
      <c r="AT889" s="25">
        <v>3.44</v>
      </c>
      <c r="AU889" s="25">
        <v>2.4900000000000002</v>
      </c>
      <c r="AV889" s="25">
        <v>2.8073684210526308</v>
      </c>
      <c r="AW889">
        <v>2.8073684210526308</v>
      </c>
      <c r="AX889">
        <v>6.2210650663157896</v>
      </c>
      <c r="AY889" s="75"/>
      <c r="AZ889" s="75"/>
      <c r="BA889" s="75">
        <v>0</v>
      </c>
      <c r="BB889">
        <v>3.8681431442979211E-2</v>
      </c>
      <c r="BF889">
        <v>7.7362862885958422E-2</v>
      </c>
      <c r="BG889">
        <v>3.8681431442979211E-2</v>
      </c>
      <c r="BH889">
        <v>0</v>
      </c>
      <c r="BS889" s="79" t="s">
        <v>464</v>
      </c>
      <c r="BT889" s="79" t="s">
        <v>464</v>
      </c>
      <c r="CA889" t="e">
        <f t="shared" si="268"/>
        <v>#NUM!</v>
      </c>
    </row>
    <row r="890" spans="1:79" x14ac:dyDescent="0.3">
      <c r="A890" s="2" t="s">
        <v>415</v>
      </c>
      <c r="B890" s="13" t="s">
        <v>842</v>
      </c>
      <c r="C890" s="13"/>
      <c r="D890" s="2">
        <v>2.57</v>
      </c>
      <c r="E890" s="2" t="s">
        <v>412</v>
      </c>
      <c r="F890" s="9">
        <v>-1</v>
      </c>
      <c r="G890">
        <v>-1</v>
      </c>
      <c r="H890" s="69" t="s">
        <v>1244</v>
      </c>
      <c r="I890" s="2">
        <v>1</v>
      </c>
      <c r="J890" s="25">
        <v>0</v>
      </c>
      <c r="K890">
        <v>0</v>
      </c>
      <c r="L890">
        <v>0</v>
      </c>
      <c r="M890" s="2">
        <v>3.9607600000000001</v>
      </c>
      <c r="N890" s="2">
        <v>3.9607600000000001</v>
      </c>
      <c r="O890" s="2">
        <v>18.789100000000001</v>
      </c>
      <c r="P890" s="2" t="s">
        <v>439</v>
      </c>
      <c r="Q890" s="2"/>
      <c r="R890" s="25">
        <v>0</v>
      </c>
      <c r="S890" s="25"/>
      <c r="T890" s="25"/>
      <c r="U890">
        <v>0</v>
      </c>
      <c r="X890">
        <v>0</v>
      </c>
      <c r="AA890" s="2"/>
      <c r="AB890">
        <v>22</v>
      </c>
      <c r="AC890" s="55">
        <f t="shared" si="223"/>
        <v>294.75625676330418</v>
      </c>
      <c r="AD890" s="57">
        <v>0</v>
      </c>
      <c r="AE890" s="55">
        <v>0</v>
      </c>
      <c r="AF890" s="55">
        <v>0</v>
      </c>
      <c r="AG890" s="52">
        <f>I890*AB890/AC890</f>
        <v>7.4637940655035831E-2</v>
      </c>
      <c r="AH890" s="51"/>
      <c r="AI890" s="52"/>
      <c r="AJ890" s="52"/>
      <c r="AK890" s="28">
        <v>2</v>
      </c>
      <c r="AL890" s="28">
        <v>3.052631578947369</v>
      </c>
      <c r="AM890" s="28">
        <v>1.8947368421052631</v>
      </c>
      <c r="AN890" s="28">
        <v>3.6842105263157889</v>
      </c>
      <c r="AO890" s="28">
        <v>0.18811881188118809</v>
      </c>
      <c r="AP890" s="28">
        <v>0.28712871287128722</v>
      </c>
      <c r="AQ890" s="28">
        <v>0.17821782178217821</v>
      </c>
      <c r="AR890" s="28">
        <v>0.34653465346534651</v>
      </c>
      <c r="AS890" s="25">
        <v>0.89</v>
      </c>
      <c r="AT890" s="25">
        <v>3.44</v>
      </c>
      <c r="AU890" s="25">
        <v>2.5499999999999998</v>
      </c>
      <c r="AV890" s="25">
        <v>2.7284210526315791</v>
      </c>
      <c r="AW890">
        <v>2.7284210526315791</v>
      </c>
      <c r="AX890">
        <v>6.1471768202631578</v>
      </c>
      <c r="AY890" s="75"/>
      <c r="AZ890" s="75"/>
      <c r="BA890" s="75">
        <v>0</v>
      </c>
      <c r="BB890">
        <v>3.7318970327517922E-2</v>
      </c>
      <c r="BF890">
        <v>7.4637940655035831E-2</v>
      </c>
      <c r="BG890">
        <v>3.7318970327517922E-2</v>
      </c>
      <c r="BH890">
        <v>0</v>
      </c>
      <c r="BS890" s="79" t="s">
        <v>464</v>
      </c>
      <c r="BT890" s="79" t="s">
        <v>464</v>
      </c>
      <c r="CA890" t="e">
        <f t="shared" si="268"/>
        <v>#NUM!</v>
      </c>
    </row>
    <row r="891" spans="1:79" x14ac:dyDescent="0.3">
      <c r="A891" s="2" t="s">
        <v>416</v>
      </c>
      <c r="B891" s="13" t="s">
        <v>843</v>
      </c>
      <c r="C891" s="13"/>
      <c r="D891" s="2">
        <v>2.6</v>
      </c>
      <c r="E891" s="2" t="s">
        <v>412</v>
      </c>
      <c r="F891" s="9">
        <v>-1</v>
      </c>
      <c r="G891">
        <v>-1</v>
      </c>
      <c r="H891" s="69" t="s">
        <v>1244</v>
      </c>
      <c r="I891" s="2">
        <v>1</v>
      </c>
      <c r="J891" s="25">
        <v>0</v>
      </c>
      <c r="K891">
        <v>0</v>
      </c>
      <c r="L891">
        <v>0</v>
      </c>
      <c r="M891" s="2">
        <v>3.9350499999999999</v>
      </c>
      <c r="N891" s="2">
        <v>3.9350499999999999</v>
      </c>
      <c r="O891" s="2">
        <v>18.790900000000001</v>
      </c>
      <c r="P891" s="2" t="s">
        <v>439</v>
      </c>
      <c r="Q891" s="2"/>
      <c r="R891" s="25">
        <v>0</v>
      </c>
      <c r="S891" s="25"/>
      <c r="T891" s="25"/>
      <c r="U891">
        <v>0</v>
      </c>
      <c r="X891">
        <v>0</v>
      </c>
      <c r="AA891" s="2"/>
      <c r="AB891">
        <v>22</v>
      </c>
      <c r="AC891" s="55">
        <f t="shared" si="223"/>
        <v>290.96991781862727</v>
      </c>
      <c r="AD891" s="57">
        <v>0</v>
      </c>
      <c r="AE891" s="55">
        <v>0</v>
      </c>
      <c r="AF891" s="55">
        <v>0</v>
      </c>
      <c r="AG891" s="52">
        <f t="shared" ref="AG891:AG916" si="269">I891*AB891/AC891</f>
        <v>7.5609190685180877E-2</v>
      </c>
      <c r="AH891" s="51"/>
      <c r="AI891" s="52"/>
      <c r="AJ891" s="52"/>
      <c r="AK891" s="28">
        <v>2</v>
      </c>
      <c r="AL891" s="28">
        <v>3.1578947368421049</v>
      </c>
      <c r="AM891" s="28">
        <v>2.4210526315789469</v>
      </c>
      <c r="AN891" s="28">
        <v>4.4210526315789478</v>
      </c>
      <c r="AO891" s="28">
        <v>0.16666666666666671</v>
      </c>
      <c r="AP891" s="28">
        <v>0.26315789473684209</v>
      </c>
      <c r="AQ891" s="28">
        <v>0.2017543859649123</v>
      </c>
      <c r="AR891" s="28">
        <v>0.36842105263157898</v>
      </c>
      <c r="AS891" s="25">
        <v>0.89</v>
      </c>
      <c r="AT891" s="25">
        <v>3.44</v>
      </c>
      <c r="AU891" s="25">
        <v>2.5499999999999998</v>
      </c>
      <c r="AV891" s="25">
        <v>2.804210526315789</v>
      </c>
      <c r="AW891">
        <v>2.804210526315789</v>
      </c>
      <c r="AX891">
        <v>6.2107849913157898</v>
      </c>
      <c r="AY891" s="75"/>
      <c r="AZ891" s="75"/>
      <c r="BA891" s="75">
        <v>0</v>
      </c>
      <c r="BB891">
        <v>3.7804595342590439E-2</v>
      </c>
      <c r="BF891">
        <v>7.5609190685180877E-2</v>
      </c>
      <c r="BG891">
        <v>3.7804595342590439E-2</v>
      </c>
      <c r="BH891">
        <v>0</v>
      </c>
      <c r="BS891" s="79" t="s">
        <v>464</v>
      </c>
      <c r="BT891" s="79" t="s">
        <v>464</v>
      </c>
      <c r="CA891" t="e">
        <f t="shared" si="268"/>
        <v>#NUM!</v>
      </c>
    </row>
    <row r="892" spans="1:79" x14ac:dyDescent="0.3">
      <c r="A892" s="2" t="s">
        <v>417</v>
      </c>
      <c r="B892" s="13" t="s">
        <v>844</v>
      </c>
      <c r="C892" s="13"/>
      <c r="D892" s="2">
        <v>2.57</v>
      </c>
      <c r="E892" s="2" t="s">
        <v>412</v>
      </c>
      <c r="F892" s="9">
        <v>-1</v>
      </c>
      <c r="G892">
        <v>-1</v>
      </c>
      <c r="H892" s="69" t="s">
        <v>1244</v>
      </c>
      <c r="I892" s="2">
        <v>1</v>
      </c>
      <c r="J892" s="25">
        <v>0</v>
      </c>
      <c r="K892">
        <v>0</v>
      </c>
      <c r="L892">
        <v>0</v>
      </c>
      <c r="M892" s="2">
        <v>3.8856000000000002</v>
      </c>
      <c r="N892" s="2">
        <v>3.8856000000000002</v>
      </c>
      <c r="O892" s="2">
        <v>18.356999999999999</v>
      </c>
      <c r="P892" s="2" t="s">
        <v>439</v>
      </c>
      <c r="Q892" s="2"/>
      <c r="R892" s="25">
        <v>0</v>
      </c>
      <c r="S892" s="25"/>
      <c r="T892" s="25"/>
      <c r="U892">
        <v>0</v>
      </c>
      <c r="X892">
        <v>0</v>
      </c>
      <c r="AA892" s="2"/>
      <c r="AB892">
        <v>22</v>
      </c>
      <c r="AC892" s="55">
        <f t="shared" si="223"/>
        <v>277.15191826751999</v>
      </c>
      <c r="AD892" s="57">
        <v>0</v>
      </c>
      <c r="AE892" s="55">
        <v>0</v>
      </c>
      <c r="AF892" s="55">
        <v>0</v>
      </c>
      <c r="AG892" s="52">
        <f t="shared" si="269"/>
        <v>7.9378848025019155E-2</v>
      </c>
      <c r="AH892" s="51"/>
      <c r="AI892" s="52"/>
      <c r="AJ892" s="52"/>
      <c r="AK892" s="28">
        <v>2</v>
      </c>
      <c r="AL892" s="28">
        <v>3.2105263157894739</v>
      </c>
      <c r="AM892" s="28">
        <v>2.3684210526315792</v>
      </c>
      <c r="AN892" s="28">
        <v>3.6842105263157889</v>
      </c>
      <c r="AO892" s="28">
        <v>0.17757009345794389</v>
      </c>
      <c r="AP892" s="28">
        <v>0.28504672897196259</v>
      </c>
      <c r="AQ892" s="28">
        <v>0.2102803738317757</v>
      </c>
      <c r="AR892" s="28">
        <v>0.32710280373831768</v>
      </c>
      <c r="AS892" s="25">
        <v>0.95</v>
      </c>
      <c r="AT892" s="25">
        <v>3.44</v>
      </c>
      <c r="AU892" s="25">
        <v>2.4900000000000002</v>
      </c>
      <c r="AV892" s="25">
        <v>2.7931578947368418</v>
      </c>
      <c r="AW892">
        <v>2.7931578947368418</v>
      </c>
      <c r="AX892">
        <v>6.207524303947368</v>
      </c>
      <c r="AY892" s="75"/>
      <c r="AZ892" s="75"/>
      <c r="BA892" s="75">
        <v>0</v>
      </c>
      <c r="BB892">
        <v>3.9689424012509578E-2</v>
      </c>
      <c r="BF892">
        <v>7.9378848025019155E-2</v>
      </c>
      <c r="BG892">
        <v>3.9689424012509578E-2</v>
      </c>
      <c r="BH892">
        <v>0</v>
      </c>
      <c r="BS892" s="79" t="s">
        <v>464</v>
      </c>
      <c r="BT892" s="79" t="s">
        <v>464</v>
      </c>
      <c r="CA892" t="e">
        <f t="shared" si="268"/>
        <v>#NUM!</v>
      </c>
    </row>
    <row r="893" spans="1:79" x14ac:dyDescent="0.3">
      <c r="A893" s="2" t="s">
        <v>418</v>
      </c>
      <c r="B893" s="13" t="s">
        <v>845</v>
      </c>
      <c r="C893" s="13"/>
      <c r="D893" s="2">
        <v>2.5</v>
      </c>
      <c r="E893" s="2" t="s">
        <v>412</v>
      </c>
      <c r="F893" s="9">
        <v>-1</v>
      </c>
      <c r="G893">
        <v>-1</v>
      </c>
      <c r="H893" s="69" t="s">
        <v>1244</v>
      </c>
      <c r="I893" s="2">
        <v>1</v>
      </c>
      <c r="J893" s="25">
        <v>0</v>
      </c>
      <c r="K893">
        <v>0</v>
      </c>
      <c r="L893">
        <v>0</v>
      </c>
      <c r="M893" s="2">
        <v>3.9121999999999999</v>
      </c>
      <c r="N893" s="2">
        <v>3.9121999999999999</v>
      </c>
      <c r="O893" s="2">
        <v>18.724299999999999</v>
      </c>
      <c r="P893" s="2" t="s">
        <v>439</v>
      </c>
      <c r="Q893" s="2"/>
      <c r="R893" s="25">
        <v>0</v>
      </c>
      <c r="S893" s="25"/>
      <c r="T893" s="25"/>
      <c r="U893">
        <v>0</v>
      </c>
      <c r="X893">
        <v>0</v>
      </c>
      <c r="AA893" s="2"/>
      <c r="AB893">
        <v>22</v>
      </c>
      <c r="AC893" s="55">
        <f t="shared" si="223"/>
        <v>286.58119431281199</v>
      </c>
      <c r="AD893" s="57">
        <v>0</v>
      </c>
      <c r="AE893" s="55">
        <v>0</v>
      </c>
      <c r="AF893" s="55">
        <v>0</v>
      </c>
      <c r="AG893" s="52">
        <f t="shared" si="269"/>
        <v>7.6767074869491747E-2</v>
      </c>
      <c r="AH893" s="51"/>
      <c r="AI893" s="52"/>
      <c r="AJ893" s="52"/>
      <c r="AK893" s="28">
        <v>2</v>
      </c>
      <c r="AL893" s="28">
        <v>3.2105263157894739</v>
      </c>
      <c r="AM893" s="28">
        <v>2.3684210526315792</v>
      </c>
      <c r="AN893" s="28">
        <v>3.6842105263157889</v>
      </c>
      <c r="AO893" s="28">
        <v>0.17757009345794389</v>
      </c>
      <c r="AP893" s="28">
        <v>0.28504672897196259</v>
      </c>
      <c r="AQ893" s="28">
        <v>0.2102803738317757</v>
      </c>
      <c r="AR893" s="28">
        <v>0.32710280373831768</v>
      </c>
      <c r="AS893" s="25">
        <v>0.89</v>
      </c>
      <c r="AT893" s="25">
        <v>3.44</v>
      </c>
      <c r="AU893" s="25">
        <v>2.5499999999999998</v>
      </c>
      <c r="AV893" s="25">
        <v>2.79</v>
      </c>
      <c r="AW893">
        <v>2.79</v>
      </c>
      <c r="AX893">
        <v>6.1972442289473681</v>
      </c>
      <c r="AY893" s="75"/>
      <c r="AZ893" s="75"/>
      <c r="BA893" s="75">
        <v>0</v>
      </c>
      <c r="BB893">
        <v>3.8383537434745867E-2</v>
      </c>
      <c r="BF893">
        <v>7.6767074869491747E-2</v>
      </c>
      <c r="BG893">
        <v>3.8383537434745867E-2</v>
      </c>
      <c r="BH893">
        <v>0</v>
      </c>
      <c r="BS893" s="79" t="s">
        <v>464</v>
      </c>
      <c r="BT893" s="79" t="s">
        <v>464</v>
      </c>
      <c r="CA893" t="e">
        <f t="shared" si="268"/>
        <v>#NUM!</v>
      </c>
    </row>
    <row r="894" spans="1:79" x14ac:dyDescent="0.3">
      <c r="A894" s="2" t="s">
        <v>419</v>
      </c>
      <c r="B894" s="13" t="s">
        <v>846</v>
      </c>
      <c r="C894" s="13"/>
      <c r="D894" s="2">
        <v>2.6</v>
      </c>
      <c r="E894" s="2" t="s">
        <v>412</v>
      </c>
      <c r="F894" s="9">
        <v>-1</v>
      </c>
      <c r="G894">
        <v>-1</v>
      </c>
      <c r="H894" s="69" t="s">
        <v>1244</v>
      </c>
      <c r="I894" s="2">
        <v>1</v>
      </c>
      <c r="J894" s="25">
        <v>0</v>
      </c>
      <c r="K894">
        <v>0</v>
      </c>
      <c r="L894">
        <v>0</v>
      </c>
      <c r="M894" s="2">
        <v>3.8752</v>
      </c>
      <c r="N894" s="2">
        <v>3.8752</v>
      </c>
      <c r="O894" s="2">
        <v>18.687000000000001</v>
      </c>
      <c r="P894" s="2" t="s">
        <v>439</v>
      </c>
      <c r="Q894" s="2"/>
      <c r="R894" s="25">
        <v>0</v>
      </c>
      <c r="S894" s="25"/>
      <c r="T894" s="25"/>
      <c r="U894">
        <v>0</v>
      </c>
      <c r="X894">
        <v>0</v>
      </c>
      <c r="AA894" s="2"/>
      <c r="AB894">
        <v>22</v>
      </c>
      <c r="AC894" s="55">
        <f t="shared" si="223"/>
        <v>280.62594997247999</v>
      </c>
      <c r="AD894" s="57">
        <v>0</v>
      </c>
      <c r="AE894" s="55">
        <v>0</v>
      </c>
      <c r="AF894" s="55">
        <v>0</v>
      </c>
      <c r="AG894" s="52">
        <f t="shared" si="269"/>
        <v>7.8396171138690005E-2</v>
      </c>
      <c r="AH894" s="51"/>
      <c r="AI894" s="52"/>
      <c r="AJ894" s="52"/>
      <c r="AK894" s="28">
        <v>2</v>
      </c>
      <c r="AL894" s="28">
        <v>3.3157894736842111</v>
      </c>
      <c r="AM894" s="28">
        <v>2.8947368421052628</v>
      </c>
      <c r="AN894" s="28">
        <v>4.4210526315789478</v>
      </c>
      <c r="AO894" s="28">
        <v>0.1583333333333333</v>
      </c>
      <c r="AP894" s="28">
        <v>0.26250000000000001</v>
      </c>
      <c r="AQ894" s="28">
        <v>0.22916666666666671</v>
      </c>
      <c r="AR894" s="28">
        <v>0.35</v>
      </c>
      <c r="AS894" s="25">
        <v>1.5</v>
      </c>
      <c r="AT894" s="25">
        <v>3.44</v>
      </c>
      <c r="AU894" s="25">
        <v>1.94</v>
      </c>
      <c r="AV894" s="25">
        <v>2.86578947368421</v>
      </c>
      <c r="AW894">
        <v>2.8657894736842109</v>
      </c>
      <c r="AX894">
        <v>6.2608524000000001</v>
      </c>
      <c r="AY894" s="75"/>
      <c r="AZ894" s="75"/>
      <c r="BA894" s="75">
        <v>0</v>
      </c>
      <c r="BB894">
        <v>3.9198085569345002E-2</v>
      </c>
      <c r="BF894">
        <v>7.8396171138690005E-2</v>
      </c>
      <c r="BG894">
        <v>3.9198085569345002E-2</v>
      </c>
      <c r="BH894">
        <v>0</v>
      </c>
      <c r="BS894" s="79" t="s">
        <v>464</v>
      </c>
      <c r="BT894" s="79" t="s">
        <v>464</v>
      </c>
      <c r="CA894" t="e">
        <f t="shared" si="268"/>
        <v>#NUM!</v>
      </c>
    </row>
    <row r="895" spans="1:79" x14ac:dyDescent="0.3">
      <c r="A895" s="2" t="s">
        <v>426</v>
      </c>
      <c r="B895" s="13" t="s">
        <v>847</v>
      </c>
      <c r="C895" s="13"/>
      <c r="D895" s="2">
        <v>2.82</v>
      </c>
      <c r="E895" s="2" t="s">
        <v>412</v>
      </c>
      <c r="F895" s="9">
        <v>-1</v>
      </c>
      <c r="G895">
        <v>-1</v>
      </c>
      <c r="H895" s="69" t="s">
        <v>1244</v>
      </c>
      <c r="I895" s="2">
        <v>1</v>
      </c>
      <c r="J895" s="25">
        <v>0</v>
      </c>
      <c r="K895">
        <v>0</v>
      </c>
      <c r="L895">
        <v>0</v>
      </c>
      <c r="M895" s="2">
        <v>3.9108999999999998</v>
      </c>
      <c r="N895" s="2">
        <v>3.9108999999999998</v>
      </c>
      <c r="O895" s="2">
        <v>18.454999999999998</v>
      </c>
      <c r="P895" s="2" t="s">
        <v>439</v>
      </c>
      <c r="Q895" s="2"/>
      <c r="R895" s="25">
        <v>0</v>
      </c>
      <c r="S895" s="25"/>
      <c r="T895" s="25"/>
      <c r="U895">
        <v>0</v>
      </c>
      <c r="X895">
        <v>0</v>
      </c>
      <c r="AA895" s="2"/>
      <c r="AB895">
        <v>22</v>
      </c>
      <c r="AC895" s="55">
        <f t="shared" si="223"/>
        <v>282.27178673854996</v>
      </c>
      <c r="AD895" s="57">
        <v>0</v>
      </c>
      <c r="AE895" s="55">
        <v>0</v>
      </c>
      <c r="AF895" s="55">
        <v>0</v>
      </c>
      <c r="AG895" s="52">
        <f t="shared" si="269"/>
        <v>7.7939068066966155E-2</v>
      </c>
      <c r="AH895" s="51"/>
      <c r="AI895" s="52"/>
      <c r="AJ895" s="52"/>
      <c r="AK895" s="28">
        <v>1.8947368421052631</v>
      </c>
      <c r="AL895" s="28">
        <v>3.052631578947369</v>
      </c>
      <c r="AM895" s="28">
        <v>2</v>
      </c>
      <c r="AN895" s="28">
        <v>2.2105263157894739</v>
      </c>
      <c r="AO895" s="28">
        <v>0.2068965517241379</v>
      </c>
      <c r="AP895" s="28">
        <v>0.33333333333333343</v>
      </c>
      <c r="AQ895" s="28">
        <v>0.21839080459770119</v>
      </c>
      <c r="AR895" s="28">
        <v>0.2413793103448276</v>
      </c>
      <c r="AS895" s="25">
        <v>0.95</v>
      </c>
      <c r="AT895" s="25">
        <v>3.44</v>
      </c>
      <c r="AU895" s="25">
        <v>2.4900000000000002</v>
      </c>
      <c r="AV895" s="25">
        <v>2.7452631578947368</v>
      </c>
      <c r="AW895">
        <v>2.7452631578947368</v>
      </c>
      <c r="AX895">
        <v>6.1573983386842102</v>
      </c>
      <c r="AY895" s="75"/>
      <c r="AZ895" s="75"/>
      <c r="BA895" s="75">
        <v>0</v>
      </c>
      <c r="BB895">
        <v>3.8969534033483078E-2</v>
      </c>
      <c r="BF895">
        <v>7.7939068066966155E-2</v>
      </c>
      <c r="BG895">
        <v>3.8969534033483078E-2</v>
      </c>
      <c r="BH895">
        <v>0</v>
      </c>
      <c r="BS895" s="79" t="s">
        <v>464</v>
      </c>
      <c r="BT895" s="79" t="s">
        <v>464</v>
      </c>
      <c r="CA895" t="e">
        <f t="shared" si="268"/>
        <v>#NUM!</v>
      </c>
    </row>
    <row r="896" spans="1:79" x14ac:dyDescent="0.3">
      <c r="A896" s="2" t="s">
        <v>420</v>
      </c>
      <c r="B896" s="13" t="s">
        <v>848</v>
      </c>
      <c r="C896" s="13"/>
      <c r="D896" s="2">
        <v>2.59</v>
      </c>
      <c r="E896" s="2" t="s">
        <v>412</v>
      </c>
      <c r="F896" s="9">
        <v>-1</v>
      </c>
      <c r="G896">
        <v>-1</v>
      </c>
      <c r="H896" s="69" t="s">
        <v>1244</v>
      </c>
      <c r="I896" s="2">
        <v>1</v>
      </c>
      <c r="J896" s="25">
        <v>0</v>
      </c>
      <c r="K896">
        <v>0</v>
      </c>
      <c r="L896">
        <v>0</v>
      </c>
      <c r="M896" s="2">
        <v>3.91</v>
      </c>
      <c r="N896" s="2">
        <v>3.91</v>
      </c>
      <c r="O896" s="2">
        <v>18.651</v>
      </c>
      <c r="P896" s="2" t="s">
        <v>439</v>
      </c>
      <c r="Q896" s="2"/>
      <c r="R896" s="25">
        <v>0</v>
      </c>
      <c r="S896" s="25"/>
      <c r="T896" s="25"/>
      <c r="U896">
        <v>0</v>
      </c>
      <c r="X896">
        <v>0</v>
      </c>
      <c r="AA896" s="2"/>
      <c r="AB896">
        <v>22</v>
      </c>
      <c r="AC896" s="55">
        <f t="shared" si="223"/>
        <v>285.13835310000002</v>
      </c>
      <c r="AD896" s="57">
        <v>0</v>
      </c>
      <c r="AE896" s="55">
        <v>0</v>
      </c>
      <c r="AF896" s="55">
        <v>0</v>
      </c>
      <c r="AG896" s="52">
        <f t="shared" si="269"/>
        <v>7.7155527345998398E-2</v>
      </c>
      <c r="AH896" s="51"/>
      <c r="AI896" s="52"/>
      <c r="AJ896" s="52"/>
      <c r="AK896" s="28">
        <v>1.8947368421052631</v>
      </c>
      <c r="AL896" s="28">
        <v>3.1578947368421049</v>
      </c>
      <c r="AM896" s="28">
        <v>2.5263157894736841</v>
      </c>
      <c r="AN896" s="28">
        <v>2.947368421052631</v>
      </c>
      <c r="AO896" s="28">
        <v>0.18</v>
      </c>
      <c r="AP896" s="28">
        <v>0.3</v>
      </c>
      <c r="AQ896" s="28">
        <v>0.24</v>
      </c>
      <c r="AR896" s="28">
        <v>0.28000000000000003</v>
      </c>
      <c r="AS896" s="25">
        <v>0.95</v>
      </c>
      <c r="AT896" s="25">
        <v>3.44</v>
      </c>
      <c r="AU896" s="25">
        <v>2.4900000000000002</v>
      </c>
      <c r="AV896" s="25">
        <v>2.817894736842105</v>
      </c>
      <c r="AW896">
        <v>2.817894736842105</v>
      </c>
      <c r="AX896">
        <v>6.2107264347368423</v>
      </c>
      <c r="AY896" s="75"/>
      <c r="AZ896" s="75"/>
      <c r="BA896" s="75">
        <v>0</v>
      </c>
      <c r="BB896">
        <v>3.8577763672999199E-2</v>
      </c>
      <c r="BF896">
        <v>7.7155527345998398E-2</v>
      </c>
      <c r="BG896">
        <v>3.8577763672999199E-2</v>
      </c>
      <c r="BH896">
        <v>0</v>
      </c>
      <c r="BS896" s="79" t="s">
        <v>464</v>
      </c>
      <c r="BT896" s="79" t="s">
        <v>464</v>
      </c>
      <c r="CA896" t="e">
        <f t="shared" si="268"/>
        <v>#NUM!</v>
      </c>
    </row>
    <row r="897" spans="1:79" x14ac:dyDescent="0.3">
      <c r="A897" s="2" t="s">
        <v>421</v>
      </c>
      <c r="B897" s="13" t="s">
        <v>849</v>
      </c>
      <c r="C897" s="13"/>
      <c r="D897" s="2">
        <v>2.66</v>
      </c>
      <c r="E897" s="2" t="s">
        <v>412</v>
      </c>
      <c r="F897" s="9">
        <v>-1</v>
      </c>
      <c r="G897">
        <v>-1</v>
      </c>
      <c r="H897" s="69" t="s">
        <v>1244</v>
      </c>
      <c r="I897" s="2">
        <v>1</v>
      </c>
      <c r="J897" s="25">
        <v>0</v>
      </c>
      <c r="K897">
        <v>0</v>
      </c>
      <c r="L897">
        <v>0</v>
      </c>
      <c r="M897" s="2">
        <v>3.9683000000000002</v>
      </c>
      <c r="N897" s="2">
        <v>3.9683000000000002</v>
      </c>
      <c r="O897" s="2">
        <v>18.798999999999999</v>
      </c>
      <c r="P897" s="2" t="s">
        <v>439</v>
      </c>
      <c r="Q897" s="2"/>
      <c r="R897" s="25">
        <v>0</v>
      </c>
      <c r="S897" s="25"/>
      <c r="T897" s="25"/>
      <c r="U897">
        <v>0</v>
      </c>
      <c r="X897">
        <v>0</v>
      </c>
      <c r="AA897" s="2"/>
      <c r="AB897">
        <v>22</v>
      </c>
      <c r="AC897" s="55">
        <f t="shared" si="223"/>
        <v>296.03546452711004</v>
      </c>
      <c r="AD897" s="57">
        <v>0</v>
      </c>
      <c r="AE897" s="55">
        <v>0</v>
      </c>
      <c r="AF897" s="55">
        <v>0</v>
      </c>
      <c r="AG897" s="52">
        <f t="shared" si="269"/>
        <v>7.4315420401211113E-2</v>
      </c>
      <c r="AH897" s="51"/>
      <c r="AI897" s="52"/>
      <c r="AJ897" s="52"/>
      <c r="AK897" s="28">
        <v>1.8947368421052631</v>
      </c>
      <c r="AL897" s="28">
        <v>3.052631578947369</v>
      </c>
      <c r="AM897" s="28">
        <v>2</v>
      </c>
      <c r="AN897" s="28">
        <v>2.2105263157894739</v>
      </c>
      <c r="AO897" s="28">
        <v>0.2068965517241379</v>
      </c>
      <c r="AP897" s="28">
        <v>0.33333333333333343</v>
      </c>
      <c r="AQ897" s="28">
        <v>0.21839080459770119</v>
      </c>
      <c r="AR897" s="28">
        <v>0.2413793103448276</v>
      </c>
      <c r="AS897" s="25">
        <v>0.89</v>
      </c>
      <c r="AT897" s="25">
        <v>3.44</v>
      </c>
      <c r="AU897" s="25">
        <v>2.5499999999999998</v>
      </c>
      <c r="AV897" s="25">
        <v>2.7389473684210519</v>
      </c>
      <c r="AW897">
        <v>2.7389473684210519</v>
      </c>
      <c r="AX897">
        <v>6.1368381886842096</v>
      </c>
      <c r="AY897" s="75"/>
      <c r="AZ897" s="75"/>
      <c r="BA897" s="75">
        <v>0</v>
      </c>
      <c r="BB897">
        <v>3.7157710200605563E-2</v>
      </c>
      <c r="BF897">
        <v>7.4315420401211113E-2</v>
      </c>
      <c r="BG897">
        <v>3.7157710200605563E-2</v>
      </c>
      <c r="BH897">
        <v>0</v>
      </c>
      <c r="BS897" s="79" t="s">
        <v>464</v>
      </c>
      <c r="BT897" s="79" t="s">
        <v>464</v>
      </c>
      <c r="CA897" t="e">
        <f t="shared" si="268"/>
        <v>#NUM!</v>
      </c>
    </row>
    <row r="898" spans="1:79" x14ac:dyDescent="0.3">
      <c r="A898" s="2" t="s">
        <v>422</v>
      </c>
      <c r="B898" s="13" t="s">
        <v>850</v>
      </c>
      <c r="C898" s="13"/>
      <c r="D898" s="2">
        <v>2.56</v>
      </c>
      <c r="E898" s="2" t="s">
        <v>412</v>
      </c>
      <c r="F898" s="9">
        <v>-1</v>
      </c>
      <c r="G898">
        <v>-1</v>
      </c>
      <c r="H898" s="69" t="s">
        <v>1244</v>
      </c>
      <c r="I898" s="2">
        <v>1</v>
      </c>
      <c r="J898" s="25">
        <v>0</v>
      </c>
      <c r="K898">
        <v>0</v>
      </c>
      <c r="L898">
        <v>0</v>
      </c>
      <c r="M898" s="2">
        <v>3.9487999999999999</v>
      </c>
      <c r="N898" s="2">
        <v>3.9487999999999999</v>
      </c>
      <c r="O898" s="2">
        <v>18.829999999999998</v>
      </c>
      <c r="P898" s="2" t="s">
        <v>439</v>
      </c>
      <c r="Q898" s="2"/>
      <c r="R898" s="25">
        <v>0</v>
      </c>
      <c r="S898" s="25"/>
      <c r="T898" s="25"/>
      <c r="U898">
        <v>0</v>
      </c>
      <c r="X898">
        <v>0</v>
      </c>
      <c r="AA898" s="2"/>
      <c r="AB898">
        <v>22</v>
      </c>
      <c r="AC898" s="55">
        <f t="shared" si="223"/>
        <v>293.61659371519994</v>
      </c>
      <c r="AD898" s="57">
        <v>0</v>
      </c>
      <c r="AE898" s="55">
        <v>0</v>
      </c>
      <c r="AF898" s="55">
        <v>0</v>
      </c>
      <c r="AG898" s="52">
        <f t="shared" si="269"/>
        <v>7.4927645340574306E-2</v>
      </c>
      <c r="AH898" s="51"/>
      <c r="AI898" s="52"/>
      <c r="AJ898" s="52"/>
      <c r="AK898" s="28">
        <v>1.8947368421052631</v>
      </c>
      <c r="AL898" s="28">
        <v>3.1578947368421049</v>
      </c>
      <c r="AM898" s="28">
        <v>2.5263157894736841</v>
      </c>
      <c r="AN898" s="28">
        <v>2.947368421052631</v>
      </c>
      <c r="AO898" s="28">
        <v>0.18</v>
      </c>
      <c r="AP898" s="28">
        <v>0.3</v>
      </c>
      <c r="AQ898" s="28">
        <v>0.24</v>
      </c>
      <c r="AR898" s="28">
        <v>0.28000000000000003</v>
      </c>
      <c r="AS898" s="25">
        <v>0.89</v>
      </c>
      <c r="AT898" s="25">
        <v>3.44</v>
      </c>
      <c r="AU898" s="25">
        <v>2.5499999999999998</v>
      </c>
      <c r="AV898" s="25">
        <v>2.8147368421052632</v>
      </c>
      <c r="AW898">
        <v>2.8147368421052632</v>
      </c>
      <c r="AX898">
        <v>6.2004463597368424</v>
      </c>
      <c r="AY898" s="75"/>
      <c r="AZ898" s="75"/>
      <c r="BA898" s="75">
        <v>0</v>
      </c>
      <c r="BB898">
        <v>3.7463822670287153E-2</v>
      </c>
      <c r="BF898">
        <v>7.4927645340574306E-2</v>
      </c>
      <c r="BG898">
        <v>3.7463822670287153E-2</v>
      </c>
      <c r="BH898">
        <v>0</v>
      </c>
      <c r="BS898" s="79" t="s">
        <v>464</v>
      </c>
      <c r="BT898" s="79" t="s">
        <v>464</v>
      </c>
      <c r="CA898" t="e">
        <f t="shared" si="268"/>
        <v>#NUM!</v>
      </c>
    </row>
    <row r="899" spans="1:79" x14ac:dyDescent="0.3">
      <c r="A899" s="2" t="s">
        <v>423</v>
      </c>
      <c r="B899" s="13" t="s">
        <v>851</v>
      </c>
      <c r="C899" s="13"/>
      <c r="D899" s="2">
        <v>2.5099999999999998</v>
      </c>
      <c r="E899" s="2" t="s">
        <v>412</v>
      </c>
      <c r="F899" s="9">
        <v>-1</v>
      </c>
      <c r="G899">
        <v>-1</v>
      </c>
      <c r="H899" s="69" t="s">
        <v>1244</v>
      </c>
      <c r="I899" s="2">
        <v>1</v>
      </c>
      <c r="J899" s="25">
        <v>0</v>
      </c>
      <c r="K899">
        <v>0</v>
      </c>
      <c r="L899">
        <v>0</v>
      </c>
      <c r="M899" s="2">
        <v>3.8788399999999998</v>
      </c>
      <c r="N899" s="2">
        <v>3.8788399999999998</v>
      </c>
      <c r="O899" s="2">
        <v>18.3658</v>
      </c>
      <c r="P899" s="2" t="s">
        <v>439</v>
      </c>
      <c r="Q899" s="2"/>
      <c r="R899" s="25">
        <v>0</v>
      </c>
      <c r="S899" s="25"/>
      <c r="T899" s="25"/>
      <c r="U899">
        <v>0</v>
      </c>
      <c r="X899">
        <v>0</v>
      </c>
      <c r="AA899" s="2"/>
      <c r="AB899">
        <v>22</v>
      </c>
      <c r="AC899" s="55">
        <f t="shared" si="223"/>
        <v>276.32080264774049</v>
      </c>
      <c r="AD899" s="57">
        <v>0</v>
      </c>
      <c r="AE899" s="55">
        <v>0</v>
      </c>
      <c r="AF899" s="55">
        <v>0</v>
      </c>
      <c r="AG899" s="52">
        <f t="shared" si="269"/>
        <v>7.9617603123591299E-2</v>
      </c>
      <c r="AH899" s="51"/>
      <c r="AI899" s="52"/>
      <c r="AJ899" s="52"/>
      <c r="AK899" s="28">
        <v>1.9473684210526321</v>
      </c>
      <c r="AL899" s="28">
        <v>3.2105263157894739</v>
      </c>
      <c r="AM899" s="28">
        <v>2.4210526315789469</v>
      </c>
      <c r="AN899" s="28">
        <v>2.947368421052631</v>
      </c>
      <c r="AO899" s="28">
        <v>0.185</v>
      </c>
      <c r="AP899" s="28">
        <v>0.30499999999999999</v>
      </c>
      <c r="AQ899" s="28">
        <v>0.23</v>
      </c>
      <c r="AR899" s="28">
        <v>0.28000000000000003</v>
      </c>
      <c r="AS899" s="25">
        <v>0.95</v>
      </c>
      <c r="AT899" s="25">
        <v>3.44</v>
      </c>
      <c r="AU899" s="25">
        <v>2.4900000000000002</v>
      </c>
      <c r="AV899" s="25">
        <v>2.798421052631578</v>
      </c>
      <c r="AW899">
        <v>2.7984210526315789</v>
      </c>
      <c r="AX899">
        <v>6.2023549881578939</v>
      </c>
      <c r="AY899" s="75"/>
      <c r="AZ899" s="75"/>
      <c r="BA899" s="75">
        <v>0</v>
      </c>
      <c r="BB899">
        <v>3.9808801561795649E-2</v>
      </c>
      <c r="BF899">
        <v>7.9617603123591299E-2</v>
      </c>
      <c r="BG899">
        <v>3.9808801561795649E-2</v>
      </c>
      <c r="BH899">
        <v>0</v>
      </c>
      <c r="BS899" s="79" t="s">
        <v>464</v>
      </c>
      <c r="BT899" s="79" t="s">
        <v>464</v>
      </c>
      <c r="CA899" t="e">
        <f t="shared" si="268"/>
        <v>#NUM!</v>
      </c>
    </row>
    <row r="900" spans="1:79" x14ac:dyDescent="0.3">
      <c r="A900" s="2" t="s">
        <v>424</v>
      </c>
      <c r="B900" s="13" t="s">
        <v>852</v>
      </c>
      <c r="C900" s="13"/>
      <c r="D900" s="2">
        <v>2.48</v>
      </c>
      <c r="E900" s="2" t="s">
        <v>412</v>
      </c>
      <c r="F900" s="9">
        <v>-1</v>
      </c>
      <c r="G900">
        <v>-1</v>
      </c>
      <c r="H900" s="69" t="s">
        <v>1244</v>
      </c>
      <c r="I900" s="2">
        <v>1</v>
      </c>
      <c r="J900" s="25">
        <v>0</v>
      </c>
      <c r="K900">
        <v>0</v>
      </c>
      <c r="L900">
        <v>0</v>
      </c>
      <c r="M900" s="2">
        <v>3.9116</v>
      </c>
      <c r="N900" s="2">
        <v>3.9116</v>
      </c>
      <c r="O900" s="2">
        <v>18.6922</v>
      </c>
      <c r="P900" s="2" t="s">
        <v>439</v>
      </c>
      <c r="Q900" s="2"/>
      <c r="R900" s="25">
        <v>0</v>
      </c>
      <c r="S900" s="25"/>
      <c r="T900" s="25"/>
      <c r="U900">
        <v>0</v>
      </c>
      <c r="X900">
        <v>0</v>
      </c>
      <c r="AA900" s="2"/>
      <c r="AB900">
        <v>22</v>
      </c>
      <c r="AC900" s="55">
        <f t="shared" si="223"/>
        <v>286.00214747843199</v>
      </c>
      <c r="AD900" s="57">
        <v>0</v>
      </c>
      <c r="AE900" s="55">
        <v>0</v>
      </c>
      <c r="AF900" s="55">
        <v>0</v>
      </c>
      <c r="AG900" s="52">
        <f t="shared" si="269"/>
        <v>7.6922499337733347E-2</v>
      </c>
      <c r="AH900" s="51"/>
      <c r="AI900" s="52"/>
      <c r="AJ900" s="52"/>
      <c r="AK900" s="28">
        <v>1.9473684210526321</v>
      </c>
      <c r="AL900" s="28">
        <v>3.2105263157894739</v>
      </c>
      <c r="AM900" s="28">
        <v>2.4210526315789469</v>
      </c>
      <c r="AN900" s="28">
        <v>2.947368421052631</v>
      </c>
      <c r="AO900" s="28">
        <v>0.185</v>
      </c>
      <c r="AP900" s="28">
        <v>0.30499999999999999</v>
      </c>
      <c r="AQ900" s="28">
        <v>0.23</v>
      </c>
      <c r="AR900" s="28">
        <v>0.28000000000000003</v>
      </c>
      <c r="AS900" s="25">
        <v>0.89</v>
      </c>
      <c r="AT900" s="25">
        <v>3.44</v>
      </c>
      <c r="AU900" s="25">
        <v>2.5499999999999998</v>
      </c>
      <c r="AV900" s="25">
        <v>2.7952631578947358</v>
      </c>
      <c r="AW900">
        <v>2.7952631578947371</v>
      </c>
      <c r="AX900">
        <v>6.1920749131578949</v>
      </c>
      <c r="AY900" s="75"/>
      <c r="AZ900" s="75"/>
      <c r="BA900" s="75">
        <v>0</v>
      </c>
      <c r="BB900">
        <v>3.8461249668866673E-2</v>
      </c>
      <c r="BF900">
        <v>7.6922499337733347E-2</v>
      </c>
      <c r="BG900">
        <v>3.8461249668866673E-2</v>
      </c>
      <c r="BH900">
        <v>0</v>
      </c>
      <c r="BS900" s="79" t="s">
        <v>464</v>
      </c>
      <c r="BT900" s="79" t="s">
        <v>464</v>
      </c>
      <c r="CA900" t="e">
        <f t="shared" si="268"/>
        <v>#NUM!</v>
      </c>
    </row>
    <row r="901" spans="1:79" x14ac:dyDescent="0.3">
      <c r="A901" s="2" t="s">
        <v>425</v>
      </c>
      <c r="B901" s="13" t="s">
        <v>853</v>
      </c>
      <c r="C901" s="13"/>
      <c r="D901" s="2">
        <v>2.5299999999999998</v>
      </c>
      <c r="E901" s="2" t="s">
        <v>412</v>
      </c>
      <c r="F901" s="9">
        <v>-1</v>
      </c>
      <c r="G901">
        <v>-1</v>
      </c>
      <c r="H901" s="69" t="s">
        <v>1244</v>
      </c>
      <c r="I901" s="2">
        <v>1</v>
      </c>
      <c r="J901" s="25">
        <v>0</v>
      </c>
      <c r="K901">
        <v>0</v>
      </c>
      <c r="L901">
        <v>0</v>
      </c>
      <c r="M901" s="2">
        <v>3.8759000000000001</v>
      </c>
      <c r="N901" s="2">
        <v>3.8759000000000001</v>
      </c>
      <c r="O901" s="2">
        <v>18.463000000000001</v>
      </c>
      <c r="P901" s="2" t="s">
        <v>439</v>
      </c>
      <c r="Q901" s="2"/>
      <c r="R901" s="25">
        <v>0</v>
      </c>
      <c r="S901" s="25"/>
      <c r="T901" s="25"/>
      <c r="U901">
        <v>0</v>
      </c>
      <c r="X901">
        <v>0</v>
      </c>
      <c r="AA901" s="2"/>
      <c r="AB901">
        <v>22</v>
      </c>
      <c r="AC901" s="55">
        <f t="shared" si="223"/>
        <v>277.36227875502999</v>
      </c>
      <c r="AD901" s="57">
        <v>0</v>
      </c>
      <c r="AE901" s="55">
        <v>0</v>
      </c>
      <c r="AF901" s="55">
        <v>0</v>
      </c>
      <c r="AG901" s="52">
        <f t="shared" si="269"/>
        <v>7.9318644549465536E-2</v>
      </c>
      <c r="AH901" s="51"/>
      <c r="AI901" s="52"/>
      <c r="AJ901" s="52"/>
      <c r="AK901" s="28">
        <v>1.9473684210526321</v>
      </c>
      <c r="AL901" s="28">
        <v>3.3157894736842111</v>
      </c>
      <c r="AM901" s="28">
        <v>2.947368421052631</v>
      </c>
      <c r="AN901" s="28">
        <v>3.6842105263157889</v>
      </c>
      <c r="AO901" s="28">
        <v>0.16371681415929201</v>
      </c>
      <c r="AP901" s="28">
        <v>0.27876106194690259</v>
      </c>
      <c r="AQ901" s="28">
        <v>0.247787610619469</v>
      </c>
      <c r="AR901" s="28">
        <v>0.30973451327433632</v>
      </c>
      <c r="AS901" s="25">
        <v>1.54</v>
      </c>
      <c r="AT901" s="25">
        <v>3.44</v>
      </c>
      <c r="AU901" s="25">
        <v>1.9</v>
      </c>
      <c r="AV901" s="25">
        <v>2.8710526315789471</v>
      </c>
      <c r="AW901">
        <v>2.871052631578948</v>
      </c>
      <c r="AX901">
        <v>6.255683084210526</v>
      </c>
      <c r="AY901" s="75"/>
      <c r="AZ901" s="75"/>
      <c r="BA901" s="75">
        <v>0</v>
      </c>
      <c r="BB901">
        <v>3.9659322274732768E-2</v>
      </c>
      <c r="BF901">
        <v>7.9318644549465536E-2</v>
      </c>
      <c r="BG901">
        <v>3.9659322274732768E-2</v>
      </c>
      <c r="BH901">
        <v>0</v>
      </c>
      <c r="BS901" s="79" t="s">
        <v>464</v>
      </c>
      <c r="BT901" s="79" t="s">
        <v>464</v>
      </c>
      <c r="CA901" t="e">
        <f t="shared" si="268"/>
        <v>#NUM!</v>
      </c>
    </row>
    <row r="902" spans="1:79" x14ac:dyDescent="0.3">
      <c r="A902" s="2" t="s">
        <v>63</v>
      </c>
      <c r="B902" s="13" t="s">
        <v>773</v>
      </c>
      <c r="C902" s="13"/>
      <c r="D902" s="2">
        <v>3.45</v>
      </c>
      <c r="E902" s="2" t="s">
        <v>1462</v>
      </c>
      <c r="F902" s="9">
        <v>-1</v>
      </c>
      <c r="G902">
        <v>-1</v>
      </c>
      <c r="I902" s="2">
        <v>1</v>
      </c>
      <c r="J902" s="25">
        <v>0</v>
      </c>
      <c r="K902">
        <v>0</v>
      </c>
      <c r="L902">
        <v>0</v>
      </c>
      <c r="M902" s="2">
        <v>3.8531</v>
      </c>
      <c r="N902" s="2">
        <v>3.8531</v>
      </c>
      <c r="O902" s="2">
        <v>16.2151</v>
      </c>
      <c r="P902" s="2" t="s">
        <v>1137</v>
      </c>
      <c r="Q902" s="2"/>
      <c r="R902" s="25">
        <v>0</v>
      </c>
      <c r="S902" s="25"/>
      <c r="T902" s="25"/>
      <c r="U902">
        <v>0</v>
      </c>
      <c r="X902">
        <v>0</v>
      </c>
      <c r="AA902" s="2"/>
      <c r="AB902">
        <v>20</v>
      </c>
      <c r="AC902" s="55">
        <f t="shared" si="223"/>
        <v>240.73553001411099</v>
      </c>
      <c r="AD902" s="57">
        <v>0</v>
      </c>
      <c r="AE902" s="55">
        <v>0</v>
      </c>
      <c r="AF902" s="55">
        <v>0</v>
      </c>
      <c r="AG902" s="52">
        <f t="shared" si="269"/>
        <v>8.3078721279022161E-2</v>
      </c>
      <c r="AH902" s="51"/>
      <c r="AI902" s="52"/>
      <c r="AJ902" s="52"/>
      <c r="AK902" s="28">
        <v>1.75</v>
      </c>
      <c r="AL902" s="28">
        <v>2.5</v>
      </c>
      <c r="AM902" s="28">
        <v>0.75</v>
      </c>
      <c r="AN902" s="28">
        <v>0</v>
      </c>
      <c r="AO902" s="28">
        <v>0.35</v>
      </c>
      <c r="AP902" s="28">
        <v>0.5</v>
      </c>
      <c r="AQ902" s="28">
        <v>0.15</v>
      </c>
      <c r="AR902" s="28">
        <v>0</v>
      </c>
      <c r="AS902" s="25">
        <v>1</v>
      </c>
      <c r="AT902" s="25">
        <v>3.44</v>
      </c>
      <c r="AU902" s="25">
        <v>2.44</v>
      </c>
      <c r="AV902" s="25">
        <v>2.7124999999999999</v>
      </c>
      <c r="AW902">
        <v>2.7124999999999999</v>
      </c>
      <c r="AX902">
        <v>6.264025610615688</v>
      </c>
      <c r="AY902" s="75"/>
      <c r="AZ902" s="75"/>
      <c r="BA902" s="75"/>
      <c r="BB902">
        <v>4.153936063951108E-2</v>
      </c>
      <c r="BF902">
        <v>8.3078721279022161E-2</v>
      </c>
      <c r="BG902">
        <v>4.153936063951108E-2</v>
      </c>
      <c r="BH902">
        <v>0</v>
      </c>
      <c r="BI902" s="79" t="s">
        <v>1264</v>
      </c>
      <c r="BJ902" s="79">
        <v>1373</v>
      </c>
      <c r="BK902" s="79">
        <v>24</v>
      </c>
      <c r="BM902" s="79" t="s">
        <v>464</v>
      </c>
      <c r="BN902" s="79" t="s">
        <v>464</v>
      </c>
      <c r="BO902" s="79">
        <v>0</v>
      </c>
      <c r="BQ902" s="79">
        <v>0.5</v>
      </c>
      <c r="BR902" s="79">
        <v>1</v>
      </c>
      <c r="BS902" s="95" t="s">
        <v>464</v>
      </c>
      <c r="BT902" s="95" t="s">
        <v>464</v>
      </c>
      <c r="BU902" s="95" t="s">
        <v>1266</v>
      </c>
      <c r="BV902" s="95">
        <v>125</v>
      </c>
      <c r="BW902" s="95">
        <v>220</v>
      </c>
      <c r="BX902" s="95" t="s">
        <v>1287</v>
      </c>
      <c r="BY902" s="95">
        <f t="shared" ref="BY902:BY911" si="270">273+15</f>
        <v>288</v>
      </c>
      <c r="BZ902" s="81">
        <v>3896.3136115165944</v>
      </c>
      <c r="CA902">
        <f t="shared" si="268"/>
        <v>8.2677861572919618</v>
      </c>
    </row>
    <row r="903" spans="1:79" x14ac:dyDescent="0.3">
      <c r="A903" s="2" t="s">
        <v>63</v>
      </c>
      <c r="B903" s="13" t="s">
        <v>773</v>
      </c>
      <c r="C903" s="13"/>
      <c r="D903" s="2">
        <v>3.5</v>
      </c>
      <c r="E903" s="2" t="s">
        <v>1462</v>
      </c>
      <c r="F903" s="9">
        <v>-1</v>
      </c>
      <c r="G903">
        <v>-1</v>
      </c>
      <c r="I903" s="2">
        <v>2</v>
      </c>
      <c r="J903" s="25">
        <v>0</v>
      </c>
      <c r="K903">
        <v>0</v>
      </c>
      <c r="L903">
        <v>0</v>
      </c>
      <c r="M903" s="2">
        <v>3.843</v>
      </c>
      <c r="N903" s="2">
        <v>3.843</v>
      </c>
      <c r="O903" s="2">
        <v>32.261000000000003</v>
      </c>
      <c r="P903" s="2" t="s">
        <v>1138</v>
      </c>
      <c r="Q903" s="2"/>
      <c r="R903" s="25">
        <v>0</v>
      </c>
      <c r="U903">
        <v>0</v>
      </c>
      <c r="X903">
        <v>0</v>
      </c>
      <c r="AA903" s="2"/>
      <c r="AB903">
        <v>20</v>
      </c>
      <c r="AC903" s="55">
        <f t="shared" si="223"/>
        <v>476.45138538900005</v>
      </c>
      <c r="AD903" s="57">
        <v>0</v>
      </c>
      <c r="AE903" s="55">
        <v>0</v>
      </c>
      <c r="AF903" s="55">
        <v>0</v>
      </c>
      <c r="AG903" s="52">
        <f t="shared" si="269"/>
        <v>8.3954000820759267E-2</v>
      </c>
      <c r="AH903" s="52"/>
      <c r="AI903" s="52"/>
      <c r="AJ903" s="52"/>
      <c r="AK903" s="28">
        <v>1.75</v>
      </c>
      <c r="AL903" s="28">
        <v>2.5</v>
      </c>
      <c r="AM903" s="28">
        <v>0.75</v>
      </c>
      <c r="AN903" s="28">
        <v>0</v>
      </c>
      <c r="AO903" s="28">
        <v>0.35</v>
      </c>
      <c r="AP903" s="28">
        <v>0.5</v>
      </c>
      <c r="AQ903" s="28">
        <v>0.15</v>
      </c>
      <c r="AR903" s="28">
        <v>0</v>
      </c>
      <c r="AS903" s="25">
        <v>1</v>
      </c>
      <c r="AT903" s="25">
        <v>3.44</v>
      </c>
      <c r="AU903" s="25">
        <v>2.44</v>
      </c>
      <c r="AV903" s="25">
        <v>2.7124999999999999</v>
      </c>
      <c r="AW903">
        <v>2.7124999999999999</v>
      </c>
      <c r="AX903">
        <v>6.264025610615688</v>
      </c>
      <c r="AY903" s="75"/>
      <c r="AZ903" s="75"/>
      <c r="BA903" s="75"/>
      <c r="BB903">
        <v>4.1977000410379627E-2</v>
      </c>
      <c r="BF903">
        <v>8.3954000820759267E-2</v>
      </c>
      <c r="BG903">
        <v>4.1977000410379627E-2</v>
      </c>
      <c r="BH903">
        <v>0</v>
      </c>
      <c r="BI903" s="79" t="s">
        <v>1264</v>
      </c>
      <c r="BJ903" s="79">
        <v>1373</v>
      </c>
      <c r="BK903" s="79">
        <v>24</v>
      </c>
      <c r="BM903" s="79" t="s">
        <v>1268</v>
      </c>
      <c r="BN903" s="79" t="s">
        <v>863</v>
      </c>
      <c r="BO903" s="79">
        <v>1</v>
      </c>
      <c r="BQ903" s="79">
        <v>0.5</v>
      </c>
      <c r="BR903" s="79">
        <v>1</v>
      </c>
      <c r="BS903" s="95" t="s">
        <v>464</v>
      </c>
      <c r="BT903" s="95" t="s">
        <v>464</v>
      </c>
      <c r="BU903" s="95" t="s">
        <v>1266</v>
      </c>
      <c r="BV903" s="95">
        <v>125</v>
      </c>
      <c r="BW903" s="95">
        <v>220</v>
      </c>
      <c r="BX903" s="95" t="s">
        <v>1287</v>
      </c>
      <c r="BY903" s="95">
        <f t="shared" si="270"/>
        <v>288</v>
      </c>
      <c r="BZ903" s="81">
        <v>22289.937710558934</v>
      </c>
      <c r="CA903">
        <f t="shared" si="268"/>
        <v>10.011890631874392</v>
      </c>
    </row>
    <row r="904" spans="1:79" x14ac:dyDescent="0.3">
      <c r="A904" s="2" t="s">
        <v>363</v>
      </c>
      <c r="B904" s="18" t="s">
        <v>1064</v>
      </c>
      <c r="C904" s="13"/>
      <c r="D904" s="2">
        <v>3.52</v>
      </c>
      <c r="E904" s="2" t="s">
        <v>1462</v>
      </c>
      <c r="F904" s="9">
        <v>-1</v>
      </c>
      <c r="G904">
        <v>-1</v>
      </c>
      <c r="I904" s="2">
        <v>1</v>
      </c>
      <c r="J904" s="25">
        <v>0</v>
      </c>
      <c r="K904">
        <v>0</v>
      </c>
      <c r="L904">
        <v>0</v>
      </c>
      <c r="M904" s="2">
        <v>3.8693</v>
      </c>
      <c r="N904" s="2">
        <v>3.8693</v>
      </c>
      <c r="O904" s="2">
        <v>16.124700000000001</v>
      </c>
      <c r="P904" s="2" t="s">
        <v>1138</v>
      </c>
      <c r="Q904" s="2"/>
      <c r="R904" s="25">
        <v>0</v>
      </c>
      <c r="U904">
        <v>0</v>
      </c>
      <c r="X904">
        <v>0</v>
      </c>
      <c r="AA904" s="2"/>
      <c r="AB904">
        <v>20</v>
      </c>
      <c r="AC904" s="55">
        <f t="shared" si="223"/>
        <v>241.41066370650302</v>
      </c>
      <c r="AD904" s="57">
        <v>0</v>
      </c>
      <c r="AE904" s="55">
        <v>0</v>
      </c>
      <c r="AF904" s="55">
        <v>0</v>
      </c>
      <c r="AG904" s="52">
        <f t="shared" si="269"/>
        <v>8.2846381733638591E-2</v>
      </c>
      <c r="AH904" s="52"/>
      <c r="AI904" s="52"/>
      <c r="AJ904" s="52"/>
      <c r="AK904" s="28">
        <v>1.6086956521739131</v>
      </c>
      <c r="AL904" s="28">
        <v>1.956521739130435</v>
      </c>
      <c r="AM904" s="28">
        <v>0.52173913043478259</v>
      </c>
      <c r="AN904" s="28">
        <v>0</v>
      </c>
      <c r="AO904" s="28">
        <v>0.3936170212765957</v>
      </c>
      <c r="AP904" s="28">
        <v>0.47872340425531912</v>
      </c>
      <c r="AQ904" s="28">
        <v>0.1276595744680851</v>
      </c>
      <c r="AR904" s="28">
        <v>0</v>
      </c>
      <c r="AS904" s="25">
        <v>1</v>
      </c>
      <c r="AT904" s="25">
        <v>3.44</v>
      </c>
      <c r="AU904" s="25">
        <v>2.44</v>
      </c>
      <c r="AV904" s="25">
        <v>2.6082608695652172</v>
      </c>
      <c r="AW904">
        <v>2.6082608695652181</v>
      </c>
      <c r="AX904">
        <v>6.5043590032654777</v>
      </c>
      <c r="AY904" s="75"/>
      <c r="AZ904" s="75"/>
      <c r="BA904" s="75"/>
      <c r="BB904">
        <v>4.1423190866819302E-2</v>
      </c>
      <c r="BF904">
        <v>8.2846381733638591E-2</v>
      </c>
      <c r="BG904">
        <v>4.1423190866819302E-2</v>
      </c>
      <c r="BH904">
        <v>0</v>
      </c>
      <c r="BI904" s="79" t="s">
        <v>1264</v>
      </c>
      <c r="BJ904" s="79">
        <v>1373</v>
      </c>
      <c r="BK904" s="79">
        <v>24</v>
      </c>
      <c r="BM904" s="79" t="s">
        <v>464</v>
      </c>
      <c r="BN904" s="79" t="s">
        <v>464</v>
      </c>
      <c r="BO904" s="79">
        <v>0</v>
      </c>
      <c r="BQ904" s="79">
        <v>0.5</v>
      </c>
      <c r="BR904" s="79">
        <v>1</v>
      </c>
      <c r="BS904" s="95" t="s">
        <v>464</v>
      </c>
      <c r="BT904" s="95" t="s">
        <v>464</v>
      </c>
      <c r="BU904" s="95" t="s">
        <v>1266</v>
      </c>
      <c r="BV904" s="95">
        <v>125</v>
      </c>
      <c r="BW904" s="95">
        <v>220</v>
      </c>
      <c r="BX904" s="95" t="s">
        <v>1287</v>
      </c>
      <c r="BY904" s="95">
        <f t="shared" si="270"/>
        <v>288</v>
      </c>
      <c r="BZ904" s="81">
        <v>660.00811688311694</v>
      </c>
      <c r="CA904">
        <f t="shared" si="268"/>
        <v>6.4922521332526006</v>
      </c>
    </row>
    <row r="905" spans="1:79" x14ac:dyDescent="0.3">
      <c r="A905" s="2" t="s">
        <v>366</v>
      </c>
      <c r="B905" s="18" t="s">
        <v>1065</v>
      </c>
      <c r="C905" s="13"/>
      <c r="D905" s="2">
        <v>3.58</v>
      </c>
      <c r="E905" s="2" t="s">
        <v>1462</v>
      </c>
      <c r="F905" s="9">
        <v>-1</v>
      </c>
      <c r="G905">
        <v>-1</v>
      </c>
      <c r="I905" s="2">
        <v>1</v>
      </c>
      <c r="J905" s="25">
        <v>0</v>
      </c>
      <c r="K905">
        <v>0</v>
      </c>
      <c r="L905">
        <v>0</v>
      </c>
      <c r="M905" s="2">
        <v>3.8614999999999999</v>
      </c>
      <c r="N905" s="2">
        <v>3.8614999999999999</v>
      </c>
      <c r="O905" s="2">
        <v>25.281600000000001</v>
      </c>
      <c r="P905" s="2" t="s">
        <v>1137</v>
      </c>
      <c r="Q905" s="2"/>
      <c r="R905" s="25">
        <v>0</v>
      </c>
      <c r="U905">
        <v>0</v>
      </c>
      <c r="X905">
        <v>0</v>
      </c>
      <c r="AA905" s="2"/>
      <c r="AB905">
        <v>20</v>
      </c>
      <c r="AC905" s="55">
        <f t="shared" si="223"/>
        <v>376.97854517159999</v>
      </c>
      <c r="AD905" s="57">
        <v>0</v>
      </c>
      <c r="AE905" s="55">
        <v>0</v>
      </c>
      <c r="AF905" s="55">
        <v>0</v>
      </c>
      <c r="AG905" s="52">
        <f t="shared" si="269"/>
        <v>5.3053417113952825E-2</v>
      </c>
      <c r="AH905" s="52"/>
      <c r="AI905" s="52"/>
      <c r="AJ905" s="52"/>
      <c r="AK905" s="28">
        <v>1.53125</v>
      </c>
      <c r="AL905" s="28">
        <v>1.59375</v>
      </c>
      <c r="AM905" s="28">
        <v>0.375</v>
      </c>
      <c r="AN905" s="28">
        <v>0</v>
      </c>
      <c r="AO905" s="28">
        <v>0.4375</v>
      </c>
      <c r="AP905" s="28">
        <v>0.45535714285714279</v>
      </c>
      <c r="AQ905" s="28">
        <v>0.1071428571428571</v>
      </c>
      <c r="AR905" s="28">
        <v>0</v>
      </c>
      <c r="AS905" s="25">
        <v>1</v>
      </c>
      <c r="AT905" s="25">
        <v>3.44</v>
      </c>
      <c r="AU905" s="25">
        <v>2.44</v>
      </c>
      <c r="AV905" s="25">
        <v>2.5262500000000001</v>
      </c>
      <c r="AW905">
        <v>2.5262500000000001</v>
      </c>
      <c r="AX905">
        <v>6.6075924153816246</v>
      </c>
      <c r="AY905" s="75"/>
      <c r="AZ905" s="75"/>
      <c r="BA905" s="75"/>
      <c r="BB905">
        <v>2.6526708556976409E-2</v>
      </c>
      <c r="BF905">
        <v>5.3053417113952818E-2</v>
      </c>
      <c r="BG905">
        <v>2.6526708556976409E-2</v>
      </c>
      <c r="BH905">
        <v>0</v>
      </c>
      <c r="BI905" s="79" t="s">
        <v>1264</v>
      </c>
      <c r="BJ905" s="79">
        <v>1373</v>
      </c>
      <c r="BK905" s="79">
        <v>24</v>
      </c>
      <c r="BM905" s="79" t="s">
        <v>464</v>
      </c>
      <c r="BN905" s="79" t="s">
        <v>464</v>
      </c>
      <c r="BO905" s="79">
        <v>0</v>
      </c>
      <c r="BQ905" s="79">
        <v>0.5</v>
      </c>
      <c r="BR905" s="79">
        <v>1</v>
      </c>
      <c r="BS905" s="95" t="s">
        <v>464</v>
      </c>
      <c r="BT905" s="95" t="s">
        <v>464</v>
      </c>
      <c r="BU905" s="95" t="s">
        <v>1266</v>
      </c>
      <c r="BV905" s="95">
        <v>125</v>
      </c>
      <c r="BW905" s="95">
        <v>220</v>
      </c>
      <c r="BX905" s="95" t="s">
        <v>1287</v>
      </c>
      <c r="BY905" s="95">
        <f t="shared" si="270"/>
        <v>288</v>
      </c>
      <c r="BZ905" s="81">
        <v>5619.0110334674409</v>
      </c>
      <c r="CA905">
        <f t="shared" si="268"/>
        <v>8.6339109547100996</v>
      </c>
    </row>
    <row r="906" spans="1:79" x14ac:dyDescent="0.3">
      <c r="A906" s="2" t="s">
        <v>368</v>
      </c>
      <c r="B906" s="18" t="s">
        <v>1066</v>
      </c>
      <c r="C906" s="13"/>
      <c r="D906" s="2">
        <v>3.52</v>
      </c>
      <c r="E906" s="2" t="s">
        <v>1462</v>
      </c>
      <c r="F906" s="9">
        <v>-1</v>
      </c>
      <c r="G906">
        <v>-1</v>
      </c>
      <c r="I906" s="2">
        <v>1</v>
      </c>
      <c r="J906" s="25">
        <v>0</v>
      </c>
      <c r="K906">
        <v>0</v>
      </c>
      <c r="L906">
        <v>0</v>
      </c>
      <c r="M906" s="2">
        <v>3.8675999999999999</v>
      </c>
      <c r="N906" s="2">
        <v>3.8675999999999999</v>
      </c>
      <c r="O906" s="2">
        <v>34.564999999999998</v>
      </c>
      <c r="P906" s="2" t="s">
        <v>1139</v>
      </c>
      <c r="Q906" s="2"/>
      <c r="R906" s="25">
        <v>0</v>
      </c>
      <c r="U906">
        <v>0</v>
      </c>
      <c r="X906">
        <v>0</v>
      </c>
      <c r="AA906" s="2"/>
      <c r="AB906">
        <v>20</v>
      </c>
      <c r="AC906" s="55">
        <f t="shared" si="223"/>
        <v>517.03466815439992</v>
      </c>
      <c r="AD906" s="57">
        <v>0</v>
      </c>
      <c r="AE906" s="55">
        <v>0</v>
      </c>
      <c r="AF906" s="55">
        <v>0</v>
      </c>
      <c r="AG906" s="52">
        <f t="shared" si="269"/>
        <v>3.8682125652022011E-2</v>
      </c>
      <c r="AH906" s="52"/>
      <c r="AI906" s="52"/>
      <c r="AJ906" s="52"/>
      <c r="AK906" s="28">
        <v>1.4772727272727271</v>
      </c>
      <c r="AL906" s="28">
        <v>1.3409090909090911</v>
      </c>
      <c r="AM906" s="28">
        <v>0.27272727272727271</v>
      </c>
      <c r="AN906" s="28">
        <v>0</v>
      </c>
      <c r="AO906" s="28">
        <v>0.47794117647058831</v>
      </c>
      <c r="AP906" s="28">
        <v>0.43382352941176472</v>
      </c>
      <c r="AQ906" s="28">
        <v>8.8235294117647051E-2</v>
      </c>
      <c r="AR906" s="28">
        <v>0</v>
      </c>
      <c r="AS906" s="25">
        <v>1</v>
      </c>
      <c r="AT906" s="25">
        <v>3.44</v>
      </c>
      <c r="AU906" s="25">
        <v>2.44</v>
      </c>
      <c r="AV906" s="25">
        <v>2.4690909090909088</v>
      </c>
      <c r="AW906">
        <v>2.4690909090909088</v>
      </c>
      <c r="AX906">
        <v>6.679542975341362</v>
      </c>
      <c r="AY906" s="75"/>
      <c r="AZ906" s="75"/>
      <c r="BA906" s="75"/>
      <c r="BB906">
        <v>1.9341062826011009E-2</v>
      </c>
      <c r="BF906">
        <v>3.8682125652022011E-2</v>
      </c>
      <c r="BG906">
        <v>1.9341062826011009E-2</v>
      </c>
      <c r="BH906">
        <v>0</v>
      </c>
      <c r="BI906" s="79" t="s">
        <v>1264</v>
      </c>
      <c r="BJ906" s="79">
        <v>1373</v>
      </c>
      <c r="BK906" s="79">
        <v>24</v>
      </c>
      <c r="BM906" s="79" t="s">
        <v>464</v>
      </c>
      <c r="BN906" s="79" t="s">
        <v>464</v>
      </c>
      <c r="BO906" s="79">
        <v>0</v>
      </c>
      <c r="BQ906" s="79">
        <v>0.5</v>
      </c>
      <c r="BR906" s="79">
        <v>1</v>
      </c>
      <c r="BS906" s="95" t="s">
        <v>464</v>
      </c>
      <c r="BT906" s="95" t="s">
        <v>464</v>
      </c>
      <c r="BU906" s="95" t="s">
        <v>1266</v>
      </c>
      <c r="BV906" s="95">
        <v>125</v>
      </c>
      <c r="BW906" s="95">
        <v>220</v>
      </c>
      <c r="BX906" s="95" t="s">
        <v>1287</v>
      </c>
      <c r="BY906" s="95">
        <f t="shared" si="270"/>
        <v>288</v>
      </c>
      <c r="BZ906" s="81">
        <v>14227.337383817163</v>
      </c>
      <c r="CA906">
        <f t="shared" si="268"/>
        <v>9.5629205607030965</v>
      </c>
    </row>
    <row r="907" spans="1:79" x14ac:dyDescent="0.3">
      <c r="A907" s="2" t="s">
        <v>363</v>
      </c>
      <c r="B907" s="18" t="s">
        <v>1064</v>
      </c>
      <c r="C907" s="13"/>
      <c r="D907" s="2">
        <v>3.58</v>
      </c>
      <c r="E907" s="2" t="s">
        <v>1462</v>
      </c>
      <c r="F907" s="9">
        <v>-1</v>
      </c>
      <c r="G907">
        <v>-1</v>
      </c>
      <c r="I907" s="2">
        <v>2</v>
      </c>
      <c r="J907" s="25">
        <v>0</v>
      </c>
      <c r="K907">
        <v>0</v>
      </c>
      <c r="L907">
        <v>0</v>
      </c>
      <c r="M907" s="2">
        <v>3.8532999999999999</v>
      </c>
      <c r="N907" s="2">
        <v>3.8532999999999999</v>
      </c>
      <c r="O907" s="2">
        <v>31.7422</v>
      </c>
      <c r="P907" s="2" t="s">
        <v>1138</v>
      </c>
      <c r="Q907" s="2"/>
      <c r="R907" s="25">
        <v>0</v>
      </c>
      <c r="U907">
        <v>0</v>
      </c>
      <c r="X907">
        <v>0</v>
      </c>
      <c r="AA907" s="2"/>
      <c r="AB907">
        <v>20</v>
      </c>
      <c r="AC907" s="55">
        <f t="shared" si="223"/>
        <v>471.30567447455797</v>
      </c>
      <c r="AD907" s="57">
        <v>0</v>
      </c>
      <c r="AE907" s="55">
        <v>0</v>
      </c>
      <c r="AF907" s="55">
        <v>0</v>
      </c>
      <c r="AG907" s="52">
        <f t="shared" si="269"/>
        <v>8.4870609810914294E-2</v>
      </c>
      <c r="AH907" s="52"/>
      <c r="AI907" s="52"/>
      <c r="AJ907" s="52"/>
      <c r="AK907" s="28">
        <v>1.6086956521739131</v>
      </c>
      <c r="AL907" s="28">
        <v>1.956521739130435</v>
      </c>
      <c r="AM907" s="28">
        <v>0.52173913043478259</v>
      </c>
      <c r="AN907" s="28">
        <v>0</v>
      </c>
      <c r="AO907" s="28">
        <v>0.3936170212765957</v>
      </c>
      <c r="AP907" s="28">
        <v>0.47872340425531912</v>
      </c>
      <c r="AQ907" s="28">
        <v>0.1276595744680851</v>
      </c>
      <c r="AR907" s="28">
        <v>0</v>
      </c>
      <c r="AS907" s="25">
        <v>1</v>
      </c>
      <c r="AT907" s="25">
        <v>3.44</v>
      </c>
      <c r="AU907" s="25">
        <v>2.44</v>
      </c>
      <c r="AV907" s="25">
        <v>2.6082608695652172</v>
      </c>
      <c r="AW907">
        <v>2.6082608695652181</v>
      </c>
      <c r="AX907">
        <v>6.5043590032654777</v>
      </c>
      <c r="AY907" s="75"/>
      <c r="AZ907" s="75"/>
      <c r="BA907" s="75"/>
      <c r="BB907">
        <v>4.2435304905457147E-2</v>
      </c>
      <c r="BF907">
        <v>8.4870609810914294E-2</v>
      </c>
      <c r="BG907">
        <v>4.2435304905457147E-2</v>
      </c>
      <c r="BH907">
        <v>0</v>
      </c>
      <c r="BI907" s="79" t="s">
        <v>1264</v>
      </c>
      <c r="BJ907" s="79">
        <v>1373</v>
      </c>
      <c r="BK907" s="79">
        <v>24</v>
      </c>
      <c r="BM907" s="79" t="s">
        <v>1268</v>
      </c>
      <c r="BN907" s="79" t="s">
        <v>863</v>
      </c>
      <c r="BO907" s="79">
        <v>1</v>
      </c>
      <c r="BQ907" s="79">
        <v>0.5</v>
      </c>
      <c r="BR907" s="79">
        <v>1</v>
      </c>
      <c r="BS907" s="95" t="s">
        <v>464</v>
      </c>
      <c r="BT907" s="95" t="s">
        <v>464</v>
      </c>
      <c r="BU907" s="95" t="s">
        <v>1266</v>
      </c>
      <c r="BV907" s="95">
        <v>125</v>
      </c>
      <c r="BW907" s="95">
        <v>220</v>
      </c>
      <c r="BX907" s="95" t="s">
        <v>1287</v>
      </c>
      <c r="BY907" s="95">
        <f t="shared" si="270"/>
        <v>288</v>
      </c>
      <c r="BZ907" s="81">
        <v>2414.5178870043005</v>
      </c>
      <c r="CA907">
        <f t="shared" si="268"/>
        <v>7.7892549134469764</v>
      </c>
    </row>
    <row r="908" spans="1:79" x14ac:dyDescent="0.3">
      <c r="A908" s="2" t="s">
        <v>366</v>
      </c>
      <c r="B908" s="18" t="s">
        <v>1065</v>
      </c>
      <c r="C908" s="13"/>
      <c r="D908" s="2">
        <v>3.59</v>
      </c>
      <c r="E908" s="2" t="s">
        <v>1462</v>
      </c>
      <c r="F908" s="9">
        <v>-1</v>
      </c>
      <c r="G908">
        <v>-1</v>
      </c>
      <c r="I908" s="2">
        <v>1</v>
      </c>
      <c r="J908" s="25">
        <v>0</v>
      </c>
      <c r="K908">
        <v>0</v>
      </c>
      <c r="L908">
        <v>0</v>
      </c>
      <c r="M908" s="2">
        <v>3.8580000000000001</v>
      </c>
      <c r="N908" s="2">
        <v>3.8580000000000001</v>
      </c>
      <c r="O908" s="2">
        <v>23.879799999999999</v>
      </c>
      <c r="P908" s="2" t="s">
        <v>1137</v>
      </c>
      <c r="Q908" s="2"/>
      <c r="R908" s="25">
        <v>0</v>
      </c>
      <c r="U908">
        <v>0</v>
      </c>
      <c r="X908">
        <v>0</v>
      </c>
      <c r="AA908" s="2"/>
      <c r="AB908">
        <v>20</v>
      </c>
      <c r="AC908" s="55">
        <f t="shared" ref="AC908:AC918" si="271">M908*N908*O908</f>
        <v>355.4308594872</v>
      </c>
      <c r="AD908" s="57">
        <v>0</v>
      </c>
      <c r="AE908" s="55">
        <v>0</v>
      </c>
      <c r="AF908" s="55">
        <v>0</v>
      </c>
      <c r="AG908" s="52">
        <f t="shared" si="269"/>
        <v>5.6269734228634849E-2</v>
      </c>
      <c r="AH908" s="52"/>
      <c r="AI908" s="52"/>
      <c r="AJ908" s="52"/>
      <c r="AK908" s="28">
        <v>1.53125</v>
      </c>
      <c r="AL908" s="28">
        <v>1.59375</v>
      </c>
      <c r="AM908" s="28">
        <v>0.375</v>
      </c>
      <c r="AN908" s="28">
        <v>0</v>
      </c>
      <c r="AO908" s="28">
        <v>0.4375</v>
      </c>
      <c r="AP908" s="28">
        <v>0.45535714285714279</v>
      </c>
      <c r="AQ908" s="28">
        <v>0.1071428571428571</v>
      </c>
      <c r="AR908" s="28">
        <v>0</v>
      </c>
      <c r="AS908" s="25">
        <v>1</v>
      </c>
      <c r="AT908" s="25">
        <v>3.44</v>
      </c>
      <c r="AU908" s="25">
        <v>2.44</v>
      </c>
      <c r="AV908" s="25">
        <v>2.5262500000000001</v>
      </c>
      <c r="AW908">
        <v>2.5262500000000001</v>
      </c>
      <c r="AX908">
        <v>6.6075924153816246</v>
      </c>
      <c r="AY908" s="75"/>
      <c r="AZ908" s="75"/>
      <c r="BA908" s="75"/>
      <c r="BB908">
        <v>2.8134867114317421E-2</v>
      </c>
      <c r="BF908">
        <v>5.6269734228634849E-2</v>
      </c>
      <c r="BG908">
        <v>2.8134867114317421E-2</v>
      </c>
      <c r="BH908">
        <v>0</v>
      </c>
      <c r="BI908" s="79" t="s">
        <v>1264</v>
      </c>
      <c r="BJ908" s="79">
        <v>1373</v>
      </c>
      <c r="BK908" s="79">
        <v>24</v>
      </c>
      <c r="BM908" s="79" t="s">
        <v>1268</v>
      </c>
      <c r="BN908" s="79" t="s">
        <v>863</v>
      </c>
      <c r="BO908" s="79">
        <v>1</v>
      </c>
      <c r="BQ908" s="79">
        <v>0.5</v>
      </c>
      <c r="BR908" s="79">
        <v>1</v>
      </c>
      <c r="BS908" s="95" t="s">
        <v>464</v>
      </c>
      <c r="BT908" s="95" t="s">
        <v>464</v>
      </c>
      <c r="BU908" s="95" t="s">
        <v>1266</v>
      </c>
      <c r="BV908" s="95">
        <v>125</v>
      </c>
      <c r="BW908" s="95">
        <v>220</v>
      </c>
      <c r="BX908" s="95" t="s">
        <v>1287</v>
      </c>
      <c r="BY908" s="95">
        <f t="shared" si="270"/>
        <v>288</v>
      </c>
      <c r="BZ908" s="81">
        <v>37970.449996693293</v>
      </c>
      <c r="CA908">
        <f t="shared" si="268"/>
        <v>10.544563504530213</v>
      </c>
    </row>
    <row r="909" spans="1:79" x14ac:dyDescent="0.3">
      <c r="A909" s="2" t="s">
        <v>368</v>
      </c>
      <c r="B909" s="18" t="s">
        <v>1066</v>
      </c>
      <c r="C909" s="13"/>
      <c r="D909" s="2">
        <v>3.62</v>
      </c>
      <c r="E909" s="2" t="s">
        <v>1462</v>
      </c>
      <c r="F909" s="9">
        <v>-1</v>
      </c>
      <c r="G909">
        <v>-1</v>
      </c>
      <c r="I909" s="2">
        <v>1</v>
      </c>
      <c r="J909" s="25">
        <v>0</v>
      </c>
      <c r="K909">
        <v>0</v>
      </c>
      <c r="L909">
        <v>0</v>
      </c>
      <c r="M909" s="2">
        <v>3.8639000000000001</v>
      </c>
      <c r="N909" s="2">
        <v>3.8639000000000001</v>
      </c>
      <c r="O909" s="2">
        <v>34.090000000000003</v>
      </c>
      <c r="P909" s="2" t="s">
        <v>1138</v>
      </c>
      <c r="Q909" s="2"/>
      <c r="R909" s="25">
        <v>0</v>
      </c>
      <c r="U909">
        <v>0</v>
      </c>
      <c r="X909">
        <v>0</v>
      </c>
      <c r="AA909" s="2"/>
      <c r="AB909">
        <v>20</v>
      </c>
      <c r="AC909" s="55">
        <f t="shared" si="271"/>
        <v>508.95426422890006</v>
      </c>
      <c r="AD909" s="57">
        <v>0</v>
      </c>
      <c r="AE909" s="55">
        <v>0</v>
      </c>
      <c r="AF909" s="55">
        <v>0</v>
      </c>
      <c r="AG909" s="52">
        <f t="shared" si="269"/>
        <v>3.9296261777669442E-2</v>
      </c>
      <c r="AH909" s="52"/>
      <c r="AI909" s="52"/>
      <c r="AJ909" s="52"/>
      <c r="AK909" s="28">
        <v>1.4772727272727271</v>
      </c>
      <c r="AL909" s="28">
        <v>1.3409090909090911</v>
      </c>
      <c r="AM909" s="28">
        <v>0.27272727272727271</v>
      </c>
      <c r="AN909" s="28">
        <v>0</v>
      </c>
      <c r="AO909" s="28">
        <v>0.47794117647058831</v>
      </c>
      <c r="AP909" s="28">
        <v>0.43382352941176472</v>
      </c>
      <c r="AQ909" s="28">
        <v>8.8235294117647051E-2</v>
      </c>
      <c r="AR909" s="28">
        <v>0</v>
      </c>
      <c r="AS909" s="25">
        <v>1</v>
      </c>
      <c r="AT909" s="25">
        <v>3.44</v>
      </c>
      <c r="AU909" s="25">
        <v>2.44</v>
      </c>
      <c r="AV909" s="25">
        <v>2.4690909090909088</v>
      </c>
      <c r="AW909">
        <v>2.4690909090909088</v>
      </c>
      <c r="AX909">
        <v>6.679542975341362</v>
      </c>
      <c r="AY909" s="75"/>
      <c r="AZ909" s="75"/>
      <c r="BA909" s="75"/>
      <c r="BB909">
        <v>1.9648130888834721E-2</v>
      </c>
      <c r="BF909">
        <v>3.9296261777669442E-2</v>
      </c>
      <c r="BG909">
        <v>1.9648130888834721E-2</v>
      </c>
      <c r="BH909">
        <v>0</v>
      </c>
      <c r="BI909" s="79" t="s">
        <v>1264</v>
      </c>
      <c r="BJ909" s="79">
        <v>1373</v>
      </c>
      <c r="BK909" s="79">
        <v>24</v>
      </c>
      <c r="BM909" s="79" t="s">
        <v>1268</v>
      </c>
      <c r="BN909" s="79" t="s">
        <v>863</v>
      </c>
      <c r="BO909" s="79">
        <v>1</v>
      </c>
      <c r="BQ909" s="79">
        <v>0.5</v>
      </c>
      <c r="BR909" s="79">
        <v>1</v>
      </c>
      <c r="BS909" s="95" t="s">
        <v>464</v>
      </c>
      <c r="BT909" s="95" t="s">
        <v>464</v>
      </c>
      <c r="BU909" s="95" t="s">
        <v>1266</v>
      </c>
      <c r="BV909" s="95">
        <v>125</v>
      </c>
      <c r="BW909" s="95">
        <v>220</v>
      </c>
      <c r="BX909" s="95" t="s">
        <v>1287</v>
      </c>
      <c r="BY909" s="95">
        <f t="shared" si="270"/>
        <v>288</v>
      </c>
      <c r="BZ909" s="81">
        <v>10657.604586693549</v>
      </c>
      <c r="CA909">
        <f t="shared" si="268"/>
        <v>9.2740289620271561</v>
      </c>
    </row>
    <row r="910" spans="1:79" x14ac:dyDescent="0.3">
      <c r="A910" s="2" t="s">
        <v>1289</v>
      </c>
      <c r="B910" s="18"/>
      <c r="C910" s="13"/>
      <c r="D910" s="2"/>
      <c r="E910" s="2" t="s">
        <v>1462</v>
      </c>
      <c r="F910" s="9">
        <v>-1</v>
      </c>
      <c r="G910">
        <v>-1</v>
      </c>
      <c r="H910" t="s">
        <v>1292</v>
      </c>
      <c r="I910" s="2"/>
      <c r="J910" s="25"/>
      <c r="M910" s="2"/>
      <c r="N910" s="2"/>
      <c r="O910" s="2"/>
      <c r="P910" s="2"/>
      <c r="Q910" s="2"/>
      <c r="R910" s="25">
        <v>0</v>
      </c>
      <c r="U910">
        <v>0</v>
      </c>
      <c r="X910">
        <v>0</v>
      </c>
      <c r="AA910" s="2"/>
      <c r="AB910">
        <v>20</v>
      </c>
      <c r="AC910" s="55">
        <f t="shared" ref="AC910" si="272">M910*N910*O910</f>
        <v>0</v>
      </c>
      <c r="AD910" s="57">
        <v>0</v>
      </c>
      <c r="AE910" s="55">
        <v>0</v>
      </c>
      <c r="AF910" s="55">
        <v>0</v>
      </c>
      <c r="AG910" s="52" t="e">
        <f t="shared" ref="AG910" si="273">I910*AB910/AC910</f>
        <v>#DIV/0!</v>
      </c>
      <c r="AH910" s="52"/>
      <c r="AI910" s="52"/>
      <c r="AJ910" s="52"/>
      <c r="AK910" s="28">
        <v>1.4772727272727271</v>
      </c>
      <c r="AL910" s="28">
        <v>1.3409090909090911</v>
      </c>
      <c r="AM910" s="28">
        <v>0.27272727272727271</v>
      </c>
      <c r="AN910" s="28">
        <v>0</v>
      </c>
      <c r="AO910" s="28">
        <v>0.47794117647058831</v>
      </c>
      <c r="AP910" s="28">
        <v>0.43382352941176472</v>
      </c>
      <c r="AQ910" s="28">
        <v>8.8235294117647051E-2</v>
      </c>
      <c r="AR910" s="28">
        <v>0</v>
      </c>
      <c r="AS910" s="25">
        <v>1</v>
      </c>
      <c r="AT910" s="25">
        <v>3.44</v>
      </c>
      <c r="AU910" s="25">
        <v>2.44</v>
      </c>
      <c r="AV910" s="25">
        <v>2.4690909090909088</v>
      </c>
      <c r="AW910">
        <v>2.4690909090909088</v>
      </c>
      <c r="AX910">
        <v>6.679542975341362</v>
      </c>
      <c r="AY910" s="75"/>
      <c r="AZ910" s="75"/>
      <c r="BA910" s="75"/>
      <c r="BB910">
        <v>1.9648130888834721E-2</v>
      </c>
      <c r="BF910">
        <v>3.9296261777669442E-2</v>
      </c>
      <c r="BG910">
        <v>1.9648130888834721E-2</v>
      </c>
      <c r="BH910">
        <v>0</v>
      </c>
      <c r="BI910" s="79" t="s">
        <v>1290</v>
      </c>
      <c r="BM910" s="79" t="s">
        <v>464</v>
      </c>
      <c r="BN910" s="79" t="s">
        <v>464</v>
      </c>
      <c r="BO910" s="79">
        <v>0</v>
      </c>
      <c r="BQ910" s="79">
        <v>0.5</v>
      </c>
      <c r="BR910" s="79">
        <v>1</v>
      </c>
      <c r="BS910" s="95" t="s">
        <v>464</v>
      </c>
      <c r="BT910" s="95" t="s">
        <v>464</v>
      </c>
      <c r="BU910" s="95" t="s">
        <v>1266</v>
      </c>
      <c r="BV910" s="95">
        <v>125</v>
      </c>
      <c r="BW910" s="95">
        <v>220</v>
      </c>
      <c r="BX910" s="95" t="s">
        <v>1287</v>
      </c>
      <c r="BY910" s="95">
        <f t="shared" si="270"/>
        <v>288</v>
      </c>
      <c r="BZ910" s="81">
        <v>95.454545454545453</v>
      </c>
      <c r="CA910">
        <f t="shared" si="268"/>
        <v>4.5586501703531983</v>
      </c>
    </row>
    <row r="911" spans="1:79" x14ac:dyDescent="0.3">
      <c r="A911" s="2" t="s">
        <v>1289</v>
      </c>
      <c r="B911" s="18"/>
      <c r="C911" s="13"/>
      <c r="D911" s="2"/>
      <c r="E911" s="2" t="s">
        <v>1462</v>
      </c>
      <c r="F911" s="9">
        <v>-1</v>
      </c>
      <c r="G911">
        <v>-1</v>
      </c>
      <c r="H911" t="s">
        <v>1292</v>
      </c>
      <c r="I911" s="2"/>
      <c r="J911" s="25"/>
      <c r="M911" s="2"/>
      <c r="N911" s="2"/>
      <c r="O911" s="2"/>
      <c r="P911" s="2"/>
      <c r="Q911" s="2"/>
      <c r="R911" s="25">
        <v>0</v>
      </c>
      <c r="U911">
        <v>0</v>
      </c>
      <c r="X911">
        <v>0</v>
      </c>
      <c r="AA911" s="2"/>
      <c r="AB911">
        <v>20</v>
      </c>
      <c r="AC911" s="55">
        <f t="shared" ref="AC911" si="274">M911*N911*O911</f>
        <v>0</v>
      </c>
      <c r="AD911" s="57">
        <v>0</v>
      </c>
      <c r="AE911" s="55">
        <v>0</v>
      </c>
      <c r="AF911" s="55">
        <v>0</v>
      </c>
      <c r="AG911" s="52" t="e">
        <f t="shared" ref="AG911" si="275">I911*AB911/AC911</f>
        <v>#DIV/0!</v>
      </c>
      <c r="AH911" s="52"/>
      <c r="AI911" s="52"/>
      <c r="AJ911" s="52"/>
      <c r="AK911" s="28">
        <v>1.4772727272727271</v>
      </c>
      <c r="AL911" s="28">
        <v>1.3409090909090911</v>
      </c>
      <c r="AM911" s="28">
        <v>0.27272727272727271</v>
      </c>
      <c r="AN911" s="28">
        <v>0</v>
      </c>
      <c r="AO911" s="28">
        <v>0.47794117647058831</v>
      </c>
      <c r="AP911" s="28">
        <v>0.43382352941176472</v>
      </c>
      <c r="AQ911" s="28">
        <v>8.8235294117647051E-2</v>
      </c>
      <c r="AR911" s="28">
        <v>0</v>
      </c>
      <c r="AS911" s="25">
        <v>1</v>
      </c>
      <c r="AT911" s="25">
        <v>3.44</v>
      </c>
      <c r="AU911" s="25">
        <v>2.44</v>
      </c>
      <c r="AV911" s="25">
        <v>2.4690909090909088</v>
      </c>
      <c r="AW911">
        <v>2.4690909090909088</v>
      </c>
      <c r="AX911">
        <v>6.679542975341362</v>
      </c>
      <c r="AY911" s="75"/>
      <c r="AZ911" s="75"/>
      <c r="BA911" s="75"/>
      <c r="BB911">
        <v>1.9648130888834721E-2</v>
      </c>
      <c r="BF911">
        <v>3.9296261777669442E-2</v>
      </c>
      <c r="BG911">
        <v>1.9648130888834721E-2</v>
      </c>
      <c r="BH911">
        <v>0</v>
      </c>
      <c r="BI911" s="79" t="s">
        <v>1290</v>
      </c>
      <c r="BM911" s="79" t="s">
        <v>1268</v>
      </c>
      <c r="BN911" s="79" t="s">
        <v>863</v>
      </c>
      <c r="BO911" s="79">
        <v>1</v>
      </c>
      <c r="BQ911" s="79">
        <v>0.5</v>
      </c>
      <c r="BR911" s="79">
        <v>1</v>
      </c>
      <c r="BS911" s="95" t="s">
        <v>464</v>
      </c>
      <c r="BT911" s="95" t="s">
        <v>464</v>
      </c>
      <c r="BU911" s="95" t="s">
        <v>1266</v>
      </c>
      <c r="BV911" s="95">
        <v>125</v>
      </c>
      <c r="BW911" s="95">
        <v>220</v>
      </c>
      <c r="BX911" s="95" t="s">
        <v>1287</v>
      </c>
      <c r="BY911" s="95">
        <f t="shared" si="270"/>
        <v>288</v>
      </c>
      <c r="BZ911" s="81">
        <v>133.13466778756961</v>
      </c>
      <c r="CA911">
        <f t="shared" si="268"/>
        <v>4.8913611557053054</v>
      </c>
    </row>
    <row r="912" spans="1:79" x14ac:dyDescent="0.3">
      <c r="A912" s="2" t="s">
        <v>107</v>
      </c>
      <c r="B912" s="18" t="s">
        <v>1066</v>
      </c>
      <c r="C912" s="13"/>
      <c r="D912" s="2">
        <v>3.61</v>
      </c>
      <c r="F912" s="9">
        <v>-1</v>
      </c>
      <c r="G912">
        <v>-1</v>
      </c>
      <c r="I912" s="2">
        <v>2</v>
      </c>
      <c r="J912" s="25">
        <v>0</v>
      </c>
      <c r="K912">
        <v>0</v>
      </c>
      <c r="L912">
        <v>0</v>
      </c>
      <c r="M912" s="2"/>
      <c r="N912" s="2"/>
      <c r="O912" s="2"/>
      <c r="P912" s="2"/>
      <c r="U912">
        <v>0</v>
      </c>
      <c r="X912">
        <v>0</v>
      </c>
      <c r="AA912" s="2"/>
      <c r="AB912">
        <v>20</v>
      </c>
      <c r="AC912" s="55">
        <f t="shared" si="271"/>
        <v>0</v>
      </c>
      <c r="AD912" s="57">
        <v>0</v>
      </c>
      <c r="AE912" s="55">
        <v>0</v>
      </c>
      <c r="AF912" s="55">
        <v>0</v>
      </c>
      <c r="AG912" s="52" t="e">
        <f t="shared" si="269"/>
        <v>#DIV/0!</v>
      </c>
      <c r="AH912" s="52"/>
      <c r="AI912" s="52"/>
      <c r="AJ912" s="52"/>
      <c r="AK912" s="28">
        <v>1.4772727272727271</v>
      </c>
      <c r="AL912" s="28">
        <v>1.3409090909090911</v>
      </c>
      <c r="AM912" s="28">
        <v>0.27272727272727271</v>
      </c>
      <c r="AN912" s="28">
        <v>0</v>
      </c>
      <c r="AO912" s="28">
        <v>0.47794117647058831</v>
      </c>
      <c r="AP912" s="28">
        <v>0.43382352941176472</v>
      </c>
      <c r="AQ912" s="28">
        <v>8.8235294117647051E-2</v>
      </c>
      <c r="AR912" s="28">
        <v>0</v>
      </c>
      <c r="AS912" s="25">
        <v>1</v>
      </c>
      <c r="AT912" s="25">
        <v>3.44</v>
      </c>
      <c r="AU912" s="25">
        <v>2.44</v>
      </c>
      <c r="AV912" s="25">
        <v>2.4690909090909088</v>
      </c>
      <c r="AW912">
        <v>2.4690909090909088</v>
      </c>
      <c r="AX912">
        <v>6.679542975341362</v>
      </c>
      <c r="AY912" s="75"/>
      <c r="AZ912" s="75"/>
      <c r="BA912" s="75"/>
      <c r="BB912">
        <v>3.8383725630432727E-2</v>
      </c>
      <c r="BF912">
        <v>7.6767451260865469E-2</v>
      </c>
      <c r="BG912">
        <v>3.8383725630432727E-2</v>
      </c>
      <c r="BH912">
        <v>0</v>
      </c>
      <c r="BK912" s="79">
        <v>24</v>
      </c>
      <c r="CA912" t="e">
        <f t="shared" si="268"/>
        <v>#NUM!</v>
      </c>
    </row>
    <row r="913" spans="1:79" x14ac:dyDescent="0.3">
      <c r="A913" s="2" t="s">
        <v>4</v>
      </c>
      <c r="B913" s="13" t="s">
        <v>689</v>
      </c>
      <c r="C913" s="13"/>
      <c r="D913" s="2">
        <v>3.5</v>
      </c>
      <c r="E913" s="4"/>
      <c r="F913" s="9"/>
      <c r="I913" s="2">
        <v>2</v>
      </c>
      <c r="K913">
        <v>0</v>
      </c>
      <c r="L913">
        <v>0</v>
      </c>
      <c r="M913">
        <v>3.86</v>
      </c>
      <c r="N913">
        <v>3.86</v>
      </c>
      <c r="O913" s="2">
        <v>29.5</v>
      </c>
      <c r="U913">
        <v>0</v>
      </c>
      <c r="X913">
        <v>0</v>
      </c>
      <c r="AB913">
        <v>20</v>
      </c>
      <c r="AC913" s="55">
        <f t="shared" si="271"/>
        <v>439.53819999999996</v>
      </c>
      <c r="AD913" s="55"/>
      <c r="AE913" s="55">
        <v>0</v>
      </c>
      <c r="AF913" s="55">
        <v>0</v>
      </c>
      <c r="AG913" s="52">
        <f t="shared" si="269"/>
        <v>9.1004604377958515E-2</v>
      </c>
      <c r="AH913" s="52"/>
      <c r="AI913" s="52"/>
      <c r="AJ913" s="52"/>
      <c r="AK913" s="28"/>
      <c r="AL913" s="28"/>
      <c r="AM913" s="28"/>
      <c r="AN913" s="28"/>
      <c r="AO913" s="28"/>
      <c r="AP913" s="28"/>
      <c r="AQ913" s="28"/>
      <c r="AR913" s="28"/>
      <c r="AY913" s="75"/>
      <c r="AZ913" s="75"/>
      <c r="BA913" s="75"/>
      <c r="BB913">
        <v>4.5502302188979257E-2</v>
      </c>
      <c r="BF913">
        <v>9.1004604377958515E-2</v>
      </c>
      <c r="BG913">
        <v>4.5502302188979257E-2</v>
      </c>
      <c r="BH913">
        <v>0</v>
      </c>
      <c r="BK913" s="79">
        <v>24</v>
      </c>
      <c r="CA913" t="e">
        <f t="shared" si="268"/>
        <v>#NUM!</v>
      </c>
    </row>
    <row r="914" spans="1:79" x14ac:dyDescent="0.3">
      <c r="A914" s="2" t="s">
        <v>1177</v>
      </c>
      <c r="B914" t="s">
        <v>1245</v>
      </c>
      <c r="D914" s="2">
        <v>3.6</v>
      </c>
      <c r="I914" s="2">
        <v>2</v>
      </c>
      <c r="K914">
        <v>4</v>
      </c>
      <c r="L914">
        <v>0</v>
      </c>
      <c r="M914">
        <v>3.85</v>
      </c>
      <c r="N914">
        <v>3.85</v>
      </c>
      <c r="O914" s="2">
        <v>29.5</v>
      </c>
      <c r="U914">
        <v>3.8801999999999999</v>
      </c>
      <c r="V914">
        <v>29.507999999999999</v>
      </c>
      <c r="W914">
        <v>7.7140000000000004</v>
      </c>
      <c r="X914">
        <v>0</v>
      </c>
      <c r="AB914">
        <v>20</v>
      </c>
      <c r="AC914" s="55">
        <f t="shared" si="271"/>
        <v>437.26375000000007</v>
      </c>
      <c r="AD914" s="55"/>
      <c r="AE914" s="55">
        <v>883.22940750240002</v>
      </c>
      <c r="AF914" s="55">
        <v>0</v>
      </c>
      <c r="AG914" s="52">
        <f t="shared" si="269"/>
        <v>9.1477969532118758E-2</v>
      </c>
      <c r="AH914" s="52"/>
      <c r="AI914" s="52">
        <v>9.0576694254581439E-2</v>
      </c>
      <c r="AJ914" s="52"/>
      <c r="AK914" s="28"/>
      <c r="AL914" s="28"/>
      <c r="AM914" s="28"/>
      <c r="AN914" s="28"/>
      <c r="AO914" s="28"/>
      <c r="AP914" s="28"/>
      <c r="AQ914" s="28"/>
      <c r="AR914" s="28"/>
      <c r="AY914" s="75"/>
      <c r="AZ914" s="75"/>
      <c r="BA914" s="75"/>
      <c r="BB914">
        <v>4.5738984766059379E-2</v>
      </c>
      <c r="BD914">
        <v>4.5288347127290719E-2</v>
      </c>
      <c r="BF914">
        <v>9.1027331893350105E-2</v>
      </c>
      <c r="BG914">
        <v>4.5513665946675053E-2</v>
      </c>
      <c r="BH914">
        <v>0</v>
      </c>
      <c r="BK914" s="79">
        <v>24</v>
      </c>
      <c r="CA914" t="e">
        <f t="shared" si="268"/>
        <v>#NUM!</v>
      </c>
    </row>
    <row r="915" spans="1:79" x14ac:dyDescent="0.3">
      <c r="A915" s="2" t="s">
        <v>1178</v>
      </c>
      <c r="B915" t="s">
        <v>1246</v>
      </c>
      <c r="D915" s="2">
        <v>3.8</v>
      </c>
      <c r="I915" s="2">
        <v>2</v>
      </c>
      <c r="K915">
        <v>0</v>
      </c>
      <c r="L915">
        <v>0</v>
      </c>
      <c r="M915">
        <v>3.88</v>
      </c>
      <c r="N915">
        <v>3.88</v>
      </c>
      <c r="O915" s="2">
        <v>29.8</v>
      </c>
      <c r="U915">
        <v>0</v>
      </c>
      <c r="X915">
        <v>0</v>
      </c>
      <c r="AB915">
        <v>20</v>
      </c>
      <c r="AC915" s="55">
        <f t="shared" si="271"/>
        <v>448.62112000000002</v>
      </c>
      <c r="AD915" s="55"/>
      <c r="AE915" s="55">
        <v>0</v>
      </c>
      <c r="AF915" s="55">
        <v>0</v>
      </c>
      <c r="AG915" s="52">
        <f t="shared" si="269"/>
        <v>8.9162097406381577E-2</v>
      </c>
      <c r="AH915" s="52"/>
      <c r="AI915" s="52"/>
      <c r="AJ915" s="52"/>
      <c r="AK915" s="28"/>
      <c r="AL915" s="28"/>
      <c r="AM915" s="28"/>
      <c r="AN915" s="28"/>
      <c r="AO915" s="28"/>
      <c r="AP915" s="28"/>
      <c r="AQ915" s="28"/>
      <c r="AR915" s="28"/>
      <c r="AY915" s="75"/>
      <c r="AZ915" s="75"/>
      <c r="BA915" s="75"/>
      <c r="BB915">
        <v>4.4581048703190788E-2</v>
      </c>
      <c r="BF915">
        <v>8.9162097406381577E-2</v>
      </c>
      <c r="BG915">
        <v>4.4581048703190788E-2</v>
      </c>
      <c r="BH915">
        <v>0</v>
      </c>
      <c r="BK915" s="79">
        <v>24</v>
      </c>
      <c r="CA915" t="e">
        <f t="shared" si="268"/>
        <v>#NUM!</v>
      </c>
    </row>
    <row r="916" spans="1:79" x14ac:dyDescent="0.3">
      <c r="A916" s="2" t="s">
        <v>308</v>
      </c>
      <c r="B916" t="s">
        <v>830</v>
      </c>
      <c r="D916" s="2">
        <v>4.2</v>
      </c>
      <c r="I916" s="2">
        <v>2</v>
      </c>
      <c r="K916">
        <v>0</v>
      </c>
      <c r="L916">
        <v>0</v>
      </c>
      <c r="M916">
        <v>3.86</v>
      </c>
      <c r="N916">
        <v>3.86</v>
      </c>
      <c r="O916" s="2">
        <v>29.8</v>
      </c>
      <c r="U916">
        <v>0</v>
      </c>
      <c r="X916">
        <v>0</v>
      </c>
      <c r="AB916">
        <v>20</v>
      </c>
      <c r="AC916" s="55">
        <f t="shared" si="271"/>
        <v>444.00808000000001</v>
      </c>
      <c r="AD916" s="55"/>
      <c r="AE916" s="55">
        <v>0</v>
      </c>
      <c r="AF916" s="55">
        <v>0</v>
      </c>
      <c r="AG916" s="52">
        <f t="shared" si="269"/>
        <v>9.0088450642609924E-2</v>
      </c>
      <c r="AH916" s="52"/>
      <c r="AI916" s="52"/>
      <c r="AJ916" s="52"/>
      <c r="AK916" s="28"/>
      <c r="AL916" s="28"/>
      <c r="AM916" s="28"/>
      <c r="AN916" s="28"/>
      <c r="AO916" s="28"/>
      <c r="AP916" s="28"/>
      <c r="AQ916" s="28"/>
      <c r="AR916" s="28"/>
      <c r="AY916" s="75"/>
      <c r="AZ916" s="75"/>
      <c r="BA916" s="75"/>
      <c r="BB916">
        <v>4.5044225321304962E-2</v>
      </c>
      <c r="BF916">
        <v>9.0088450642609924E-2</v>
      </c>
      <c r="BG916">
        <v>4.5044225321304962E-2</v>
      </c>
      <c r="BH916">
        <v>0</v>
      </c>
      <c r="BK916" s="79">
        <v>24</v>
      </c>
      <c r="CA916" t="e">
        <f t="shared" si="268"/>
        <v>#NUM!</v>
      </c>
    </row>
    <row r="917" spans="1:79" x14ac:dyDescent="0.3">
      <c r="A917" s="2" t="s">
        <v>108</v>
      </c>
      <c r="D917" s="2">
        <v>3.34</v>
      </c>
      <c r="E917" t="s">
        <v>1463</v>
      </c>
      <c r="F917" t="s">
        <v>568</v>
      </c>
      <c r="M917">
        <v>5.44</v>
      </c>
      <c r="N917">
        <v>5.4059999999999997</v>
      </c>
      <c r="O917" s="2">
        <v>25.135000000000002</v>
      </c>
      <c r="P917" t="s">
        <v>450</v>
      </c>
      <c r="AC917" s="55">
        <f t="shared" si="271"/>
        <v>739.18616640000005</v>
      </c>
      <c r="BI917" s="79" t="s">
        <v>1400</v>
      </c>
      <c r="BJ917" s="79">
        <v>1073</v>
      </c>
      <c r="BK917" s="79">
        <v>2</v>
      </c>
      <c r="CA917" t="e">
        <f t="shared" si="268"/>
        <v>#NUM!</v>
      </c>
    </row>
    <row r="918" spans="1:79" x14ac:dyDescent="0.3">
      <c r="A918" t="s">
        <v>108</v>
      </c>
      <c r="D918" s="2">
        <v>3.21</v>
      </c>
      <c r="E918" t="s">
        <v>1463</v>
      </c>
      <c r="F918" t="s">
        <v>568</v>
      </c>
      <c r="M918">
        <v>5.44</v>
      </c>
      <c r="N918">
        <v>5.407</v>
      </c>
      <c r="O918" s="2">
        <v>25.085999999999999</v>
      </c>
      <c r="P918" t="s">
        <v>450</v>
      </c>
      <c r="AC918" s="55">
        <f t="shared" si="271"/>
        <v>737.88161088000004</v>
      </c>
      <c r="BI918" s="79" t="s">
        <v>1264</v>
      </c>
      <c r="BJ918" s="79">
        <v>1173</v>
      </c>
      <c r="BK918" s="79">
        <v>2</v>
      </c>
      <c r="CA918" t="e">
        <f t="shared" si="268"/>
        <v>#NUM!</v>
      </c>
    </row>
    <row r="919" spans="1:79" x14ac:dyDescent="0.3">
      <c r="A919" s="2" t="s">
        <v>318</v>
      </c>
      <c r="D919" s="2">
        <v>3.45</v>
      </c>
      <c r="E919" t="s">
        <v>1464</v>
      </c>
      <c r="M919">
        <v>3.7</v>
      </c>
      <c r="N919">
        <v>3.7</v>
      </c>
      <c r="O919">
        <v>12.2</v>
      </c>
      <c r="BI919" s="79" t="s">
        <v>1264</v>
      </c>
      <c r="BJ919" s="79">
        <f t="shared" ref="BJ919" si="276">825+273</f>
        <v>1098</v>
      </c>
      <c r="BK919" s="79">
        <v>12</v>
      </c>
      <c r="BM919" s="79" t="s">
        <v>464</v>
      </c>
      <c r="BN919" s="79" t="s">
        <v>464</v>
      </c>
      <c r="BO919" s="79">
        <v>0</v>
      </c>
      <c r="BP919" s="79">
        <v>9.6999999999999993</v>
      </c>
      <c r="BQ919" s="79">
        <v>0.5</v>
      </c>
      <c r="BR919" s="79">
        <v>1</v>
      </c>
      <c r="BS919" s="95" t="s">
        <v>464</v>
      </c>
      <c r="BT919" s="95" t="s">
        <v>464</v>
      </c>
      <c r="BU919" s="95" t="s">
        <v>1266</v>
      </c>
      <c r="BV919" s="95">
        <v>125</v>
      </c>
      <c r="BW919" s="95">
        <v>220</v>
      </c>
      <c r="BX919" s="95" t="s">
        <v>1287</v>
      </c>
      <c r="BY919" s="95">
        <f t="shared" ref="BY919:BY923" si="277">273+15</f>
        <v>288</v>
      </c>
      <c r="BZ919" s="81">
        <v>29.2</v>
      </c>
      <c r="CA919">
        <f t="shared" si="268"/>
        <v>3.3741687092742358</v>
      </c>
    </row>
    <row r="920" spans="1:79" x14ac:dyDescent="0.3">
      <c r="A920" s="2" t="s">
        <v>332</v>
      </c>
      <c r="D920" s="2">
        <v>3.48</v>
      </c>
      <c r="E920" t="s">
        <v>1464</v>
      </c>
      <c r="M920">
        <v>3.7</v>
      </c>
      <c r="N920">
        <v>3.7</v>
      </c>
      <c r="O920">
        <v>12.1</v>
      </c>
      <c r="BI920" s="79" t="s">
        <v>1264</v>
      </c>
      <c r="BJ920" s="79">
        <f t="shared" ref="BJ920" si="278">825+273</f>
        <v>1098</v>
      </c>
      <c r="BK920" s="79">
        <v>12</v>
      </c>
      <c r="BM920" s="79" t="s">
        <v>464</v>
      </c>
      <c r="BN920" s="79" t="s">
        <v>464</v>
      </c>
      <c r="BO920" s="79">
        <v>0</v>
      </c>
      <c r="BP920" s="79">
        <v>8.6</v>
      </c>
      <c r="BQ920" s="79">
        <v>0.5</v>
      </c>
      <c r="BR920" s="79">
        <v>1</v>
      </c>
      <c r="BS920" s="95" t="s">
        <v>464</v>
      </c>
      <c r="BT920" s="95" t="s">
        <v>464</v>
      </c>
      <c r="BU920" s="95" t="s">
        <v>1266</v>
      </c>
      <c r="BV920" s="95">
        <v>125</v>
      </c>
      <c r="BW920" s="95">
        <v>220</v>
      </c>
      <c r="BX920" s="95" t="s">
        <v>1287</v>
      </c>
      <c r="BY920" s="95">
        <f t="shared" si="277"/>
        <v>288</v>
      </c>
      <c r="BZ920" s="81">
        <v>29.2</v>
      </c>
      <c r="CA920">
        <f t="shared" si="268"/>
        <v>3.3741687092742358</v>
      </c>
    </row>
    <row r="921" spans="1:79" x14ac:dyDescent="0.3">
      <c r="A921" s="2" t="s">
        <v>353</v>
      </c>
      <c r="D921" s="2">
        <v>3.45</v>
      </c>
      <c r="E921" t="s">
        <v>1464</v>
      </c>
      <c r="M921">
        <v>3.8</v>
      </c>
      <c r="N921">
        <v>3.8</v>
      </c>
      <c r="O921">
        <v>13.6</v>
      </c>
      <c r="BI921" s="79" t="s">
        <v>1264</v>
      </c>
      <c r="BJ921" s="79">
        <v>1373</v>
      </c>
      <c r="BK921" s="79">
        <v>12</v>
      </c>
      <c r="BM921" s="79" t="s">
        <v>464</v>
      </c>
      <c r="BN921" s="79" t="s">
        <v>464</v>
      </c>
      <c r="BO921" s="79">
        <v>0</v>
      </c>
      <c r="BP921" s="79">
        <v>3.2</v>
      </c>
      <c r="BQ921" s="79">
        <v>0.5</v>
      </c>
      <c r="BR921" s="79">
        <v>1</v>
      </c>
      <c r="BS921" s="95" t="s">
        <v>464</v>
      </c>
      <c r="BT921" s="95" t="s">
        <v>464</v>
      </c>
      <c r="BU921" s="95" t="s">
        <v>1266</v>
      </c>
      <c r="BV921" s="95">
        <v>125</v>
      </c>
      <c r="BW921" s="95">
        <v>220</v>
      </c>
      <c r="BX921" s="95" t="s">
        <v>1287</v>
      </c>
      <c r="BY921" s="95">
        <f t="shared" si="277"/>
        <v>288</v>
      </c>
      <c r="BZ921" s="81">
        <v>50.8</v>
      </c>
      <c r="CA921">
        <f t="shared" si="268"/>
        <v>3.9278963545844361</v>
      </c>
    </row>
    <row r="922" spans="1:79" x14ac:dyDescent="0.3">
      <c r="A922" s="2" t="s">
        <v>381</v>
      </c>
      <c r="D922" s="2">
        <v>3.47</v>
      </c>
      <c r="E922" t="s">
        <v>1464</v>
      </c>
      <c r="M922">
        <v>3.8</v>
      </c>
      <c r="N922">
        <v>3.8</v>
      </c>
      <c r="O922">
        <v>13.6</v>
      </c>
      <c r="BI922" s="79" t="s">
        <v>1264</v>
      </c>
      <c r="BJ922" s="79">
        <v>1373</v>
      </c>
      <c r="BK922" s="79">
        <v>12</v>
      </c>
      <c r="BM922" s="79" t="s">
        <v>464</v>
      </c>
      <c r="BN922" s="79" t="s">
        <v>464</v>
      </c>
      <c r="BO922" s="79">
        <v>0</v>
      </c>
      <c r="BP922" s="79">
        <v>3.1</v>
      </c>
      <c r="BQ922" s="79">
        <v>0.5</v>
      </c>
      <c r="BR922" s="79">
        <v>1</v>
      </c>
      <c r="BS922" s="95" t="s">
        <v>464</v>
      </c>
      <c r="BT922" s="95" t="s">
        <v>464</v>
      </c>
      <c r="BU922" s="95" t="s">
        <v>1266</v>
      </c>
      <c r="BV922" s="95">
        <v>125</v>
      </c>
      <c r="BW922" s="95">
        <v>220</v>
      </c>
      <c r="BX922" s="95" t="s">
        <v>1287</v>
      </c>
      <c r="BY922" s="95">
        <f t="shared" si="277"/>
        <v>288</v>
      </c>
      <c r="BZ922" s="81">
        <v>80</v>
      </c>
      <c r="CA922">
        <f t="shared" si="268"/>
        <v>4.3820266346738812</v>
      </c>
    </row>
    <row r="923" spans="1:79" x14ac:dyDescent="0.3">
      <c r="A923" s="2" t="s">
        <v>318</v>
      </c>
      <c r="D923" s="2">
        <v>3.4</v>
      </c>
      <c r="E923" t="s">
        <v>1464</v>
      </c>
      <c r="M923">
        <v>3.7</v>
      </c>
      <c r="N923">
        <v>3.7</v>
      </c>
      <c r="O923">
        <v>14</v>
      </c>
      <c r="BI923" s="79" t="s">
        <v>1264</v>
      </c>
      <c r="BJ923" s="79">
        <f t="shared" ref="BJ923:BJ924" si="279">825+273</f>
        <v>1098</v>
      </c>
      <c r="BK923" s="79">
        <v>12</v>
      </c>
      <c r="BM923" s="79" t="s">
        <v>464</v>
      </c>
      <c r="BN923" s="79" t="s">
        <v>464</v>
      </c>
      <c r="BO923" s="79">
        <v>0</v>
      </c>
      <c r="BP923" s="79">
        <v>54</v>
      </c>
      <c r="BQ923" s="79">
        <v>0.5</v>
      </c>
      <c r="BR923" s="79">
        <v>1</v>
      </c>
      <c r="BS923" s="95" t="s">
        <v>464</v>
      </c>
      <c r="BT923" s="95" t="s">
        <v>464</v>
      </c>
      <c r="BU923" s="95" t="s">
        <v>1266</v>
      </c>
      <c r="BV923" s="95">
        <v>125</v>
      </c>
      <c r="BW923" s="95">
        <v>220</v>
      </c>
      <c r="BX923" s="95" t="s">
        <v>1287</v>
      </c>
      <c r="BY923" s="95">
        <f t="shared" si="277"/>
        <v>288</v>
      </c>
      <c r="BZ923" s="81">
        <v>108.39999999999999</v>
      </c>
      <c r="CA923">
        <f t="shared" si="268"/>
        <v>4.6858280890055459</v>
      </c>
    </row>
    <row r="924" spans="1:79" x14ac:dyDescent="0.3">
      <c r="A924" s="2" t="s">
        <v>332</v>
      </c>
      <c r="D924" s="2">
        <v>3.22</v>
      </c>
      <c r="E924" t="s">
        <v>1464</v>
      </c>
      <c r="M924">
        <v>3.7</v>
      </c>
      <c r="N924">
        <v>3.7</v>
      </c>
      <c r="O924">
        <v>16</v>
      </c>
      <c r="BI924" s="79" t="s">
        <v>1264</v>
      </c>
      <c r="BJ924" s="79">
        <f t="shared" si="279"/>
        <v>1098</v>
      </c>
      <c r="BK924" s="79">
        <v>12</v>
      </c>
      <c r="BM924" s="79" t="s">
        <v>464</v>
      </c>
      <c r="BN924" s="79" t="s">
        <v>464</v>
      </c>
      <c r="BO924" s="79">
        <v>0</v>
      </c>
      <c r="BP924" s="79">
        <v>64</v>
      </c>
      <c r="BQ924" s="79">
        <v>0.5</v>
      </c>
      <c r="BR924" s="79">
        <v>1</v>
      </c>
      <c r="BS924" s="95" t="s">
        <v>464</v>
      </c>
      <c r="BT924" s="95" t="s">
        <v>464</v>
      </c>
      <c r="BU924" s="95" t="s">
        <v>1266</v>
      </c>
      <c r="BV924" s="95">
        <v>125</v>
      </c>
      <c r="BW924" s="95">
        <v>220</v>
      </c>
      <c r="BX924" s="95" t="s">
        <v>1287</v>
      </c>
      <c r="BY924" s="95">
        <f t="shared" ref="BY924:BY949" si="280">273+15</f>
        <v>288</v>
      </c>
      <c r="BZ924" s="81">
        <v>37.599999999999994</v>
      </c>
      <c r="CA924">
        <f t="shared" si="268"/>
        <v>3.6270040503958487</v>
      </c>
    </row>
    <row r="925" spans="1:79" x14ac:dyDescent="0.3">
      <c r="A925" s="2" t="s">
        <v>353</v>
      </c>
      <c r="D925" s="2">
        <v>3.26</v>
      </c>
      <c r="E925" t="s">
        <v>1464</v>
      </c>
      <c r="M925">
        <v>3.8</v>
      </c>
      <c r="N925">
        <v>3.8</v>
      </c>
      <c r="O925">
        <v>24</v>
      </c>
      <c r="BI925" s="79" t="s">
        <v>1264</v>
      </c>
      <c r="BJ925" s="79">
        <v>1373</v>
      </c>
      <c r="BK925" s="79">
        <v>12</v>
      </c>
      <c r="BM925" s="79" t="s">
        <v>464</v>
      </c>
      <c r="BN925" s="79" t="s">
        <v>464</v>
      </c>
      <c r="BO925" s="79">
        <v>0</v>
      </c>
      <c r="BP925" s="79">
        <v>21</v>
      </c>
      <c r="BQ925" s="79">
        <v>0.5</v>
      </c>
      <c r="BR925" s="79">
        <v>1</v>
      </c>
      <c r="BS925" s="95" t="s">
        <v>464</v>
      </c>
      <c r="BT925" s="95" t="s">
        <v>464</v>
      </c>
      <c r="BU925" s="95" t="s">
        <v>1266</v>
      </c>
      <c r="BV925" s="95">
        <v>125</v>
      </c>
      <c r="BW925" s="95">
        <v>220</v>
      </c>
      <c r="BX925" s="95" t="s">
        <v>1287</v>
      </c>
      <c r="BY925" s="95">
        <f t="shared" si="280"/>
        <v>288</v>
      </c>
      <c r="BZ925" s="81">
        <v>784</v>
      </c>
      <c r="CA925">
        <f t="shared" si="268"/>
        <v>6.6644090203504076</v>
      </c>
    </row>
    <row r="926" spans="1:79" x14ac:dyDescent="0.3">
      <c r="A926" s="2" t="s">
        <v>381</v>
      </c>
      <c r="D926" s="2">
        <v>3.26</v>
      </c>
      <c r="E926" t="s">
        <v>1464</v>
      </c>
      <c r="M926">
        <v>3.8</v>
      </c>
      <c r="N926">
        <v>3.8</v>
      </c>
      <c r="O926">
        <v>19.5</v>
      </c>
      <c r="BI926" s="79" t="s">
        <v>1264</v>
      </c>
      <c r="BJ926" s="79">
        <v>1373</v>
      </c>
      <c r="BK926" s="79">
        <v>12</v>
      </c>
      <c r="BM926" s="79" t="s">
        <v>464</v>
      </c>
      <c r="BN926" s="79" t="s">
        <v>464</v>
      </c>
      <c r="BO926" s="79">
        <v>0</v>
      </c>
      <c r="BP926" s="79">
        <v>15</v>
      </c>
      <c r="BQ926" s="79">
        <v>0.5</v>
      </c>
      <c r="BR926" s="79">
        <v>1</v>
      </c>
      <c r="BS926" s="95" t="s">
        <v>464</v>
      </c>
      <c r="BT926" s="95" t="s">
        <v>464</v>
      </c>
      <c r="BU926" s="95" t="s">
        <v>1266</v>
      </c>
      <c r="BV926" s="95">
        <v>125</v>
      </c>
      <c r="BW926" s="95">
        <v>220</v>
      </c>
      <c r="BX926" s="95" t="s">
        <v>1287</v>
      </c>
      <c r="BY926" s="95">
        <f t="shared" si="280"/>
        <v>288</v>
      </c>
      <c r="BZ926" s="81">
        <v>389.2</v>
      </c>
      <c r="CA926">
        <f t="shared" si="268"/>
        <v>5.9640933503118498</v>
      </c>
    </row>
    <row r="927" spans="1:79" x14ac:dyDescent="0.3">
      <c r="A927" s="2" t="s">
        <v>318</v>
      </c>
      <c r="D927" s="2">
        <v>3.45</v>
      </c>
      <c r="E927" t="s">
        <v>1464</v>
      </c>
      <c r="M927">
        <v>3.7</v>
      </c>
      <c r="N927">
        <v>3.7</v>
      </c>
      <c r="O927">
        <v>12.2</v>
      </c>
      <c r="BI927" s="79" t="s">
        <v>1264</v>
      </c>
      <c r="BJ927" s="79">
        <f t="shared" ref="BJ927:BJ928" si="281">825+273</f>
        <v>1098</v>
      </c>
      <c r="BK927" s="79">
        <v>12</v>
      </c>
      <c r="BM927" s="79" t="s">
        <v>1268</v>
      </c>
      <c r="BN927" s="79" t="s">
        <v>863</v>
      </c>
      <c r="BO927" s="79">
        <v>1</v>
      </c>
      <c r="BP927" s="79">
        <v>9.6999999999999993</v>
      </c>
      <c r="BQ927" s="79">
        <v>0.5</v>
      </c>
      <c r="BR927" s="79">
        <v>1</v>
      </c>
      <c r="BS927" s="95" t="s">
        <v>464</v>
      </c>
      <c r="BT927" s="95" t="s">
        <v>464</v>
      </c>
      <c r="BU927" s="95" t="s">
        <v>1266</v>
      </c>
      <c r="BV927" s="95">
        <v>125</v>
      </c>
      <c r="BW927" s="95">
        <v>220</v>
      </c>
      <c r="BX927" s="95" t="s">
        <v>1287</v>
      </c>
      <c r="BY927" s="95">
        <f t="shared" si="280"/>
        <v>288</v>
      </c>
      <c r="BZ927" s="81">
        <v>567.99999999999989</v>
      </c>
      <c r="CA927">
        <f t="shared" si="268"/>
        <v>6.3421214187211508</v>
      </c>
    </row>
    <row r="928" spans="1:79" x14ac:dyDescent="0.3">
      <c r="A928" s="2" t="s">
        <v>332</v>
      </c>
      <c r="D928" s="2">
        <v>3.48</v>
      </c>
      <c r="E928" t="s">
        <v>1464</v>
      </c>
      <c r="M928">
        <v>3.7</v>
      </c>
      <c r="N928">
        <v>3.7</v>
      </c>
      <c r="O928">
        <v>12.1</v>
      </c>
      <c r="BI928" s="79" t="s">
        <v>1264</v>
      </c>
      <c r="BJ928" s="79">
        <f t="shared" si="281"/>
        <v>1098</v>
      </c>
      <c r="BK928" s="79">
        <v>12</v>
      </c>
      <c r="BM928" s="79" t="s">
        <v>1268</v>
      </c>
      <c r="BN928" s="79" t="s">
        <v>863</v>
      </c>
      <c r="BO928" s="79">
        <v>1</v>
      </c>
      <c r="BP928" s="79">
        <v>8.6</v>
      </c>
      <c r="BQ928" s="79">
        <v>0.5</v>
      </c>
      <c r="BR928" s="79">
        <v>1</v>
      </c>
      <c r="BS928" s="95" t="s">
        <v>464</v>
      </c>
      <c r="BT928" s="95" t="s">
        <v>464</v>
      </c>
      <c r="BU928" s="95" t="s">
        <v>1266</v>
      </c>
      <c r="BV928" s="95">
        <v>125</v>
      </c>
      <c r="BW928" s="95">
        <v>220</v>
      </c>
      <c r="BX928" s="95" t="s">
        <v>1287</v>
      </c>
      <c r="BY928" s="95">
        <f t="shared" si="280"/>
        <v>288</v>
      </c>
      <c r="BZ928" s="81">
        <v>249.20000000000002</v>
      </c>
      <c r="CA928">
        <f t="shared" si="268"/>
        <v>5.518255786913298</v>
      </c>
    </row>
    <row r="929" spans="1:79" x14ac:dyDescent="0.3">
      <c r="A929" s="2" t="s">
        <v>353</v>
      </c>
      <c r="D929" s="2">
        <v>3.45</v>
      </c>
      <c r="E929" t="s">
        <v>1464</v>
      </c>
      <c r="M929">
        <v>3.8</v>
      </c>
      <c r="N929">
        <v>3.8</v>
      </c>
      <c r="O929">
        <v>13.6</v>
      </c>
      <c r="BI929" s="79" t="s">
        <v>1264</v>
      </c>
      <c r="BJ929" s="79">
        <v>1373</v>
      </c>
      <c r="BK929" s="79">
        <v>12</v>
      </c>
      <c r="BM929" s="79" t="s">
        <v>1268</v>
      </c>
      <c r="BN929" s="79" t="s">
        <v>863</v>
      </c>
      <c r="BO929" s="79">
        <v>1</v>
      </c>
      <c r="BP929" s="79">
        <v>3.2</v>
      </c>
      <c r="BQ929" s="79">
        <v>0.5</v>
      </c>
      <c r="BR929" s="79">
        <v>1</v>
      </c>
      <c r="BS929" s="95" t="s">
        <v>464</v>
      </c>
      <c r="BT929" s="95" t="s">
        <v>464</v>
      </c>
      <c r="BU929" s="95" t="s">
        <v>1266</v>
      </c>
      <c r="BV929" s="95">
        <v>125</v>
      </c>
      <c r="BW929" s="95">
        <v>220</v>
      </c>
      <c r="BX929" s="95" t="s">
        <v>1287</v>
      </c>
      <c r="BY929" s="95">
        <f t="shared" si="280"/>
        <v>288</v>
      </c>
      <c r="BZ929" s="81">
        <v>3403.9999999999995</v>
      </c>
      <c r="CA929">
        <f t="shared" si="268"/>
        <v>8.1327064896932644</v>
      </c>
    </row>
    <row r="930" spans="1:79" x14ac:dyDescent="0.3">
      <c r="A930" s="2" t="s">
        <v>381</v>
      </c>
      <c r="D930" s="2">
        <v>3.47</v>
      </c>
      <c r="E930" t="s">
        <v>1464</v>
      </c>
      <c r="M930">
        <v>3.8</v>
      </c>
      <c r="N930">
        <v>3.8</v>
      </c>
      <c r="O930">
        <v>13.6</v>
      </c>
      <c r="BI930" s="79" t="s">
        <v>1264</v>
      </c>
      <c r="BJ930" s="79">
        <v>1373</v>
      </c>
      <c r="BK930" s="79">
        <v>12</v>
      </c>
      <c r="BM930" s="79" t="s">
        <v>1268</v>
      </c>
      <c r="BN930" s="79" t="s">
        <v>863</v>
      </c>
      <c r="BO930" s="79">
        <v>1</v>
      </c>
      <c r="BP930" s="79">
        <v>3.1</v>
      </c>
      <c r="BQ930" s="79">
        <v>0.5</v>
      </c>
      <c r="BR930" s="79">
        <v>1</v>
      </c>
      <c r="BS930" s="95" t="s">
        <v>464</v>
      </c>
      <c r="BT930" s="95" t="s">
        <v>464</v>
      </c>
      <c r="BU930" s="95" t="s">
        <v>1266</v>
      </c>
      <c r="BV930" s="95">
        <v>125</v>
      </c>
      <c r="BW930" s="95">
        <v>220</v>
      </c>
      <c r="BX930" s="95" t="s">
        <v>1287</v>
      </c>
      <c r="BY930" s="95">
        <f t="shared" si="280"/>
        <v>288</v>
      </c>
      <c r="BZ930" s="81">
        <v>2760</v>
      </c>
      <c r="CA930">
        <f t="shared" si="268"/>
        <v>7.9229859587111955</v>
      </c>
    </row>
    <row r="931" spans="1:79" x14ac:dyDescent="0.3">
      <c r="A931" s="2" t="s">
        <v>318</v>
      </c>
      <c r="D931" s="2">
        <v>3.4</v>
      </c>
      <c r="E931" t="s">
        <v>1464</v>
      </c>
      <c r="M931">
        <v>3.7</v>
      </c>
      <c r="N931">
        <v>3.7</v>
      </c>
      <c r="O931">
        <v>14</v>
      </c>
      <c r="BI931" s="79" t="s">
        <v>1264</v>
      </c>
      <c r="BJ931" s="79">
        <f t="shared" ref="BJ931:BJ932" si="282">825+273</f>
        <v>1098</v>
      </c>
      <c r="BK931" s="79">
        <v>12</v>
      </c>
      <c r="BM931" s="79" t="s">
        <v>1268</v>
      </c>
      <c r="BN931" s="79" t="s">
        <v>863</v>
      </c>
      <c r="BO931" s="79">
        <v>1</v>
      </c>
      <c r="BP931" s="79">
        <v>54</v>
      </c>
      <c r="BQ931" s="79">
        <v>0.5</v>
      </c>
      <c r="BR931" s="79">
        <v>1</v>
      </c>
      <c r="BS931" s="95" t="s">
        <v>464</v>
      </c>
      <c r="BT931" s="95" t="s">
        <v>464</v>
      </c>
      <c r="BU931" s="95" t="s">
        <v>1266</v>
      </c>
      <c r="BV931" s="95">
        <v>125</v>
      </c>
      <c r="BW931" s="95">
        <v>220</v>
      </c>
      <c r="BX931" s="95" t="s">
        <v>1287</v>
      </c>
      <c r="BY931" s="95">
        <f t="shared" si="280"/>
        <v>288</v>
      </c>
      <c r="BZ931" s="81">
        <v>8360</v>
      </c>
      <c r="CA931">
        <f t="shared" si="268"/>
        <v>9.0312137060787467</v>
      </c>
    </row>
    <row r="932" spans="1:79" x14ac:dyDescent="0.3">
      <c r="A932" s="2" t="s">
        <v>332</v>
      </c>
      <c r="D932" s="2">
        <v>3.22</v>
      </c>
      <c r="E932" t="s">
        <v>1464</v>
      </c>
      <c r="M932">
        <v>3.7</v>
      </c>
      <c r="N932">
        <v>3.7</v>
      </c>
      <c r="O932">
        <v>16</v>
      </c>
      <c r="BI932" s="79" t="s">
        <v>1264</v>
      </c>
      <c r="BJ932" s="79">
        <f t="shared" si="282"/>
        <v>1098</v>
      </c>
      <c r="BK932" s="79">
        <v>12</v>
      </c>
      <c r="BM932" s="79" t="s">
        <v>1268</v>
      </c>
      <c r="BN932" s="79" t="s">
        <v>863</v>
      </c>
      <c r="BO932" s="79">
        <v>1</v>
      </c>
      <c r="BP932" s="79">
        <v>64</v>
      </c>
      <c r="BQ932" s="79">
        <v>0.5</v>
      </c>
      <c r="BR932" s="79">
        <v>1</v>
      </c>
      <c r="BS932" s="95" t="s">
        <v>464</v>
      </c>
      <c r="BT932" s="95" t="s">
        <v>464</v>
      </c>
      <c r="BU932" s="95" t="s">
        <v>1266</v>
      </c>
      <c r="BV932" s="95">
        <v>125</v>
      </c>
      <c r="BW932" s="95">
        <v>220</v>
      </c>
      <c r="BX932" s="95" t="s">
        <v>1287</v>
      </c>
      <c r="BY932" s="95">
        <f t="shared" si="280"/>
        <v>288</v>
      </c>
      <c r="BZ932" s="81">
        <v>396.4</v>
      </c>
      <c r="CA932">
        <f t="shared" si="268"/>
        <v>5.9824238024558332</v>
      </c>
    </row>
    <row r="933" spans="1:79" x14ac:dyDescent="0.3">
      <c r="A933" s="2" t="s">
        <v>353</v>
      </c>
      <c r="D933" s="2">
        <v>3.26</v>
      </c>
      <c r="E933" t="s">
        <v>1464</v>
      </c>
      <c r="M933">
        <v>3.8</v>
      </c>
      <c r="N933">
        <v>3.8</v>
      </c>
      <c r="O933">
        <v>24</v>
      </c>
      <c r="BI933" s="79" t="s">
        <v>1264</v>
      </c>
      <c r="BJ933" s="79">
        <v>1373</v>
      </c>
      <c r="BK933" s="79">
        <v>12</v>
      </c>
      <c r="BM933" s="79" t="s">
        <v>1268</v>
      </c>
      <c r="BN933" s="79" t="s">
        <v>863</v>
      </c>
      <c r="BO933" s="79">
        <v>1</v>
      </c>
      <c r="BP933" s="79">
        <v>21</v>
      </c>
      <c r="BQ933" s="79">
        <v>0.5</v>
      </c>
      <c r="BR933" s="79">
        <v>1</v>
      </c>
      <c r="BS933" s="95" t="s">
        <v>464</v>
      </c>
      <c r="BT933" s="95" t="s">
        <v>464</v>
      </c>
      <c r="BU933" s="95" t="s">
        <v>1266</v>
      </c>
      <c r="BV933" s="95">
        <v>125</v>
      </c>
      <c r="BW933" s="95">
        <v>220</v>
      </c>
      <c r="BX933" s="95" t="s">
        <v>1287</v>
      </c>
      <c r="BY933" s="95">
        <f t="shared" si="280"/>
        <v>288</v>
      </c>
      <c r="BZ933" s="81">
        <v>47600</v>
      </c>
      <c r="CA933">
        <f t="shared" si="268"/>
        <v>10.770588040219511</v>
      </c>
    </row>
    <row r="934" spans="1:79" x14ac:dyDescent="0.3">
      <c r="A934" s="2" t="s">
        <v>381</v>
      </c>
      <c r="D934" s="2">
        <v>3.26</v>
      </c>
      <c r="E934" t="s">
        <v>1464</v>
      </c>
      <c r="M934">
        <v>3.8</v>
      </c>
      <c r="N934">
        <v>3.8</v>
      </c>
      <c r="O934">
        <v>19.5</v>
      </c>
      <c r="BI934" s="79" t="s">
        <v>1264</v>
      </c>
      <c r="BJ934" s="79">
        <v>1373</v>
      </c>
      <c r="BK934" s="79">
        <v>12</v>
      </c>
      <c r="BM934" s="79" t="s">
        <v>1268</v>
      </c>
      <c r="BN934" s="79" t="s">
        <v>863</v>
      </c>
      <c r="BO934" s="79">
        <v>1</v>
      </c>
      <c r="BP934" s="79">
        <v>15</v>
      </c>
      <c r="BQ934" s="79">
        <v>0.5</v>
      </c>
      <c r="BR934" s="79">
        <v>1</v>
      </c>
      <c r="BS934" s="95" t="s">
        <v>464</v>
      </c>
      <c r="BT934" s="95" t="s">
        <v>464</v>
      </c>
      <c r="BU934" s="95" t="s">
        <v>1266</v>
      </c>
      <c r="BV934" s="95">
        <v>125</v>
      </c>
      <c r="BW934" s="95">
        <v>220</v>
      </c>
      <c r="BX934" s="95" t="s">
        <v>1287</v>
      </c>
      <c r="BY934" s="95">
        <f t="shared" si="280"/>
        <v>288</v>
      </c>
      <c r="BZ934" s="81">
        <v>20920</v>
      </c>
      <c r="CA934">
        <f t="shared" si="268"/>
        <v>9.9484609181788599</v>
      </c>
    </row>
    <row r="935" spans="1:79" x14ac:dyDescent="0.3">
      <c r="A935" s="2" t="s">
        <v>44</v>
      </c>
      <c r="D935" s="2">
        <v>3.63</v>
      </c>
      <c r="E935" t="s">
        <v>1465</v>
      </c>
      <c r="BI935" s="79" t="s">
        <v>1264</v>
      </c>
      <c r="BJ935" s="79">
        <f>1100+273</f>
        <v>1373</v>
      </c>
      <c r="BK935" s="79">
        <v>15</v>
      </c>
      <c r="BM935" s="79" t="s">
        <v>464</v>
      </c>
      <c r="BN935" s="79" t="s">
        <v>464</v>
      </c>
      <c r="BO935" s="79">
        <v>0</v>
      </c>
      <c r="BP935" s="79">
        <v>1.8</v>
      </c>
      <c r="BQ935" s="79">
        <v>0.5</v>
      </c>
      <c r="BR935" s="79">
        <v>1</v>
      </c>
      <c r="BS935" s="95" t="s">
        <v>464</v>
      </c>
      <c r="BT935" s="95" t="s">
        <v>464</v>
      </c>
      <c r="BU935" s="95" t="s">
        <v>1266</v>
      </c>
      <c r="BV935" s="95">
        <v>125</v>
      </c>
      <c r="BW935" s="95">
        <v>220</v>
      </c>
      <c r="BX935" s="95" t="s">
        <v>1287</v>
      </c>
      <c r="BY935" s="95">
        <f t="shared" si="280"/>
        <v>288</v>
      </c>
      <c r="BZ935" s="81">
        <v>216</v>
      </c>
      <c r="CA935">
        <f t="shared" si="268"/>
        <v>5.3752784076841653</v>
      </c>
    </row>
    <row r="936" spans="1:79" x14ac:dyDescent="0.3">
      <c r="A936" s="2" t="s">
        <v>44</v>
      </c>
      <c r="D936" s="2">
        <v>3.63</v>
      </c>
      <c r="E936" t="s">
        <v>1465</v>
      </c>
      <c r="BI936" s="79" t="s">
        <v>1264</v>
      </c>
      <c r="BJ936" s="79">
        <f>1100+273</f>
        <v>1373</v>
      </c>
      <c r="BK936" s="79">
        <v>15</v>
      </c>
      <c r="BM936" s="79" t="s">
        <v>1268</v>
      </c>
      <c r="BN936" s="79" t="s">
        <v>863</v>
      </c>
      <c r="BO936" s="79">
        <v>1</v>
      </c>
      <c r="BQ936" s="79">
        <v>0.5</v>
      </c>
      <c r="BR936" s="79">
        <v>1</v>
      </c>
      <c r="BS936" s="95" t="s">
        <v>464</v>
      </c>
      <c r="BT936" s="95" t="s">
        <v>464</v>
      </c>
      <c r="BU936" s="95" t="s">
        <v>1266</v>
      </c>
      <c r="BV936" s="95">
        <v>125</v>
      </c>
      <c r="BW936" s="95">
        <v>220</v>
      </c>
      <c r="BX936" s="95" t="s">
        <v>1287</v>
      </c>
      <c r="BY936" s="95">
        <f t="shared" si="280"/>
        <v>288</v>
      </c>
      <c r="BZ936" s="81">
        <v>45600</v>
      </c>
      <c r="CA936">
        <f t="shared" si="268"/>
        <v>10.727662995502477</v>
      </c>
    </row>
    <row r="937" spans="1:79" x14ac:dyDescent="0.3">
      <c r="A937" s="2" t="s">
        <v>44</v>
      </c>
      <c r="D937" s="2">
        <v>3.56</v>
      </c>
      <c r="E937" t="s">
        <v>1465</v>
      </c>
      <c r="BI937" s="79" t="s">
        <v>1414</v>
      </c>
      <c r="BM937" s="79" t="s">
        <v>464</v>
      </c>
      <c r="BN937" s="79" t="s">
        <v>464</v>
      </c>
      <c r="BO937" s="79">
        <v>0</v>
      </c>
      <c r="BP937" s="79">
        <v>20</v>
      </c>
      <c r="BQ937" s="79">
        <v>0.5</v>
      </c>
      <c r="BR937" s="79">
        <v>1</v>
      </c>
      <c r="BS937" s="95" t="s">
        <v>464</v>
      </c>
      <c r="BT937" s="95" t="s">
        <v>464</v>
      </c>
      <c r="BU937" s="95" t="s">
        <v>1266</v>
      </c>
      <c r="BV937" s="95">
        <v>125</v>
      </c>
      <c r="BW937" s="95">
        <v>220</v>
      </c>
      <c r="BX937" s="95" t="s">
        <v>1287</v>
      </c>
      <c r="BY937" s="95">
        <f t="shared" si="280"/>
        <v>288</v>
      </c>
      <c r="BZ937" s="81">
        <v>564</v>
      </c>
      <c r="CA937">
        <f t="shared" si="268"/>
        <v>6.3350542514980592</v>
      </c>
    </row>
    <row r="938" spans="1:79" x14ac:dyDescent="0.3">
      <c r="A938" s="2" t="s">
        <v>44</v>
      </c>
      <c r="D938" s="2">
        <v>3.56</v>
      </c>
      <c r="E938" t="s">
        <v>1465</v>
      </c>
      <c r="BI938" s="79" t="s">
        <v>1414</v>
      </c>
      <c r="BM938" s="79" t="s">
        <v>1268</v>
      </c>
      <c r="BN938" s="79" t="s">
        <v>863</v>
      </c>
      <c r="BO938" s="79">
        <v>1</v>
      </c>
      <c r="BQ938" s="79">
        <v>0.5</v>
      </c>
      <c r="BR938" s="79">
        <v>1</v>
      </c>
      <c r="BS938" s="95" t="s">
        <v>464</v>
      </c>
      <c r="BT938" s="95" t="s">
        <v>464</v>
      </c>
      <c r="BU938" s="95" t="s">
        <v>1266</v>
      </c>
      <c r="BV938" s="95">
        <v>125</v>
      </c>
      <c r="BW938" s="95">
        <v>220</v>
      </c>
      <c r="BX938" s="95" t="s">
        <v>1287</v>
      </c>
      <c r="BY938" s="95">
        <f t="shared" si="280"/>
        <v>288</v>
      </c>
      <c r="BZ938" s="81">
        <v>9880</v>
      </c>
      <c r="CA938">
        <f t="shared" si="268"/>
        <v>9.1982677907419141</v>
      </c>
    </row>
    <row r="939" spans="1:79" x14ac:dyDescent="0.3">
      <c r="A939" s="2" t="s">
        <v>374</v>
      </c>
      <c r="E939" t="s">
        <v>1462</v>
      </c>
      <c r="M939">
        <v>3.835</v>
      </c>
      <c r="N939">
        <v>3.835</v>
      </c>
      <c r="O939">
        <v>34.43</v>
      </c>
      <c r="P939" t="s">
        <v>439</v>
      </c>
      <c r="BI939" s="79" t="s">
        <v>1264</v>
      </c>
      <c r="BJ939" s="79">
        <v>1273</v>
      </c>
      <c r="BK939" s="79">
        <v>10</v>
      </c>
      <c r="BM939" s="79" t="s">
        <v>464</v>
      </c>
      <c r="BN939" s="79" t="s">
        <v>464</v>
      </c>
      <c r="BO939" s="79">
        <v>0</v>
      </c>
      <c r="BQ939" s="79">
        <v>0.5</v>
      </c>
      <c r="BR939" s="79">
        <v>0</v>
      </c>
      <c r="BS939" s="95" t="s">
        <v>464</v>
      </c>
      <c r="BT939" s="95" t="s">
        <v>464</v>
      </c>
      <c r="BU939" s="95" t="s">
        <v>1266</v>
      </c>
      <c r="BV939" s="95">
        <v>125</v>
      </c>
      <c r="BW939" s="95">
        <v>220</v>
      </c>
      <c r="BX939" s="95" t="s">
        <v>1287</v>
      </c>
      <c r="BY939" s="95">
        <f t="shared" si="280"/>
        <v>288</v>
      </c>
      <c r="BZ939" s="81">
        <v>3.28</v>
      </c>
      <c r="CA939">
        <f t="shared" si="268"/>
        <v>1.1878434223960523</v>
      </c>
    </row>
    <row r="940" spans="1:79" x14ac:dyDescent="0.3">
      <c r="A940" s="2" t="s">
        <v>1466</v>
      </c>
      <c r="E940" t="s">
        <v>1462</v>
      </c>
      <c r="M940">
        <v>3.835</v>
      </c>
      <c r="N940">
        <v>3.835</v>
      </c>
      <c r="O940">
        <v>34.43</v>
      </c>
      <c r="P940" t="s">
        <v>439</v>
      </c>
      <c r="BI940" s="79" t="s">
        <v>1264</v>
      </c>
      <c r="BJ940" s="79">
        <v>1273</v>
      </c>
      <c r="BK940" s="79">
        <v>10</v>
      </c>
      <c r="BM940" s="79" t="s">
        <v>464</v>
      </c>
      <c r="BN940" s="79" t="s">
        <v>464</v>
      </c>
      <c r="BO940" s="79">
        <v>0</v>
      </c>
      <c r="BQ940" s="79">
        <v>0.5</v>
      </c>
      <c r="BR940" s="79">
        <v>0.1</v>
      </c>
      <c r="BS940" s="95" t="s">
        <v>464</v>
      </c>
      <c r="BT940" s="95" t="s">
        <v>464</v>
      </c>
      <c r="BU940" s="95" t="s">
        <v>1266</v>
      </c>
      <c r="BV940" s="95">
        <v>125</v>
      </c>
      <c r="BW940" s="95">
        <v>220</v>
      </c>
      <c r="BX940" s="95" t="s">
        <v>1287</v>
      </c>
      <c r="BY940" s="95">
        <f t="shared" si="280"/>
        <v>288</v>
      </c>
      <c r="BZ940" s="81">
        <v>8.1599999999999984</v>
      </c>
      <c r="CA940">
        <f t="shared" si="268"/>
        <v>2.0992441689760155</v>
      </c>
    </row>
    <row r="941" spans="1:79" x14ac:dyDescent="0.3">
      <c r="A941" s="2" t="s">
        <v>1467</v>
      </c>
      <c r="E941" t="s">
        <v>1462</v>
      </c>
      <c r="M941">
        <v>3.835</v>
      </c>
      <c r="N941">
        <v>3.835</v>
      </c>
      <c r="O941">
        <v>34.43</v>
      </c>
      <c r="P941" t="s">
        <v>439</v>
      </c>
      <c r="BI941" s="79" t="s">
        <v>1264</v>
      </c>
      <c r="BJ941" s="79">
        <v>1273</v>
      </c>
      <c r="BK941" s="79">
        <v>10</v>
      </c>
      <c r="BM941" s="79" t="s">
        <v>464</v>
      </c>
      <c r="BN941" s="79" t="s">
        <v>464</v>
      </c>
      <c r="BO941" s="79">
        <v>0</v>
      </c>
      <c r="BQ941" s="79">
        <v>0.5</v>
      </c>
      <c r="BR941" s="79">
        <v>0.2</v>
      </c>
      <c r="BS941" s="95" t="s">
        <v>464</v>
      </c>
      <c r="BT941" s="95" t="s">
        <v>464</v>
      </c>
      <c r="BU941" s="95" t="s">
        <v>1266</v>
      </c>
      <c r="BV941" s="95">
        <v>125</v>
      </c>
      <c r="BW941" s="95">
        <v>220</v>
      </c>
      <c r="BX941" s="95" t="s">
        <v>1287</v>
      </c>
      <c r="BY941" s="95">
        <f t="shared" si="280"/>
        <v>288</v>
      </c>
      <c r="BZ941" s="81">
        <v>8.2799999999999994</v>
      </c>
      <c r="CA941">
        <f t="shared" ref="CA941:CA949" si="283">LN(BZ941)</f>
        <v>2.1138429683971682</v>
      </c>
    </row>
    <row r="942" spans="1:79" x14ac:dyDescent="0.3">
      <c r="A942" s="2" t="s">
        <v>1468</v>
      </c>
      <c r="E942" t="s">
        <v>1462</v>
      </c>
      <c r="M942">
        <v>3.835</v>
      </c>
      <c r="N942">
        <v>3.835</v>
      </c>
      <c r="O942">
        <v>34.43</v>
      </c>
      <c r="P942" t="s">
        <v>439</v>
      </c>
      <c r="BI942" s="79" t="s">
        <v>1264</v>
      </c>
      <c r="BJ942" s="79">
        <v>1273</v>
      </c>
      <c r="BK942" s="79">
        <v>10</v>
      </c>
      <c r="BM942" s="79" t="s">
        <v>464</v>
      </c>
      <c r="BN942" s="79" t="s">
        <v>464</v>
      </c>
      <c r="BO942" s="79">
        <v>0</v>
      </c>
      <c r="BQ942" s="79">
        <v>0.5</v>
      </c>
      <c r="BR942" s="79">
        <v>0.5</v>
      </c>
      <c r="BS942" s="95" t="s">
        <v>464</v>
      </c>
      <c r="BT942" s="95" t="s">
        <v>464</v>
      </c>
      <c r="BU942" s="95" t="s">
        <v>1266</v>
      </c>
      <c r="BV942" s="95">
        <v>125</v>
      </c>
      <c r="BW942" s="95">
        <v>220</v>
      </c>
      <c r="BX942" s="95" t="s">
        <v>1287</v>
      </c>
      <c r="BY942" s="95">
        <f t="shared" si="280"/>
        <v>288</v>
      </c>
      <c r="BZ942" s="81">
        <v>19.119999999999997</v>
      </c>
      <c r="CA942">
        <f t="shared" si="283"/>
        <v>2.950734907623255</v>
      </c>
    </row>
    <row r="943" spans="1:79" x14ac:dyDescent="0.3">
      <c r="A943" s="2" t="s">
        <v>1469</v>
      </c>
      <c r="E943" t="s">
        <v>1462</v>
      </c>
      <c r="M943">
        <v>3.835</v>
      </c>
      <c r="N943">
        <v>3.835</v>
      </c>
      <c r="O943">
        <v>34.43</v>
      </c>
      <c r="P943" t="s">
        <v>439</v>
      </c>
      <c r="BI943" s="79" t="s">
        <v>1264</v>
      </c>
      <c r="BJ943" s="79">
        <v>1273</v>
      </c>
      <c r="BK943" s="79">
        <v>10</v>
      </c>
      <c r="BM943" s="79" t="s">
        <v>464</v>
      </c>
      <c r="BN943" s="79" t="s">
        <v>464</v>
      </c>
      <c r="BO943" s="79">
        <v>0</v>
      </c>
      <c r="BQ943" s="79">
        <v>0.5</v>
      </c>
      <c r="BR943" s="79">
        <v>1</v>
      </c>
      <c r="BS943" s="95" t="s">
        <v>464</v>
      </c>
      <c r="BT943" s="95" t="s">
        <v>464</v>
      </c>
      <c r="BU943" s="95" t="s">
        <v>1266</v>
      </c>
      <c r="BV943" s="95">
        <v>125</v>
      </c>
      <c r="BW943" s="95">
        <v>220</v>
      </c>
      <c r="BX943" s="95" t="s">
        <v>1287</v>
      </c>
      <c r="BY943" s="95">
        <f t="shared" si="280"/>
        <v>288</v>
      </c>
      <c r="BZ943" s="81">
        <v>31.08</v>
      </c>
      <c r="CA943">
        <f t="shared" si="283"/>
        <v>3.4365645254994468</v>
      </c>
    </row>
    <row r="944" spans="1:79" x14ac:dyDescent="0.3">
      <c r="A944" s="2" t="s">
        <v>1470</v>
      </c>
      <c r="E944" t="s">
        <v>1462</v>
      </c>
      <c r="M944">
        <v>3.835</v>
      </c>
      <c r="N944">
        <v>3.835</v>
      </c>
      <c r="O944">
        <v>34.43</v>
      </c>
      <c r="P944" t="s">
        <v>439</v>
      </c>
      <c r="BI944" s="79" t="s">
        <v>1264</v>
      </c>
      <c r="BJ944" s="79">
        <v>1273</v>
      </c>
      <c r="BK944" s="79">
        <v>10</v>
      </c>
      <c r="BM944" s="79" t="s">
        <v>464</v>
      </c>
      <c r="BN944" s="79" t="s">
        <v>464</v>
      </c>
      <c r="BO944" s="79">
        <v>0</v>
      </c>
      <c r="BQ944" s="79">
        <v>0.5</v>
      </c>
      <c r="BR944" s="79">
        <v>2</v>
      </c>
      <c r="BS944" s="95" t="s">
        <v>464</v>
      </c>
      <c r="BT944" s="95" t="s">
        <v>464</v>
      </c>
      <c r="BU944" s="95" t="s">
        <v>1266</v>
      </c>
      <c r="BV944" s="95">
        <v>125</v>
      </c>
      <c r="BW944" s="95">
        <v>220</v>
      </c>
      <c r="BX944" s="95" t="s">
        <v>1287</v>
      </c>
      <c r="BY944" s="95">
        <f t="shared" si="280"/>
        <v>288</v>
      </c>
      <c r="BZ944" s="81">
        <v>56.719999999999992</v>
      </c>
      <c r="CA944">
        <f t="shared" si="283"/>
        <v>4.0381268822238718</v>
      </c>
    </row>
    <row r="945" spans="1:79" x14ac:dyDescent="0.3">
      <c r="A945" s="2" t="s">
        <v>1471</v>
      </c>
      <c r="E945" t="s">
        <v>1462</v>
      </c>
      <c r="M945">
        <v>3.835</v>
      </c>
      <c r="N945">
        <v>3.835</v>
      </c>
      <c r="O945">
        <v>34.43</v>
      </c>
      <c r="P945" t="s">
        <v>439</v>
      </c>
      <c r="BI945" s="79" t="s">
        <v>1264</v>
      </c>
      <c r="BJ945" s="79">
        <v>1273</v>
      </c>
      <c r="BK945" s="79">
        <v>10</v>
      </c>
      <c r="BM945" s="79" t="s">
        <v>464</v>
      </c>
      <c r="BN945" s="79" t="s">
        <v>464</v>
      </c>
      <c r="BO945" s="79">
        <v>0</v>
      </c>
      <c r="BQ945" s="79">
        <v>0.5</v>
      </c>
      <c r="BR945" s="79">
        <v>5</v>
      </c>
      <c r="BS945" s="95" t="s">
        <v>464</v>
      </c>
      <c r="BT945" s="95" t="s">
        <v>464</v>
      </c>
      <c r="BU945" s="95" t="s">
        <v>1266</v>
      </c>
      <c r="BV945" s="95">
        <v>125</v>
      </c>
      <c r="BW945" s="95">
        <v>220</v>
      </c>
      <c r="BX945" s="95" t="s">
        <v>1287</v>
      </c>
      <c r="BY945" s="95">
        <f t="shared" si="280"/>
        <v>288</v>
      </c>
      <c r="BZ945" s="81">
        <v>89.28</v>
      </c>
      <c r="CA945">
        <f t="shared" si="283"/>
        <v>4.4917774986330006</v>
      </c>
    </row>
    <row r="946" spans="1:79" x14ac:dyDescent="0.3">
      <c r="A946" s="2" t="s">
        <v>1472</v>
      </c>
      <c r="E946" t="s">
        <v>1462</v>
      </c>
      <c r="M946">
        <v>3.835</v>
      </c>
      <c r="N946">
        <v>3.835</v>
      </c>
      <c r="O946">
        <v>34.43</v>
      </c>
      <c r="P946" t="s">
        <v>439</v>
      </c>
      <c r="BI946" s="79" t="s">
        <v>1264</v>
      </c>
      <c r="BJ946" s="79">
        <v>1273</v>
      </c>
      <c r="BK946" s="79">
        <v>10</v>
      </c>
      <c r="BM946" s="79" t="s">
        <v>464</v>
      </c>
      <c r="BN946" s="79" t="s">
        <v>464</v>
      </c>
      <c r="BO946" s="79">
        <v>0</v>
      </c>
      <c r="BQ946" s="79">
        <v>0.5</v>
      </c>
      <c r="BR946" s="79">
        <v>10</v>
      </c>
      <c r="BS946" s="95" t="s">
        <v>464</v>
      </c>
      <c r="BT946" s="95" t="s">
        <v>464</v>
      </c>
      <c r="BU946" s="95" t="s">
        <v>1266</v>
      </c>
      <c r="BV946" s="95">
        <v>125</v>
      </c>
      <c r="BW946" s="95">
        <v>220</v>
      </c>
      <c r="BX946" s="95" t="s">
        <v>1287</v>
      </c>
      <c r="BY946" s="95">
        <f t="shared" si="280"/>
        <v>288</v>
      </c>
      <c r="BZ946" s="81">
        <v>103.52</v>
      </c>
      <c r="CA946">
        <f t="shared" si="283"/>
        <v>4.6397648307525907</v>
      </c>
    </row>
    <row r="947" spans="1:79" x14ac:dyDescent="0.3">
      <c r="A947" s="2" t="s">
        <v>1473</v>
      </c>
      <c r="E947" t="s">
        <v>1462</v>
      </c>
      <c r="M947">
        <v>3.835</v>
      </c>
      <c r="N947">
        <v>3.835</v>
      </c>
      <c r="O947">
        <v>34.43</v>
      </c>
      <c r="P947" t="s">
        <v>439</v>
      </c>
      <c r="BI947" s="79" t="s">
        <v>1264</v>
      </c>
      <c r="BJ947" s="79">
        <v>1273</v>
      </c>
      <c r="BK947" s="79">
        <v>10</v>
      </c>
      <c r="BM947" s="79" t="s">
        <v>464</v>
      </c>
      <c r="BN947" s="79" t="s">
        <v>464</v>
      </c>
      <c r="BO947" s="79">
        <v>0</v>
      </c>
      <c r="BQ947" s="79">
        <v>0.5</v>
      </c>
      <c r="BR947" s="79">
        <v>25</v>
      </c>
      <c r="BS947" s="95" t="s">
        <v>464</v>
      </c>
      <c r="BT947" s="95" t="s">
        <v>464</v>
      </c>
      <c r="BU947" s="95" t="s">
        <v>1266</v>
      </c>
      <c r="BV947" s="95">
        <v>125</v>
      </c>
      <c r="BW947" s="95">
        <v>220</v>
      </c>
      <c r="BX947" s="95" t="s">
        <v>1287</v>
      </c>
      <c r="BY947" s="95">
        <f t="shared" si="280"/>
        <v>288</v>
      </c>
      <c r="BZ947" s="81">
        <v>113.11999999999999</v>
      </c>
      <c r="CA947">
        <f t="shared" si="283"/>
        <v>4.7284492021482629</v>
      </c>
    </row>
    <row r="948" spans="1:79" x14ac:dyDescent="0.3">
      <c r="A948" s="2" t="s">
        <v>1474</v>
      </c>
      <c r="E948" t="s">
        <v>1462</v>
      </c>
      <c r="M948">
        <v>3.835</v>
      </c>
      <c r="N948">
        <v>3.835</v>
      </c>
      <c r="O948">
        <v>34.43</v>
      </c>
      <c r="P948" t="s">
        <v>439</v>
      </c>
      <c r="BI948" s="79" t="s">
        <v>1264</v>
      </c>
      <c r="BJ948" s="79">
        <v>1273</v>
      </c>
      <c r="BK948" s="79">
        <v>10</v>
      </c>
      <c r="BM948" s="79" t="s">
        <v>464</v>
      </c>
      <c r="BN948" s="79" t="s">
        <v>464</v>
      </c>
      <c r="BO948" s="79">
        <v>0</v>
      </c>
      <c r="BQ948" s="79">
        <v>0.5</v>
      </c>
      <c r="BR948" s="79">
        <v>50</v>
      </c>
      <c r="BS948" s="95" t="s">
        <v>464</v>
      </c>
      <c r="BT948" s="95" t="s">
        <v>464</v>
      </c>
      <c r="BU948" s="95" t="s">
        <v>1266</v>
      </c>
      <c r="BV948" s="95">
        <v>125</v>
      </c>
      <c r="BW948" s="95">
        <v>220</v>
      </c>
      <c r="BX948" s="95" t="s">
        <v>1287</v>
      </c>
      <c r="BY948" s="95">
        <f t="shared" si="280"/>
        <v>288</v>
      </c>
      <c r="BZ948" s="81">
        <v>112.27999999999999</v>
      </c>
      <c r="CA948">
        <f t="shared" si="283"/>
        <v>4.7209957514936818</v>
      </c>
    </row>
    <row r="949" spans="1:79" x14ac:dyDescent="0.3">
      <c r="A949" s="2" t="s">
        <v>1475</v>
      </c>
      <c r="E949" t="s">
        <v>1462</v>
      </c>
      <c r="M949">
        <v>3.835</v>
      </c>
      <c r="N949">
        <v>3.835</v>
      </c>
      <c r="O949">
        <v>34.43</v>
      </c>
      <c r="P949" t="s">
        <v>439</v>
      </c>
      <c r="BI949" s="79" t="s">
        <v>1264</v>
      </c>
      <c r="BJ949" s="79">
        <v>1273</v>
      </c>
      <c r="BK949" s="79">
        <v>10</v>
      </c>
      <c r="BM949" s="79" t="s">
        <v>464</v>
      </c>
      <c r="BN949" s="79" t="s">
        <v>464</v>
      </c>
      <c r="BO949" s="79">
        <v>0</v>
      </c>
      <c r="BQ949" s="79">
        <v>0.5</v>
      </c>
      <c r="BR949" s="79">
        <v>90</v>
      </c>
      <c r="BS949" s="95" t="s">
        <v>464</v>
      </c>
      <c r="BT949" s="95" t="s">
        <v>464</v>
      </c>
      <c r="BU949" s="95" t="s">
        <v>1266</v>
      </c>
      <c r="BV949" s="95">
        <v>125</v>
      </c>
      <c r="BW949" s="95">
        <v>220</v>
      </c>
      <c r="BX949" s="95" t="s">
        <v>1287</v>
      </c>
      <c r="BY949" s="95">
        <f t="shared" si="280"/>
        <v>288</v>
      </c>
      <c r="BZ949" s="81">
        <v>123.52</v>
      </c>
      <c r="CA949">
        <f t="shared" si="283"/>
        <v>4.8164030862764662</v>
      </c>
    </row>
  </sheetData>
  <hyperlinks>
    <hyperlink ref="E499" r:id="rId1" tooltip="Persistent link using digital object identifier" display="https://doi.org/10.1016/j.pnsc.2012.03.002"/>
    <hyperlink ref="E500" r:id="rId2" tooltip="Persistent link using digital object identifier" display="https://doi.org/10.1016/j.pnsc.2012.03.002"/>
    <hyperlink ref="G6" r:id="rId3" display="https://www.crystallography.net/cod/1544425.html"/>
    <hyperlink ref="G16" r:id="rId4" display="https://www.crystallography.net/cod/1544425.html"/>
  </hyperlinks>
  <pageMargins left="0.7" right="0.7" top="0.75" bottom="0.75" header="0.3" footer="0.3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L3" sqref="L3"/>
    </sheetView>
  </sheetViews>
  <sheetFormatPr defaultRowHeight="14.4" x14ac:dyDescent="0.3"/>
  <cols>
    <col min="1" max="1" width="23" customWidth="1"/>
    <col min="4" max="4" width="14.33203125" customWidth="1"/>
    <col min="8" max="8" width="8.88671875" style="91"/>
    <col min="9" max="9" width="12.88671875" customWidth="1"/>
    <col min="10" max="10" width="13.33203125" customWidth="1"/>
    <col min="11" max="11" width="8.88671875" style="91"/>
    <col min="12" max="12" width="10.21875" customWidth="1"/>
  </cols>
  <sheetData>
    <row r="1" spans="1:13" x14ac:dyDescent="0.3">
      <c r="A1" t="s">
        <v>1277</v>
      </c>
      <c r="B1">
        <v>0.03</v>
      </c>
      <c r="D1" t="s">
        <v>1330</v>
      </c>
      <c r="E1">
        <v>1</v>
      </c>
      <c r="I1" s="3" t="s">
        <v>1424</v>
      </c>
      <c r="J1" s="3"/>
      <c r="L1" s="94" t="s">
        <v>1448</v>
      </c>
      <c r="M1" s="94"/>
    </row>
    <row r="2" spans="1:13" x14ac:dyDescent="0.3">
      <c r="A2" t="s">
        <v>1278</v>
      </c>
      <c r="B2">
        <f>B1</f>
        <v>0.03</v>
      </c>
      <c r="D2" t="s">
        <v>1331</v>
      </c>
      <c r="E2">
        <f>E1</f>
        <v>1</v>
      </c>
      <c r="I2" t="s">
        <v>1425</v>
      </c>
      <c r="J2">
        <v>500</v>
      </c>
      <c r="L2" t="s">
        <v>1449</v>
      </c>
      <c r="M2" t="s">
        <v>1450</v>
      </c>
    </row>
    <row r="3" spans="1:13" x14ac:dyDescent="0.3">
      <c r="A3" t="s">
        <v>1279</v>
      </c>
      <c r="B3">
        <f>1000/18</f>
        <v>55.555555555555557</v>
      </c>
      <c r="D3" t="s">
        <v>1279</v>
      </c>
      <c r="E3">
        <f>1000/18</f>
        <v>55.555555555555557</v>
      </c>
      <c r="I3" t="s">
        <v>1426</v>
      </c>
      <c r="J3">
        <v>500</v>
      </c>
      <c r="L3">
        <v>400</v>
      </c>
      <c r="M3">
        <f>6.62*10^(-34)*3*10^(8)/(L3*10^(-9)*1.6*10^(-19))</f>
        <v>3.1031249999999995</v>
      </c>
    </row>
    <row r="4" spans="1:13" x14ac:dyDescent="0.3">
      <c r="A4" t="s">
        <v>1280</v>
      </c>
      <c r="B4">
        <v>1</v>
      </c>
      <c r="D4" t="s">
        <v>1280</v>
      </c>
      <c r="E4">
        <v>1</v>
      </c>
      <c r="I4" t="s">
        <v>1427</v>
      </c>
      <c r="J4">
        <v>4</v>
      </c>
    </row>
    <row r="5" spans="1:13" x14ac:dyDescent="0.3">
      <c r="A5" t="s">
        <v>1281</v>
      </c>
      <c r="B5">
        <f>B2*(12+3+17)</f>
        <v>0.96</v>
      </c>
      <c r="D5" t="s">
        <v>1332</v>
      </c>
      <c r="E5">
        <f>E2*(12+3+17+12+12)</f>
        <v>56</v>
      </c>
      <c r="I5" t="s">
        <v>1428</v>
      </c>
      <c r="J5">
        <v>6020</v>
      </c>
    </row>
    <row r="6" spans="1:13" x14ac:dyDescent="0.3">
      <c r="A6" t="s">
        <v>1283</v>
      </c>
      <c r="B6">
        <v>0.79200000000000004</v>
      </c>
      <c r="D6" t="s">
        <v>1333</v>
      </c>
      <c r="E6">
        <v>0.80300000000000005</v>
      </c>
      <c r="I6" t="s">
        <v>1430</v>
      </c>
      <c r="J6">
        <f>J2*J3*J4*10^(-27)</f>
        <v>1.0000000000000001E-21</v>
      </c>
    </row>
    <row r="7" spans="1:13" x14ac:dyDescent="0.3">
      <c r="A7" t="s">
        <v>1282</v>
      </c>
      <c r="B7">
        <f>B5/(1000*B6)</f>
        <v>1.2121212121212121E-3</v>
      </c>
      <c r="D7" t="s">
        <v>1334</v>
      </c>
      <c r="E7">
        <f>E5/(1000*E6)</f>
        <v>6.9738480697384808E-2</v>
      </c>
      <c r="I7" t="s">
        <v>1431</v>
      </c>
      <c r="J7">
        <f>J5*J6</f>
        <v>6.0200000000000003E-18</v>
      </c>
    </row>
    <row r="8" spans="1:13" x14ac:dyDescent="0.3">
      <c r="I8" t="s">
        <v>1429</v>
      </c>
      <c r="J8">
        <f>J7*1000</f>
        <v>6.02E-15</v>
      </c>
    </row>
    <row r="9" spans="1:13" x14ac:dyDescent="0.3">
      <c r="A9" t="s">
        <v>1284</v>
      </c>
      <c r="B9">
        <f>100*B7/B4</f>
        <v>0.12121212121212122</v>
      </c>
      <c r="D9" t="s">
        <v>1284</v>
      </c>
      <c r="E9">
        <f>100*E7/E4</f>
        <v>6.973848069738481</v>
      </c>
      <c r="I9" t="s">
        <v>1432</v>
      </c>
      <c r="J9">
        <f>2*10^(-18)*(J2*J3+J3*J4+J2*J4)</f>
        <v>5.0800000000000006E-13</v>
      </c>
    </row>
    <row r="10" spans="1:13" x14ac:dyDescent="0.3">
      <c r="I10" t="s">
        <v>1433</v>
      </c>
      <c r="J10">
        <f>J9/J8</f>
        <v>84.385382059800676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Data</vt:lpstr>
      <vt:lpstr>Export</vt:lpstr>
      <vt:lpstr>Descriptors count</vt:lpstr>
      <vt:lpstr>Data_old</vt:lpstr>
      <vt:lpstr>Dopants</vt:lpstr>
      <vt:lpstr>Weight fraction conversion</vt:lpstr>
      <vt:lpstr>Indexation</vt:lpstr>
      <vt:lpstr>Hydrogen rate converter</vt:lpstr>
      <vt:lpstr>Photocatalytic dataset</vt:lpstr>
      <vt:lpstr>Converter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Никита Давыдов</cp:lastModifiedBy>
  <dcterms:created xsi:type="dcterms:W3CDTF">2024-09-21T15:12:53Z</dcterms:created>
  <dcterms:modified xsi:type="dcterms:W3CDTF">2025-12-03T00:05:55Z</dcterms:modified>
</cp:coreProperties>
</file>