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54F63893-C38C-4F8D-B844-2A36E4B6CBE6}" xr6:coauthVersionLast="47" xr6:coauthVersionMax="47" xr10:uidLastSave="{00000000-0000-0000-0000-000000000000}"/>
  <bookViews>
    <workbookView xWindow="-108" yWindow="-108" windowWidth="23256" windowHeight="12576" xr2:uid="{172B937E-3133-5D46-9145-92A2E12F8273}"/>
  </bookViews>
  <sheets>
    <sheet name="Inputs" sheetId="1" r:id="rId1"/>
    <sheet name="Conversion" sheetId="2" state="hidden" r:id="rId2"/>
    <sheet name="Building Types" sheetId="3" state="hidden" r:id="rId3"/>
  </sheets>
  <externalReferences>
    <externalReference r:id="rId4"/>
  </externalReferences>
  <definedNames>
    <definedName name="_xlnm._FilterDatabase" localSheetId="0" hidden="1">Inputs!$A$1:$BU$4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5" i="1" a="1"/>
  <c r="U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5" i="1" a="1"/>
  <c r="T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5" i="1" a="1"/>
  <c r="S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5" i="1" a="1"/>
  <c r="R5" i="1" s="1"/>
  <c r="Q62" i="1" l="1"/>
  <c r="Q54" i="1"/>
  <c r="Q46" i="1"/>
  <c r="Q38" i="1"/>
  <c r="Q30" i="1"/>
  <c r="Q22" i="1"/>
  <c r="Q14" i="1"/>
  <c r="Q6" i="1"/>
  <c r="Q61" i="1"/>
  <c r="Q45" i="1"/>
  <c r="Q29" i="1"/>
  <c r="Q21" i="1"/>
  <c r="Q60" i="1"/>
  <c r="Q52" i="1"/>
  <c r="Q44" i="1"/>
  <c r="Q36" i="1"/>
  <c r="Q28" i="1"/>
  <c r="Q20" i="1"/>
  <c r="Q12" i="1"/>
  <c r="Q53" i="1"/>
  <c r="Q13" i="1"/>
  <c r="Q59" i="1"/>
  <c r="Q51" i="1"/>
  <c r="Q43" i="1"/>
  <c r="Q35" i="1"/>
  <c r="Q27" i="1"/>
  <c r="Q19" i="1"/>
  <c r="Q11" i="1"/>
  <c r="Q57" i="1"/>
  <c r="Q49" i="1"/>
  <c r="Q41" i="1"/>
  <c r="Q33" i="1"/>
  <c r="Q25" i="1"/>
  <c r="Q17" i="1"/>
  <c r="Q9" i="1"/>
  <c r="Q64" i="1"/>
  <c r="Q56" i="1"/>
  <c r="Q48" i="1"/>
  <c r="Q40" i="1"/>
  <c r="Q32" i="1"/>
  <c r="Q24" i="1"/>
  <c r="Q16" i="1"/>
  <c r="Q8" i="1"/>
  <c r="Q63" i="1"/>
  <c r="Q55" i="1"/>
  <c r="Q47" i="1"/>
  <c r="Q39" i="1"/>
  <c r="Q31" i="1"/>
  <c r="Q23" i="1"/>
  <c r="Q15" i="1"/>
  <c r="Q7" i="1"/>
  <c r="Q37" i="1"/>
  <c r="Q58" i="1"/>
  <c r="Q50" i="1"/>
  <c r="Q42" i="1"/>
  <c r="Q34" i="1"/>
  <c r="Q26" i="1"/>
  <c r="Q18" i="1"/>
  <c r="Q10" i="1"/>
  <c r="Q5" i="1"/>
  <c r="CU6" i="1" l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A5" i="1"/>
  <c r="CW5" i="1"/>
  <c r="CX5" i="1"/>
  <c r="CY5" i="1"/>
  <c r="CZ5" i="1"/>
  <c r="DB5" i="1"/>
  <c r="DC5" i="1"/>
  <c r="DD5" i="1"/>
  <c r="DE5" i="1"/>
  <c r="DF5" i="1"/>
  <c r="DG5" i="1"/>
  <c r="DH5" i="1"/>
  <c r="CV5" i="1"/>
  <c r="CU5" i="1"/>
  <c r="Q2" i="1"/>
  <c r="C20" i="2" a="1"/>
  <c r="C20" i="2" s="1"/>
  <c r="C21" i="2" a="1"/>
  <c r="C21" i="2" s="1"/>
  <c r="C22" i="2" a="1"/>
  <c r="C22" i="2" s="1"/>
  <c r="C16" i="2" a="1"/>
  <c r="C16" i="2" s="1"/>
  <c r="C17" i="2" s="1" a="1"/>
  <c r="C17" i="2" s="1"/>
  <c r="G6" i="2"/>
  <c r="G5" i="2"/>
  <c r="G4" i="2"/>
  <c r="G3" i="2"/>
  <c r="CG35" i="1" l="1"/>
  <c r="CG17" i="1"/>
  <c r="CG47" i="1"/>
  <c r="CG11" i="1"/>
  <c r="CG22" i="1"/>
  <c r="CG10" i="1"/>
  <c r="CG63" i="1"/>
  <c r="CG45" i="1"/>
  <c r="CG39" i="1"/>
  <c r="CG27" i="1"/>
  <c r="CG21" i="1"/>
  <c r="CG15" i="1"/>
  <c r="CG31" i="1"/>
  <c r="CG25" i="1"/>
  <c r="CG19" i="1"/>
  <c r="CG13" i="1"/>
  <c r="CG57" i="1"/>
  <c r="CG5" i="1"/>
  <c r="CG26" i="1"/>
  <c r="CG59" i="1"/>
  <c r="CG60" i="1"/>
  <c r="CG20" i="1"/>
  <c r="CG37" i="1"/>
  <c r="CG30" i="1"/>
  <c r="CG14" i="1"/>
  <c r="CG43" i="1"/>
  <c r="CG55" i="1"/>
  <c r="CG51" i="1"/>
  <c r="CG33" i="1"/>
  <c r="CG56" i="1"/>
  <c r="CG52" i="1"/>
  <c r="CG48" i="1"/>
  <c r="CG44" i="1"/>
  <c r="CG40" i="1"/>
  <c r="CG36" i="1"/>
  <c r="CG24" i="1"/>
  <c r="CG16" i="1"/>
  <c r="CG8" i="1"/>
  <c r="CG54" i="1"/>
  <c r="CG6" i="1"/>
  <c r="CG23" i="1"/>
  <c r="CG64" i="1"/>
  <c r="CG50" i="1"/>
  <c r="CG41" i="1"/>
  <c r="CG32" i="1"/>
  <c r="CG18" i="1"/>
  <c r="CG9" i="1"/>
  <c r="CG46" i="1"/>
  <c r="CG42" i="1"/>
  <c r="CG61" i="1"/>
  <c r="CG38" i="1"/>
  <c r="CG29" i="1"/>
  <c r="CG34" i="1"/>
  <c r="CG12" i="1"/>
  <c r="CG7" i="1"/>
  <c r="CG62" i="1"/>
  <c r="CG53" i="1"/>
  <c r="CG58" i="1"/>
  <c r="CG49" i="1"/>
  <c r="CG28" i="1"/>
  <c r="CR33" i="1"/>
  <c r="CQ26" i="1"/>
  <c r="CO64" i="1"/>
  <c r="CO57" i="1"/>
  <c r="CQ61" i="1"/>
  <c r="CQ54" i="1"/>
  <c r="CR15" i="1"/>
  <c r="CP10" i="1"/>
  <c r="CR58" i="1"/>
  <c r="CP51" i="1"/>
  <c r="CQ60" i="1"/>
  <c r="CR62" i="1"/>
  <c r="CR55" i="1"/>
  <c r="CQ59" i="1"/>
  <c r="CR53" i="1"/>
  <c r="CR19" i="1"/>
  <c r="CR14" i="1"/>
  <c r="CQ34" i="1"/>
  <c r="CQ27" i="1"/>
  <c r="CP41" i="1"/>
  <c r="CP7" i="1"/>
  <c r="CR22" i="1"/>
  <c r="CQ11" i="1"/>
  <c r="CR5" i="1"/>
  <c r="CQ45" i="1"/>
  <c r="CR24" i="1"/>
  <c r="CQ49" i="1"/>
  <c r="CQ43" i="1"/>
  <c r="CQ17" i="1"/>
  <c r="CR6" i="1"/>
  <c r="CR29" i="1"/>
  <c r="CR48" i="1"/>
  <c r="CR38" i="1"/>
  <c r="CO35" i="1"/>
  <c r="CR28" i="1"/>
  <c r="CR16" i="1"/>
  <c r="CQ21" i="1"/>
  <c r="CQ47" i="1"/>
  <c r="CR20" i="1"/>
  <c r="CR37" i="1"/>
  <c r="CP25" i="1"/>
  <c r="CR9" i="1"/>
  <c r="CR13" i="1"/>
  <c r="CR44" i="1"/>
  <c r="CQ39" i="1"/>
  <c r="CR36" i="1"/>
  <c r="CR31" i="1"/>
  <c r="CP18" i="1"/>
  <c r="CR12" i="1"/>
  <c r="CQ50" i="1"/>
  <c r="CR30" i="1"/>
  <c r="CO23" i="1"/>
  <c r="CR46" i="1"/>
  <c r="CR40" i="1"/>
  <c r="CR32" i="1"/>
  <c r="CQ8" i="1"/>
  <c r="CO42" i="1"/>
  <c r="C28" i="2" a="1"/>
  <c r="C28" i="2" s="1"/>
  <c r="C23" i="2" a="1"/>
  <c r="C23" i="2" s="1"/>
  <c r="C26" i="2" a="1"/>
  <c r="C26" i="2" s="1"/>
  <c r="C19" i="2" a="1"/>
  <c r="C19" i="2" s="1"/>
  <c r="C27" i="2" a="1"/>
  <c r="C27" i="2" s="1"/>
  <c r="C25" i="2" a="1"/>
  <c r="C25" i="2" s="1"/>
  <c r="C24" i="2" a="1"/>
  <c r="C24" i="2" s="1"/>
  <c r="C18" i="2" a="1"/>
  <c r="C18" i="2" s="1"/>
  <c r="CQ10" i="1" l="1"/>
  <c r="CQ51" i="1"/>
  <c r="CQ37" i="1"/>
  <c r="CO19" i="1"/>
  <c r="CP19" i="1"/>
  <c r="CP40" i="1"/>
  <c r="CR18" i="1"/>
  <c r="CP64" i="1"/>
  <c r="CR10" i="1"/>
  <c r="CO53" i="1"/>
  <c r="CO37" i="1"/>
  <c r="CP21" i="1"/>
  <c r="CQ19" i="1"/>
  <c r="CQ18" i="1"/>
  <c r="CP37" i="1"/>
  <c r="CP6" i="1"/>
  <c r="CQ36" i="1"/>
  <c r="CO10" i="1"/>
  <c r="CP39" i="1"/>
  <c r="CO6" i="1"/>
  <c r="CO18" i="1"/>
  <c r="CP53" i="1"/>
  <c r="CR47" i="1"/>
  <c r="CO40" i="1"/>
  <c r="CO51" i="1"/>
  <c r="CO5" i="1"/>
  <c r="CQ5" i="1"/>
  <c r="CR51" i="1"/>
  <c r="CP22" i="1"/>
  <c r="CO48" i="1"/>
  <c r="CQ33" i="1"/>
  <c r="CO8" i="1"/>
  <c r="CP8" i="1"/>
  <c r="CR8" i="1"/>
  <c r="CO56" i="1"/>
  <c r="CP56" i="1"/>
  <c r="CP11" i="1"/>
  <c r="CP27" i="1"/>
  <c r="CP47" i="1"/>
  <c r="CR17" i="1"/>
  <c r="CR49" i="1"/>
  <c r="CP16" i="1"/>
  <c r="CP32" i="1"/>
  <c r="CP48" i="1"/>
  <c r="CR42" i="1"/>
  <c r="CQ35" i="1"/>
  <c r="CO31" i="1"/>
  <c r="CO22" i="1"/>
  <c r="CO15" i="1"/>
  <c r="CQ6" i="1"/>
  <c r="CQ53" i="1"/>
  <c r="CO25" i="1"/>
  <c r="CQ24" i="1"/>
  <c r="CO50" i="1"/>
  <c r="CQ25" i="1"/>
  <c r="CO29" i="1"/>
  <c r="CQ42" i="1"/>
  <c r="CO63" i="1"/>
  <c r="CP63" i="1"/>
  <c r="CP13" i="1"/>
  <c r="CP29" i="1"/>
  <c r="CP49" i="1"/>
  <c r="CR35" i="1"/>
  <c r="CP34" i="1"/>
  <c r="CP50" i="1"/>
  <c r="CR50" i="1"/>
  <c r="CQ58" i="1"/>
  <c r="CO38" i="1"/>
  <c r="CO39" i="1"/>
  <c r="CQ14" i="1"/>
  <c r="CO49" i="1"/>
  <c r="CQ32" i="1"/>
  <c r="CO44" i="1"/>
  <c r="CO33" i="1"/>
  <c r="CP33" i="1"/>
  <c r="CP15" i="1"/>
  <c r="CP31" i="1"/>
  <c r="CR21" i="1"/>
  <c r="CP20" i="1"/>
  <c r="CP36" i="1"/>
  <c r="CP58" i="1"/>
  <c r="CR56" i="1"/>
  <c r="CP5" i="1"/>
  <c r="CQ12" i="1"/>
  <c r="CO46" i="1"/>
  <c r="CO47" i="1"/>
  <c r="CQ22" i="1"/>
  <c r="CQ7" i="1"/>
  <c r="CQ40" i="1"/>
  <c r="CQ55" i="1"/>
  <c r="CQ41" i="1"/>
  <c r="CQ56" i="1"/>
  <c r="CO12" i="1"/>
  <c r="CO52" i="1"/>
  <c r="CP52" i="1"/>
  <c r="CR52" i="1"/>
  <c r="CP17" i="1"/>
  <c r="CP35" i="1"/>
  <c r="CR7" i="1"/>
  <c r="CR23" i="1"/>
  <c r="CR39" i="1"/>
  <c r="CP38" i="1"/>
  <c r="CP62" i="1"/>
  <c r="CR64" i="1"/>
  <c r="CO13" i="1"/>
  <c r="CQ20" i="1"/>
  <c r="CO16" i="1"/>
  <c r="CQ13" i="1"/>
  <c r="CO17" i="1"/>
  <c r="CQ30" i="1"/>
  <c r="CQ15" i="1"/>
  <c r="CQ62" i="1"/>
  <c r="CQ48" i="1"/>
  <c r="CQ63" i="1"/>
  <c r="CQ64" i="1"/>
  <c r="CO20" i="1"/>
  <c r="CO43" i="1"/>
  <c r="CP43" i="1"/>
  <c r="CO59" i="1"/>
  <c r="CP59" i="1"/>
  <c r="CO54" i="1"/>
  <c r="CP54" i="1"/>
  <c r="CR54" i="1"/>
  <c r="CP57" i="1"/>
  <c r="CR25" i="1"/>
  <c r="CR41" i="1"/>
  <c r="CR57" i="1"/>
  <c r="CP24" i="1"/>
  <c r="CQ57" i="1"/>
  <c r="CO21" i="1"/>
  <c r="CQ28" i="1"/>
  <c r="CO24" i="1"/>
  <c r="CO41" i="1"/>
  <c r="CQ38" i="1"/>
  <c r="CQ23" i="1"/>
  <c r="CO11" i="1"/>
  <c r="CO28" i="1"/>
  <c r="CO55" i="1"/>
  <c r="CP55" i="1"/>
  <c r="CO61" i="1"/>
  <c r="CP61" i="1"/>
  <c r="CR11" i="1"/>
  <c r="CR27" i="1"/>
  <c r="CR43" i="1"/>
  <c r="CR59" i="1"/>
  <c r="CP26" i="1"/>
  <c r="CP42" i="1"/>
  <c r="CO45" i="1"/>
  <c r="CQ29" i="1"/>
  <c r="CQ52" i="1"/>
  <c r="CQ46" i="1"/>
  <c r="CQ31" i="1"/>
  <c r="CO58" i="1"/>
  <c r="CO36" i="1"/>
  <c r="CO9" i="1"/>
  <c r="CP9" i="1"/>
  <c r="CP23" i="1"/>
  <c r="CR45" i="1"/>
  <c r="CR61" i="1"/>
  <c r="CP12" i="1"/>
  <c r="CP28" i="1"/>
  <c r="CP44" i="1"/>
  <c r="CR26" i="1"/>
  <c r="CO7" i="1"/>
  <c r="CQ44" i="1"/>
  <c r="CO32" i="1"/>
  <c r="CO26" i="1"/>
  <c r="CQ9" i="1"/>
  <c r="CO27" i="1"/>
  <c r="CO14" i="1"/>
  <c r="CO60" i="1"/>
  <c r="CP60" i="1"/>
  <c r="CR60" i="1"/>
  <c r="CP45" i="1"/>
  <c r="CR63" i="1"/>
  <c r="CP14" i="1"/>
  <c r="CP30" i="1"/>
  <c r="CP46" i="1"/>
  <c r="CR34" i="1"/>
  <c r="CO62" i="1"/>
  <c r="CO34" i="1"/>
  <c r="CQ16" i="1"/>
  <c r="CO30" i="1"/>
  <c r="BZ17" i="1" a="1"/>
  <c r="BZ17" i="1" s="1"/>
  <c r="BY17" i="1" a="1"/>
  <c r="BY17" i="1" s="1"/>
  <c r="BX17" i="1" a="1"/>
  <c r="BX17" i="1" s="1"/>
  <c r="BX61" i="1" a="1"/>
  <c r="BX61" i="1" s="1"/>
  <c r="BZ24" i="1" a="1"/>
  <c r="BZ24" i="1" s="1"/>
  <c r="BZ62" i="1" a="1"/>
  <c r="BZ62" i="1" s="1"/>
  <c r="BY24" i="1" a="1"/>
  <c r="BY24" i="1" s="1"/>
  <c r="BY62" i="1" a="1"/>
  <c r="BY62" i="1" s="1"/>
  <c r="BX24" i="1" a="1"/>
  <c r="BX24" i="1" s="1"/>
  <c r="BX62" i="1" a="1"/>
  <c r="BX62" i="1" s="1"/>
  <c r="BZ57" i="1" a="1"/>
  <c r="BZ57" i="1" s="1"/>
  <c r="BZ61" i="1" a="1"/>
  <c r="BZ61" i="1" s="1"/>
  <c r="BY57" i="1" a="1"/>
  <c r="BY57" i="1" s="1"/>
  <c r="BY61" i="1" a="1"/>
  <c r="BY61" i="1" s="1"/>
  <c r="BX57" i="1" a="1"/>
  <c r="BX57" i="1" s="1"/>
  <c r="BZ52" i="1" a="1"/>
  <c r="BZ52" i="1" s="1"/>
  <c r="BZ7" i="1" a="1"/>
  <c r="BZ7" i="1" s="1"/>
  <c r="BY52" i="1" a="1"/>
  <c r="BY52" i="1" s="1"/>
  <c r="BZ43" i="1" a="1"/>
  <c r="BZ43" i="1" s="1"/>
  <c r="BX52" i="1" a="1"/>
  <c r="BX52" i="1" s="1"/>
  <c r="BY7" i="1" a="1"/>
  <c r="BY7" i="1" s="1"/>
  <c r="BY43" i="1" a="1"/>
  <c r="BY43" i="1" s="1"/>
  <c r="BX7" i="1" a="1"/>
  <c r="BX7" i="1" s="1"/>
  <c r="BX43" i="1" a="1"/>
  <c r="BX43" i="1" s="1"/>
  <c r="BY63" i="1" a="1"/>
  <c r="BY63" i="1" s="1"/>
  <c r="BY50" i="1" a="1"/>
  <c r="BY50" i="1" s="1"/>
  <c r="BX42" i="1" a="1"/>
  <c r="BX42" i="1" s="1"/>
  <c r="BY31" i="1" a="1"/>
  <c r="BY31" i="1" s="1"/>
  <c r="BX63" i="1" a="1"/>
  <c r="BX63" i="1" s="1"/>
  <c r="BX31" i="1" a="1"/>
  <c r="BX31" i="1" s="1"/>
  <c r="BX50" i="1" a="1"/>
  <c r="BX50" i="1" s="1"/>
  <c r="BZ38" i="1" a="1"/>
  <c r="BZ38" i="1" s="1"/>
  <c r="BZ36" i="1" a="1"/>
  <c r="BZ36" i="1" s="1"/>
  <c r="BZ23" i="1" a="1"/>
  <c r="BZ23" i="1" s="1"/>
  <c r="BZ42" i="1" a="1"/>
  <c r="BZ42" i="1" s="1"/>
  <c r="BZ40" i="1" a="1"/>
  <c r="BZ40" i="1" s="1"/>
  <c r="BY38" i="1" a="1"/>
  <c r="BY38" i="1" s="1"/>
  <c r="BY36" i="1" a="1"/>
  <c r="BY36" i="1" s="1"/>
  <c r="BZ63" i="1" a="1"/>
  <c r="BZ63" i="1" s="1"/>
  <c r="BY42" i="1" a="1"/>
  <c r="BY42" i="1" s="1"/>
  <c r="BY40" i="1" a="1"/>
  <c r="BY40" i="1" s="1"/>
  <c r="BX36" i="1" a="1"/>
  <c r="BX36" i="1" s="1"/>
  <c r="BZ31" i="1" a="1"/>
  <c r="BZ31" i="1" s="1"/>
  <c r="BY23" i="1" a="1"/>
  <c r="BY23" i="1" s="1"/>
  <c r="BZ50" i="1" a="1"/>
  <c r="BZ50" i="1" s="1"/>
  <c r="BX40" i="1" a="1"/>
  <c r="BX40" i="1" s="1"/>
  <c r="BX38" i="1" a="1"/>
  <c r="BX38" i="1" s="1"/>
  <c r="BX23" i="1" a="1"/>
  <c r="BX23" i="1" s="1"/>
  <c r="BY18" i="1" a="1"/>
  <c r="BY18" i="1" s="1"/>
  <c r="BX18" i="1" a="1"/>
  <c r="BX18" i="1" s="1"/>
  <c r="BZ18" i="1" a="1"/>
  <c r="BZ18" i="1" s="1"/>
  <c r="BX59" i="1" a="1"/>
  <c r="BX59" i="1" s="1"/>
  <c r="BZ54" i="1" a="1"/>
  <c r="BZ54" i="1" s="1"/>
  <c r="BX44" i="1" a="1"/>
  <c r="BX44" i="1" s="1"/>
  <c r="BY33" i="1" a="1"/>
  <c r="BY33" i="1" s="1"/>
  <c r="BY16" i="1" a="1"/>
  <c r="BY16" i="1" s="1"/>
  <c r="BZ5" i="1" a="1"/>
  <c r="BZ5" i="1" s="1"/>
  <c r="BZ56" i="1" a="1"/>
  <c r="BZ56" i="1" s="1"/>
  <c r="BY54" i="1" a="1"/>
  <c r="BY54" i="1" s="1"/>
  <c r="BX46" i="1" a="1"/>
  <c r="BX46" i="1" s="1"/>
  <c r="BZ41" i="1" a="1"/>
  <c r="BZ41" i="1" s="1"/>
  <c r="BX33" i="1" a="1"/>
  <c r="BX33" i="1" s="1"/>
  <c r="BX16" i="1" a="1"/>
  <c r="BX16" i="1" s="1"/>
  <c r="BZ9" i="1" a="1"/>
  <c r="BZ9" i="1" s="1"/>
  <c r="BY5" i="1" a="1"/>
  <c r="BY5" i="1" s="1"/>
  <c r="BZ60" i="1" a="1"/>
  <c r="BZ60" i="1" s="1"/>
  <c r="BY56" i="1" a="1"/>
  <c r="BY56" i="1" s="1"/>
  <c r="BZ45" i="1" a="1"/>
  <c r="BZ45" i="1" s="1"/>
  <c r="BY41" i="1" a="1"/>
  <c r="BY41" i="1" s="1"/>
  <c r="BY9" i="1" a="1"/>
  <c r="BY9" i="1" s="1"/>
  <c r="BX5" i="1" a="1"/>
  <c r="BX5" i="1" s="1"/>
  <c r="BZ64" i="1" a="1"/>
  <c r="BZ64" i="1" s="1"/>
  <c r="BY60" i="1" a="1"/>
  <c r="BY60" i="1" s="1"/>
  <c r="BX56" i="1" a="1"/>
  <c r="BX56" i="1" s="1"/>
  <c r="BX54" i="1" a="1"/>
  <c r="BX54" i="1" s="1"/>
  <c r="BZ51" i="1" a="1"/>
  <c r="BZ51" i="1" s="1"/>
  <c r="BY45" i="1" a="1"/>
  <c r="BY45" i="1" s="1"/>
  <c r="BX41" i="1" a="1"/>
  <c r="BX41" i="1" s="1"/>
  <c r="BX9" i="1" a="1"/>
  <c r="BX9" i="1" s="1"/>
  <c r="BY64" i="1" a="1"/>
  <c r="BY64" i="1" s="1"/>
  <c r="BX60" i="1" a="1"/>
  <c r="BX60" i="1" s="1"/>
  <c r="BZ55" i="1" a="1"/>
  <c r="BZ55" i="1" s="1"/>
  <c r="BZ53" i="1" a="1"/>
  <c r="BZ53" i="1" s="1"/>
  <c r="BX45" i="1" a="1"/>
  <c r="BX45" i="1" s="1"/>
  <c r="BX64" i="1" a="1"/>
  <c r="BX64" i="1" s="1"/>
  <c r="BZ59" i="1" a="1"/>
  <c r="BZ59" i="1" s="1"/>
  <c r="BY53" i="1" a="1"/>
  <c r="BY53" i="1" s="1"/>
  <c r="BY51" i="1" a="1"/>
  <c r="BY51" i="1" s="1"/>
  <c r="BZ8" i="1" a="1"/>
  <c r="BZ8" i="1" s="1"/>
  <c r="BY55" i="1" a="1"/>
  <c r="BY55" i="1" s="1"/>
  <c r="BX53" i="1" a="1"/>
  <c r="BX53" i="1" s="1"/>
  <c r="BX51" i="1" a="1"/>
  <c r="BX51" i="1" s="1"/>
  <c r="BZ46" i="1" a="1"/>
  <c r="BZ46" i="1" s="1"/>
  <c r="BZ44" i="1" a="1"/>
  <c r="BZ44" i="1" s="1"/>
  <c r="BY8" i="1" a="1"/>
  <c r="BY8" i="1" s="1"/>
  <c r="BY59" i="1" a="1"/>
  <c r="BY59" i="1" s="1"/>
  <c r="BX55" i="1" a="1"/>
  <c r="BX55" i="1" s="1"/>
  <c r="BY46" i="1" a="1"/>
  <c r="BY46" i="1" s="1"/>
  <c r="BY44" i="1" a="1"/>
  <c r="BY44" i="1" s="1"/>
  <c r="BZ33" i="1" a="1"/>
  <c r="BZ33" i="1" s="1"/>
  <c r="BZ16" i="1" a="1"/>
  <c r="BZ16" i="1" s="1"/>
  <c r="BX8" i="1" a="1"/>
  <c r="BX8" i="1" s="1"/>
  <c r="BY48" i="1" a="1"/>
  <c r="BY48" i="1" s="1"/>
  <c r="BX29" i="1" a="1"/>
  <c r="BX29" i="1" s="1"/>
  <c r="BX12" i="1" a="1"/>
  <c r="BX12" i="1" s="1"/>
  <c r="BZ58" i="1" a="1"/>
  <c r="BZ58" i="1" s="1"/>
  <c r="BX48" i="1" a="1"/>
  <c r="BX48" i="1" s="1"/>
  <c r="BZ11" i="1" a="1"/>
  <c r="BZ11" i="1" s="1"/>
  <c r="BY58" i="1" a="1"/>
  <c r="BY58" i="1" s="1"/>
  <c r="BZ30" i="1" a="1"/>
  <c r="BZ30" i="1" s="1"/>
  <c r="BY30" i="1" a="1"/>
  <c r="BY30" i="1" s="1"/>
  <c r="BY11" i="1" a="1"/>
  <c r="BY11" i="1" s="1"/>
  <c r="BX58" i="1" a="1"/>
  <c r="BX58" i="1" s="1"/>
  <c r="BX11" i="1" a="1"/>
  <c r="BX11" i="1" s="1"/>
  <c r="BX30" i="1" a="1"/>
  <c r="BX30" i="1" s="1"/>
  <c r="BZ29" i="1" a="1"/>
  <c r="BZ29" i="1" s="1"/>
  <c r="BZ12" i="1" a="1"/>
  <c r="BZ12" i="1" s="1"/>
  <c r="BZ48" i="1" a="1"/>
  <c r="BZ48" i="1" s="1"/>
  <c r="BY29" i="1" a="1"/>
  <c r="BY29" i="1" s="1"/>
  <c r="BY12" i="1" a="1"/>
  <c r="BY12" i="1" s="1"/>
  <c r="BX27" i="1" a="1"/>
  <c r="BX27" i="1" s="1"/>
  <c r="BZ20" i="1" a="1"/>
  <c r="BZ20" i="1" s="1"/>
  <c r="BY20" i="1" a="1"/>
  <c r="BY20" i="1" s="1"/>
  <c r="BZ28" i="1" a="1"/>
  <c r="BZ28" i="1" s="1"/>
  <c r="BX20" i="1" a="1"/>
  <c r="BX20" i="1" s="1"/>
  <c r="BZ34" i="1" a="1"/>
  <c r="BZ34" i="1" s="1"/>
  <c r="BY28" i="1" a="1"/>
  <c r="BY28" i="1" s="1"/>
  <c r="BY34" i="1" a="1"/>
  <c r="BY34" i="1" s="1"/>
  <c r="BX28" i="1" a="1"/>
  <c r="BX28" i="1" s="1"/>
  <c r="BZ6" i="1" a="1"/>
  <c r="BZ6" i="1" s="1"/>
  <c r="BZ27" i="1" a="1"/>
  <c r="BZ27" i="1" s="1"/>
  <c r="BY6" i="1" a="1"/>
  <c r="BY6" i="1" s="1"/>
  <c r="BX34" i="1" a="1"/>
  <c r="BX34" i="1" s="1"/>
  <c r="BY27" i="1" a="1"/>
  <c r="BY27" i="1" s="1"/>
  <c r="BX6" i="1" a="1"/>
  <c r="BX6" i="1" s="1"/>
  <c r="BZ39" i="1" a="1"/>
  <c r="BZ39" i="1" s="1"/>
  <c r="BZ37" i="1" a="1"/>
  <c r="BZ37" i="1" s="1"/>
  <c r="BZ22" i="1" a="1"/>
  <c r="BZ22" i="1" s="1"/>
  <c r="BX10" i="1" a="1"/>
  <c r="BX10" i="1" s="1"/>
  <c r="BY37" i="1" a="1"/>
  <c r="BY37" i="1" s="1"/>
  <c r="BY35" i="1" a="1"/>
  <c r="BY35" i="1" s="1"/>
  <c r="BZ26" i="1" a="1"/>
  <c r="BZ26" i="1" s="1"/>
  <c r="BY22" i="1" a="1"/>
  <c r="BY22" i="1" s="1"/>
  <c r="BX14" i="1" a="1"/>
  <c r="BX14" i="1" s="1"/>
  <c r="BZ47" i="1" a="1"/>
  <c r="BZ47" i="1" s="1"/>
  <c r="BY39" i="1" a="1"/>
  <c r="BY39" i="1" s="1"/>
  <c r="BX37" i="1" a="1"/>
  <c r="BX37" i="1" s="1"/>
  <c r="BX35" i="1" a="1"/>
  <c r="BX35" i="1" s="1"/>
  <c r="BY26" i="1" a="1"/>
  <c r="BY26" i="1" s="1"/>
  <c r="BZ15" i="1" a="1"/>
  <c r="BZ15" i="1" s="1"/>
  <c r="BZ13" i="1" a="1"/>
  <c r="BZ13" i="1" s="1"/>
  <c r="BZ49" i="1" a="1"/>
  <c r="BZ49" i="1" s="1"/>
  <c r="BX39" i="1" a="1"/>
  <c r="BX39" i="1" s="1"/>
  <c r="BZ32" i="1" a="1"/>
  <c r="BZ32" i="1" s="1"/>
  <c r="BX22" i="1" a="1"/>
  <c r="BX22" i="1" s="1"/>
  <c r="BZ19" i="1" a="1"/>
  <c r="BZ19" i="1" s="1"/>
  <c r="BY13" i="1" a="1"/>
  <c r="BY13" i="1" s="1"/>
  <c r="BY49" i="1" a="1"/>
  <c r="BY49" i="1" s="1"/>
  <c r="BY47" i="1" a="1"/>
  <c r="BY47" i="1" s="1"/>
  <c r="BY32" i="1" a="1"/>
  <c r="BY32" i="1" s="1"/>
  <c r="BX26" i="1" a="1"/>
  <c r="BX26" i="1" s="1"/>
  <c r="BZ21" i="1" a="1"/>
  <c r="BZ21" i="1" s="1"/>
  <c r="BY15" i="1" a="1"/>
  <c r="BY15" i="1" s="1"/>
  <c r="BX13" i="1" a="1"/>
  <c r="BX13" i="1" s="1"/>
  <c r="BX49" i="1" a="1"/>
  <c r="BX49" i="1" s="1"/>
  <c r="BX47" i="1" a="1"/>
  <c r="BX47" i="1" s="1"/>
  <c r="BX32" i="1" a="1"/>
  <c r="BX32" i="1" s="1"/>
  <c r="BZ25" i="1" a="1"/>
  <c r="BZ25" i="1" s="1"/>
  <c r="BY21" i="1" a="1"/>
  <c r="BY21" i="1" s="1"/>
  <c r="BY19" i="1" a="1"/>
  <c r="BY19" i="1" s="1"/>
  <c r="BX15" i="1" a="1"/>
  <c r="BX15" i="1" s="1"/>
  <c r="BZ10" i="1" a="1"/>
  <c r="BZ10" i="1" s="1"/>
  <c r="BY25" i="1" a="1"/>
  <c r="BY25" i="1" s="1"/>
  <c r="BX21" i="1" a="1"/>
  <c r="BX21" i="1" s="1"/>
  <c r="BX19" i="1" a="1"/>
  <c r="BX19" i="1" s="1"/>
  <c r="BZ14" i="1" a="1"/>
  <c r="BZ14" i="1" s="1"/>
  <c r="BY10" i="1" a="1"/>
  <c r="BY10" i="1" s="1"/>
  <c r="BZ35" i="1" a="1"/>
  <c r="BZ35" i="1" s="1"/>
  <c r="BX25" i="1" a="1"/>
  <c r="BX25" i="1" s="1"/>
  <c r="BY14" i="1" a="1"/>
  <c r="BY14" i="1" s="1"/>
  <c r="CA15" i="1" l="1"/>
  <c r="CB15" i="1" s="1"/>
  <c r="CD15" i="1" s="1"/>
  <c r="CA56" i="1"/>
  <c r="CB56" i="1" s="1"/>
  <c r="CD56" i="1" s="1"/>
  <c r="CA59" i="1"/>
  <c r="CB59" i="1" s="1"/>
  <c r="CD59" i="1" s="1"/>
  <c r="CA52" i="1"/>
  <c r="CB52" i="1" s="1"/>
  <c r="CD52" i="1" s="1"/>
  <c r="CA24" i="1"/>
  <c r="CB24" i="1" s="1"/>
  <c r="CD24" i="1" s="1"/>
  <c r="CA22" i="1"/>
  <c r="CB22" i="1" s="1"/>
  <c r="CD22" i="1" s="1"/>
  <c r="CA37" i="1"/>
  <c r="CB37" i="1" s="1"/>
  <c r="CD37" i="1" s="1"/>
  <c r="CA10" i="1"/>
  <c r="CB10" i="1" s="1"/>
  <c r="CD10" i="1" s="1"/>
  <c r="CA34" i="1"/>
  <c r="CC34" i="1" s="1"/>
  <c r="CA20" i="1"/>
  <c r="CB20" i="1" s="1"/>
  <c r="CD20" i="1" s="1"/>
  <c r="CA60" i="1"/>
  <c r="CB60" i="1" s="1"/>
  <c r="CD60" i="1" s="1"/>
  <c r="CA42" i="1"/>
  <c r="CB42" i="1" s="1"/>
  <c r="CD42" i="1" s="1"/>
  <c r="CA35" i="1"/>
  <c r="CB35" i="1" s="1"/>
  <c r="CD35" i="1" s="1"/>
  <c r="CA39" i="1"/>
  <c r="CC39" i="1" s="1"/>
  <c r="CA8" i="1"/>
  <c r="CC8" i="1" s="1"/>
  <c r="CA9" i="1"/>
  <c r="CC9" i="1" s="1"/>
  <c r="CA5" i="1"/>
  <c r="CB5" i="1" s="1"/>
  <c r="CD5" i="1" s="1"/>
  <c r="CA23" i="1"/>
  <c r="CC23" i="1" s="1"/>
  <c r="CA17" i="1"/>
  <c r="CB17" i="1" s="1"/>
  <c r="CD17" i="1" s="1"/>
  <c r="CA29" i="1"/>
  <c r="CC29" i="1" s="1"/>
  <c r="CA57" i="1"/>
  <c r="CC57" i="1" s="1"/>
  <c r="CA26" i="1"/>
  <c r="CB26" i="1" s="1"/>
  <c r="CD26" i="1" s="1"/>
  <c r="CA19" i="1"/>
  <c r="CB19" i="1" s="1"/>
  <c r="CD19" i="1" s="1"/>
  <c r="CA32" i="1"/>
  <c r="CB32" i="1" s="1"/>
  <c r="CD32" i="1" s="1"/>
  <c r="CA14" i="1"/>
  <c r="CC14" i="1" s="1"/>
  <c r="CA30" i="1"/>
  <c r="CB30" i="1" s="1"/>
  <c r="CD30" i="1" s="1"/>
  <c r="CA41" i="1"/>
  <c r="CC41" i="1" s="1"/>
  <c r="CA16" i="1"/>
  <c r="CC16" i="1" s="1"/>
  <c r="CA18" i="1"/>
  <c r="CC18" i="1" s="1"/>
  <c r="CA38" i="1"/>
  <c r="CC38" i="1" s="1"/>
  <c r="CA43" i="1"/>
  <c r="CB43" i="1" s="1"/>
  <c r="CD43" i="1" s="1"/>
  <c r="CA13" i="1"/>
  <c r="CB13" i="1" s="1"/>
  <c r="CD13" i="1" s="1"/>
  <c r="CA21" i="1"/>
  <c r="CB21" i="1" s="1"/>
  <c r="CD21" i="1" s="1"/>
  <c r="CA47" i="1"/>
  <c r="CB47" i="1" s="1"/>
  <c r="CD47" i="1" s="1"/>
  <c r="CA28" i="1"/>
  <c r="CC28" i="1" s="1"/>
  <c r="CA11" i="1"/>
  <c r="CB11" i="1" s="1"/>
  <c r="CD11" i="1" s="1"/>
  <c r="CA48" i="1"/>
  <c r="CC48" i="1" s="1"/>
  <c r="CA51" i="1"/>
  <c r="CB51" i="1" s="1"/>
  <c r="CD51" i="1" s="1"/>
  <c r="CA64" i="1"/>
  <c r="CB64" i="1" s="1"/>
  <c r="CD64" i="1" s="1"/>
  <c r="CA33" i="1"/>
  <c r="CB33" i="1" s="1"/>
  <c r="CD33" i="1" s="1"/>
  <c r="CA40" i="1"/>
  <c r="CC40" i="1" s="1"/>
  <c r="CA50" i="1"/>
  <c r="CC50" i="1" s="1"/>
  <c r="CA7" i="1"/>
  <c r="CB7" i="1" s="1"/>
  <c r="CD7" i="1" s="1"/>
  <c r="CA61" i="1"/>
  <c r="CC61" i="1" s="1"/>
  <c r="CA25" i="1"/>
  <c r="CC25" i="1" s="1"/>
  <c r="CA49" i="1"/>
  <c r="CB49" i="1" s="1"/>
  <c r="CD49" i="1" s="1"/>
  <c r="CA27" i="1"/>
  <c r="CC27" i="1" s="1"/>
  <c r="CA58" i="1"/>
  <c r="CB58" i="1" s="1"/>
  <c r="CD58" i="1" s="1"/>
  <c r="CA53" i="1"/>
  <c r="CB53" i="1" s="1"/>
  <c r="CD53" i="1" s="1"/>
  <c r="CA45" i="1"/>
  <c r="CB45" i="1" s="1"/>
  <c r="CD45" i="1" s="1"/>
  <c r="CA44" i="1"/>
  <c r="CC44" i="1" s="1"/>
  <c r="CA31" i="1"/>
  <c r="CC31" i="1" s="1"/>
  <c r="CA55" i="1"/>
  <c r="CC55" i="1" s="1"/>
  <c r="CA36" i="1"/>
  <c r="CB36" i="1" s="1"/>
  <c r="CD36" i="1" s="1"/>
  <c r="CA6" i="1"/>
  <c r="CC6" i="1" s="1"/>
  <c r="CA12" i="1"/>
  <c r="CB12" i="1" s="1"/>
  <c r="CD12" i="1" s="1"/>
  <c r="CA54" i="1"/>
  <c r="CB54" i="1" s="1"/>
  <c r="CD54" i="1" s="1"/>
  <c r="CA46" i="1"/>
  <c r="CC46" i="1" s="1"/>
  <c r="CA63" i="1"/>
  <c r="CC63" i="1" s="1"/>
  <c r="CA62" i="1"/>
  <c r="CB62" i="1" s="1"/>
  <c r="CD62" i="1" s="1"/>
  <c r="CC17" i="1" l="1"/>
  <c r="CE17" i="1" s="1"/>
  <c r="CB28" i="1"/>
  <c r="CD28" i="1" s="1"/>
  <c r="CC22" i="1"/>
  <c r="CF22" i="1" s="1"/>
  <c r="CC24" i="1"/>
  <c r="CE24" i="1" s="1"/>
  <c r="CB50" i="1"/>
  <c r="CD50" i="1" s="1"/>
  <c r="CC13" i="1"/>
  <c r="CE13" i="1" s="1"/>
  <c r="CB16" i="1"/>
  <c r="CD16" i="1" s="1"/>
  <c r="CC20" i="1"/>
  <c r="CE20" i="1" s="1"/>
  <c r="CC47" i="1"/>
  <c r="CF47" i="1" s="1"/>
  <c r="CC33" i="1"/>
  <c r="CE33" i="1" s="1"/>
  <c r="CC15" i="1"/>
  <c r="CE15" i="1" s="1"/>
  <c r="CB46" i="1"/>
  <c r="CD46" i="1" s="1"/>
  <c r="CB31" i="1"/>
  <c r="CD31" i="1" s="1"/>
  <c r="CB8" i="1"/>
  <c r="CD8" i="1" s="1"/>
  <c r="CC37" i="1"/>
  <c r="CF37" i="1" s="1"/>
  <c r="CB63" i="1"/>
  <c r="CD63" i="1" s="1"/>
  <c r="CB41" i="1"/>
  <c r="CD41" i="1" s="1"/>
  <c r="CC56" i="1"/>
  <c r="CE56" i="1" s="1"/>
  <c r="CC51" i="1"/>
  <c r="CE51" i="1" s="1"/>
  <c r="CC54" i="1"/>
  <c r="CF54" i="1" s="1"/>
  <c r="CC32" i="1"/>
  <c r="CE32" i="1" s="1"/>
  <c r="CC64" i="1"/>
  <c r="CE64" i="1" s="1"/>
  <c r="CB39" i="1"/>
  <c r="CD39" i="1" s="1"/>
  <c r="CB18" i="1"/>
  <c r="CD18" i="1" s="1"/>
  <c r="CB23" i="1"/>
  <c r="CD23" i="1" s="1"/>
  <c r="CB27" i="1"/>
  <c r="CD27" i="1" s="1"/>
  <c r="CE44" i="1"/>
  <c r="CE50" i="1"/>
  <c r="CE63" i="1"/>
  <c r="CE41" i="1"/>
  <c r="CE31" i="1"/>
  <c r="CE55" i="1"/>
  <c r="CE34" i="1"/>
  <c r="CE6" i="1"/>
  <c r="CC7" i="1"/>
  <c r="CE57" i="1"/>
  <c r="CE23" i="1"/>
  <c r="CE8" i="1"/>
  <c r="CC42" i="1"/>
  <c r="CC10" i="1"/>
  <c r="CC59" i="1"/>
  <c r="CE29" i="1"/>
  <c r="CE18" i="1"/>
  <c r="CE46" i="1"/>
  <c r="CC58" i="1"/>
  <c r="CB25" i="1"/>
  <c r="CD25" i="1" s="1"/>
  <c r="CB48" i="1"/>
  <c r="CD48" i="1" s="1"/>
  <c r="CE38" i="1"/>
  <c r="CE16" i="1"/>
  <c r="CB29" i="1"/>
  <c r="CD29" i="1" s="1"/>
  <c r="CC5" i="1"/>
  <c r="CF5" i="1" s="1"/>
  <c r="CE39" i="1"/>
  <c r="CC60" i="1"/>
  <c r="CE25" i="1"/>
  <c r="CE40" i="1"/>
  <c r="CE48" i="1"/>
  <c r="CC43" i="1"/>
  <c r="CB44" i="1"/>
  <c r="CD44" i="1" s="1"/>
  <c r="CE27" i="1"/>
  <c r="CC30" i="1"/>
  <c r="CE14" i="1"/>
  <c r="CC35" i="1"/>
  <c r="CE28" i="1"/>
  <c r="CE61" i="1"/>
  <c r="CC62" i="1"/>
  <c r="CE9" i="1"/>
  <c r="CC53" i="1"/>
  <c r="CC21" i="1"/>
  <c r="CC45" i="1"/>
  <c r="CC36" i="1"/>
  <c r="CB6" i="1"/>
  <c r="CD6" i="1" s="1"/>
  <c r="CB55" i="1"/>
  <c r="CD55" i="1" s="1"/>
  <c r="CB61" i="1"/>
  <c r="CD61" i="1" s="1"/>
  <c r="CB40" i="1"/>
  <c r="CD40" i="1" s="1"/>
  <c r="CB38" i="1"/>
  <c r="CD38" i="1" s="1"/>
  <c r="CB14" i="1"/>
  <c r="CD14" i="1" s="1"/>
  <c r="CB57" i="1"/>
  <c r="CD57" i="1" s="1"/>
  <c r="CB9" i="1"/>
  <c r="CD9" i="1" s="1"/>
  <c r="CB34" i="1"/>
  <c r="CD34" i="1" s="1"/>
  <c r="CC12" i="1"/>
  <c r="CC52" i="1"/>
  <c r="CC11" i="1"/>
  <c r="CC26" i="1"/>
  <c r="CC19" i="1"/>
  <c r="CC49" i="1"/>
  <c r="CF33" i="1" l="1"/>
  <c r="CS33" i="1" s="1"/>
  <c r="CF32" i="1"/>
  <c r="CS32" i="1" s="1"/>
  <c r="CF17" i="1"/>
  <c r="CS17" i="1" s="1"/>
  <c r="CF56" i="1"/>
  <c r="CS56" i="1" s="1"/>
  <c r="CF28" i="1"/>
  <c r="CS28" i="1" s="1"/>
  <c r="CE5" i="1"/>
  <c r="CS5" i="1" s="1"/>
  <c r="CF24" i="1"/>
  <c r="CS24" i="1" s="1"/>
  <c r="CE22" i="1"/>
  <c r="CS22" i="1" s="1"/>
  <c r="CF20" i="1"/>
  <c r="CS20" i="1" s="1"/>
  <c r="CF15" i="1"/>
  <c r="CS15" i="1" s="1"/>
  <c r="CF31" i="1"/>
  <c r="CS31" i="1" s="1"/>
  <c r="CF64" i="1"/>
  <c r="CS64" i="1" s="1"/>
  <c r="CF8" i="1"/>
  <c r="CS8" i="1" s="1"/>
  <c r="CF13" i="1"/>
  <c r="CS13" i="1" s="1"/>
  <c r="CE47" i="1"/>
  <c r="CS47" i="1" s="1"/>
  <c r="CE54" i="1"/>
  <c r="CS54" i="1" s="1"/>
  <c r="CF50" i="1"/>
  <c r="CS50" i="1" s="1"/>
  <c r="CF39" i="1"/>
  <c r="CS39" i="1" s="1"/>
  <c r="CF16" i="1"/>
  <c r="CS16" i="1" s="1"/>
  <c r="CF18" i="1"/>
  <c r="CS18" i="1" s="1"/>
  <c r="CE37" i="1"/>
  <c r="CS37" i="1" s="1"/>
  <c r="CF41" i="1"/>
  <c r="CS41" i="1" s="1"/>
  <c r="CF40" i="1"/>
  <c r="CS40" i="1" s="1"/>
  <c r="CF25" i="1"/>
  <c r="CS25" i="1" s="1"/>
  <c r="CF46" i="1"/>
  <c r="CS46" i="1" s="1"/>
  <c r="CF23" i="1"/>
  <c r="CS23" i="1" s="1"/>
  <c r="CF48" i="1"/>
  <c r="CS48" i="1" s="1"/>
  <c r="CF63" i="1"/>
  <c r="CS63" i="1" s="1"/>
  <c r="CF51" i="1"/>
  <c r="CS51" i="1" s="1"/>
  <c r="CF27" i="1"/>
  <c r="CS27" i="1" s="1"/>
  <c r="CE59" i="1"/>
  <c r="CF59" i="1"/>
  <c r="CE42" i="1"/>
  <c r="CF42" i="1"/>
  <c r="CE19" i="1"/>
  <c r="CF19" i="1"/>
  <c r="CF14" i="1"/>
  <c r="CS14" i="1" s="1"/>
  <c r="CE26" i="1"/>
  <c r="CF26" i="1"/>
  <c r="CE45" i="1"/>
  <c r="CF45" i="1"/>
  <c r="CF61" i="1"/>
  <c r="CS61" i="1" s="1"/>
  <c r="CE60" i="1"/>
  <c r="CF60" i="1"/>
  <c r="CF11" i="1"/>
  <c r="CE11" i="1"/>
  <c r="CE21" i="1"/>
  <c r="CF21" i="1"/>
  <c r="CE30" i="1"/>
  <c r="CF30" i="1"/>
  <c r="CE43" i="1"/>
  <c r="CF43" i="1"/>
  <c r="CF38" i="1"/>
  <c r="CS38" i="1" s="1"/>
  <c r="CE52" i="1"/>
  <c r="CF52" i="1"/>
  <c r="CE53" i="1"/>
  <c r="CF53" i="1"/>
  <c r="CF6" i="1"/>
  <c r="CS6" i="1" s="1"/>
  <c r="CE12" i="1"/>
  <c r="CF12" i="1"/>
  <c r="CF9" i="1"/>
  <c r="CS9" i="1" s="1"/>
  <c r="CE10" i="1"/>
  <c r="CF10" i="1"/>
  <c r="CF57" i="1"/>
  <c r="CS57" i="1" s="1"/>
  <c r="CF55" i="1"/>
  <c r="CS55" i="1" s="1"/>
  <c r="CE49" i="1"/>
  <c r="CF49" i="1"/>
  <c r="CE35" i="1"/>
  <c r="CF35" i="1"/>
  <c r="CF29" i="1"/>
  <c r="CS29" i="1" s="1"/>
  <c r="CF44" i="1"/>
  <c r="CS44" i="1" s="1"/>
  <c r="CE36" i="1"/>
  <c r="CF36" i="1"/>
  <c r="CE62" i="1"/>
  <c r="CF62" i="1"/>
  <c r="CE58" i="1"/>
  <c r="CF58" i="1"/>
  <c r="CE7" i="1"/>
  <c r="CF7" i="1"/>
  <c r="CF34" i="1"/>
  <c r="CS34" i="1" s="1"/>
  <c r="CS7" i="1" l="1"/>
  <c r="CS52" i="1"/>
  <c r="CS26" i="1"/>
  <c r="CS58" i="1"/>
  <c r="CS35" i="1"/>
  <c r="CS12" i="1"/>
  <c r="CS43" i="1"/>
  <c r="CS60" i="1"/>
  <c r="CS19" i="1"/>
  <c r="CS62" i="1"/>
  <c r="CS49" i="1"/>
  <c r="CS30" i="1"/>
  <c r="CS42" i="1"/>
  <c r="CS36" i="1"/>
  <c r="CS53" i="1"/>
  <c r="CS45" i="1"/>
  <c r="CS21" i="1"/>
  <c r="CS59" i="1"/>
  <c r="CS10" i="1"/>
  <c r="CS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tc={44F98CE1-8534-4C91-B828-A662FE1E755F}</author>
  </authors>
  <commentList>
    <comment ref="B37" authorId="0" shapeId="0" xr:uid="{44F98CE1-8534-4C91-B828-A662FE1E75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Area changed to half of the original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Letellier-Duchesne</author>
  </authors>
  <commentList>
    <comment ref="A1" authorId="0" shapeId="0" xr:uid="{8CCED69D-638F-134C-8285-13A99E7A45D5}">
      <text>
        <r>
          <rPr>
            <sz val="10"/>
            <color rgb="FF000000"/>
            <rFont val="Tahoma"/>
            <family val="2"/>
          </rPr>
          <t>Add more building types to this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<sst xmlns="http://schemas.openxmlformats.org/spreadsheetml/2006/main" count="815" uniqueCount="288">
  <si>
    <t>Building Name</t>
  </si>
  <si>
    <t>Area</t>
  </si>
  <si>
    <t>Building Type</t>
  </si>
  <si>
    <t>Location</t>
  </si>
  <si>
    <t>Latitude</t>
  </si>
  <si>
    <t>Longitude</t>
  </si>
  <si>
    <t>Training Id</t>
  </si>
  <si>
    <t>Tags</t>
  </si>
  <si>
    <t>Notes</t>
  </si>
  <si>
    <t>Heating System</t>
  </si>
  <si>
    <t>Cooling System</t>
  </si>
  <si>
    <t>Year of Data</t>
  </si>
  <si>
    <t>Energy Use Intensity</t>
  </si>
  <si>
    <t>Electricity</t>
  </si>
  <si>
    <t>Gas</t>
  </si>
  <si>
    <t>District Heating</t>
  </si>
  <si>
    <t>District Cooling</t>
  </si>
  <si>
    <t>Emissions Factors</t>
  </si>
  <si>
    <t>4-5 times the difference</t>
  </si>
  <si>
    <t>COP :</t>
  </si>
  <si>
    <t>This is your unique building identifier.</t>
  </si>
  <si>
    <t>Gross floor area.</t>
  </si>
  <si>
    <t>The primary program type.</t>
  </si>
  <si>
    <t xml:space="preserve">We use this information to locate the building. </t>
  </si>
  <si>
    <t>Optional. The latidude of the location</t>
  </si>
  <si>
    <t>Optional. The longitude of the location</t>
  </si>
  <si>
    <t>Optional. The training id to use in the calibration</t>
  </si>
  <si>
    <t>Enter a maximum of 10 comma-separated "tags" to identify assets later on on the platform - e.g.: "AMER, leased"
"APAC, owned"</t>
  </si>
  <si>
    <t>Anything specific you would like to display about the building</t>
  </si>
  <si>
    <t>Primary source of heating.</t>
  </si>
  <si>
    <t>Primary source of cooling.</t>
  </si>
  <si>
    <t>Energy data reference year.</t>
  </si>
  <si>
    <t>The total amout of electricity consumed each calendar month. Each cell is one month Jan (1) to Dec (12)</t>
  </si>
  <si>
    <t>The total amout of gas consumed each month.</t>
  </si>
  <si>
    <t>The total amout of district steam or hot water consumed each month.</t>
  </si>
  <si>
    <t>The total amout of district chilled water consumed each month.</t>
  </si>
  <si>
    <t>Optional - we'll use a default value based on location if you leave these blank.</t>
  </si>
  <si>
    <t>FT2</t>
  </si>
  <si>
    <t>kBtu</t>
  </si>
  <si>
    <t>ft2</t>
  </si>
  <si>
    <t>kWh</t>
  </si>
  <si>
    <t>Therms</t>
  </si>
  <si>
    <t>Ton Hours</t>
  </si>
  <si>
    <t>lbs CO2e / MWh</t>
  </si>
  <si>
    <t>kg CO2e / MBtu</t>
  </si>
  <si>
    <t>Greater than x1.5 IQR</t>
  </si>
  <si>
    <t>Less than x1.5 IQR</t>
  </si>
  <si>
    <t>Outside IQR by less than 1.5 +/-</t>
  </si>
  <si>
    <t>Higher heating in summer than winter (gas or district)</t>
  </si>
  <si>
    <t>Higher electric winter than summer (gas heat)</t>
  </si>
  <si>
    <t>Very different month EUI within a Building</t>
  </si>
  <si>
    <t>Zero Total EUI in a Month</t>
  </si>
  <si>
    <t>Zero Electric EUI in a Month</t>
  </si>
  <si>
    <t>Zero Gas EUI in a Month</t>
  </si>
  <si>
    <t>Zero CHW EUI in a Month</t>
  </si>
  <si>
    <t>Zero Total EUI for the Year</t>
  </si>
  <si>
    <t>For fossil fuel heated, abnormally high 80% of Annual EUI</t>
  </si>
  <si>
    <t>For fossil fuel heated, abnormally low 20 % of Annual EUI</t>
  </si>
  <si>
    <t>For campus chw using, abnormally high 60% of Annual EUI</t>
  </si>
  <si>
    <t>For campus chw using, abnormally low 10% of Annual EUI</t>
  </si>
  <si>
    <t>metadata.building_name</t>
  </si>
  <si>
    <t>metadata.gross_floor_area</t>
  </si>
  <si>
    <t>metadata.program</t>
  </si>
  <si>
    <t>metadata.address.address</t>
  </si>
  <si>
    <t>metadata.address.city</t>
  </si>
  <si>
    <t>metadata.address.state</t>
  </si>
  <si>
    <t>metadata.address.zip</t>
  </si>
  <si>
    <t>metadata.address.country</t>
  </si>
  <si>
    <t>metadata.latitude</t>
  </si>
  <si>
    <t>metadata.longitude</t>
  </si>
  <si>
    <t>training_id</t>
  </si>
  <si>
    <t>metadata.tags</t>
  </si>
  <si>
    <t>metadata.comments</t>
  </si>
  <si>
    <t>metadata.primary_heating_system</t>
  </si>
  <si>
    <t>metadata.primary_cooling_system</t>
  </si>
  <si>
    <t>measurement.year</t>
  </si>
  <si>
    <t>measurement.eui.total</t>
  </si>
  <si>
    <t>measurement.eui.E</t>
  </si>
  <si>
    <t>measurement.eui.G</t>
  </si>
  <si>
    <t>eui.measurement.S</t>
  </si>
  <si>
    <t>measurement.eui.C</t>
  </si>
  <si>
    <t>measurement.E.1</t>
  </si>
  <si>
    <t>measurement.E.2</t>
  </si>
  <si>
    <t>measurement.E.3</t>
  </si>
  <si>
    <t>measurement.E.4</t>
  </si>
  <si>
    <t>measurement.E.5</t>
  </si>
  <si>
    <t>measurement.E.6</t>
  </si>
  <si>
    <t>measurement.E.7</t>
  </si>
  <si>
    <t>measurement.E.8</t>
  </si>
  <si>
    <t>measurement.E.9</t>
  </si>
  <si>
    <t>measurement.E.10</t>
  </si>
  <si>
    <t>measurement.E.11</t>
  </si>
  <si>
    <t>measurement.E.12</t>
  </si>
  <si>
    <t>measurement.G.1</t>
  </si>
  <si>
    <t>measurement.G.2</t>
  </si>
  <si>
    <t>measurement.G.3</t>
  </si>
  <si>
    <t>measurement.G.4</t>
  </si>
  <si>
    <t>measurement.G.5</t>
  </si>
  <si>
    <t>measurement.G.6</t>
  </si>
  <si>
    <t>measurement.G.7</t>
  </si>
  <si>
    <t>measurement.G.8</t>
  </si>
  <si>
    <t>measurement.G.9</t>
  </si>
  <si>
    <t>measurement.G.10</t>
  </si>
  <si>
    <t>measurement.G.11</t>
  </si>
  <si>
    <t>measurement.G.12</t>
  </si>
  <si>
    <t>measurement.S.1</t>
  </si>
  <si>
    <t>measurement.S.2</t>
  </si>
  <si>
    <t>measurement.S.3</t>
  </si>
  <si>
    <t>measurement.S.4</t>
  </si>
  <si>
    <t>measurement.S.5</t>
  </si>
  <si>
    <t>measurement.S.6</t>
  </si>
  <si>
    <t>measurement.S.7</t>
  </si>
  <si>
    <t>measurement.S.8</t>
  </si>
  <si>
    <t>measurement.S.9</t>
  </si>
  <si>
    <t>measurement.S.10</t>
  </si>
  <si>
    <t>measurement.S.11</t>
  </si>
  <si>
    <t>measurement.S.12</t>
  </si>
  <si>
    <t>measurement.C.1</t>
  </si>
  <si>
    <t>measurement.C.2</t>
  </si>
  <si>
    <t>measurement.C.3</t>
  </si>
  <si>
    <t>measurement.C.4</t>
  </si>
  <si>
    <t>measurement.C.5</t>
  </si>
  <si>
    <t>measurement.C.6</t>
  </si>
  <si>
    <t>measurement.C.7</t>
  </si>
  <si>
    <t>measurement.C.8</t>
  </si>
  <si>
    <t>measurement.C.9</t>
  </si>
  <si>
    <t>measurement.C.10</t>
  </si>
  <si>
    <t>measurement.C.11</t>
  </si>
  <si>
    <t>measurement.C.12</t>
  </si>
  <si>
    <t>emission_factors.E</t>
  </si>
  <si>
    <t>emission_factors.G</t>
  </si>
  <si>
    <t>emission_factors.S</t>
  </si>
  <si>
    <t>emission_factors.C</t>
  </si>
  <si>
    <t>Q3</t>
  </si>
  <si>
    <t>Q2</t>
  </si>
  <si>
    <t>Q1</t>
  </si>
  <si>
    <t>IQR</t>
  </si>
  <si>
    <t>Right</t>
  </si>
  <si>
    <t>Left</t>
  </si>
  <si>
    <t>Scrub.1</t>
  </si>
  <si>
    <t>Scrub.2</t>
  </si>
  <si>
    <t>Scrub.3</t>
  </si>
  <si>
    <t>Scrub.4</t>
  </si>
  <si>
    <t>Scrub.5</t>
  </si>
  <si>
    <t>Scrub.6</t>
  </si>
  <si>
    <t>Scrub.7</t>
  </si>
  <si>
    <t>Scrub.7e</t>
  </si>
  <si>
    <t>Scrub.7g</t>
  </si>
  <si>
    <t>Scrub.7c</t>
  </si>
  <si>
    <t>Scrub.8</t>
  </si>
  <si>
    <t>Scrub.9</t>
  </si>
  <si>
    <t>Scrub.10</t>
  </si>
  <si>
    <t>Scrub.11</t>
  </si>
  <si>
    <t>Scrub.12</t>
  </si>
  <si>
    <t>Total Scrubs</t>
  </si>
  <si>
    <t>Flagged by Sam (GOF &gt; 0.5)</t>
  </si>
  <si>
    <t>Summer Heating</t>
  </si>
  <si>
    <t>Winter Heating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</si>
  <si>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</si>
  <si>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</si>
  <si>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</si>
  <si>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</si>
  <si>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</si>
  <si>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</si>
  <si>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</si>
  <si>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</si>
  <si>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</si>
  <si>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</si>
  <si>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</si>
  <si>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</si>
  <si>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Administration</t>
  </si>
  <si>
    <t>Office</t>
  </si>
  <si>
    <t>Main campus</t>
  </si>
  <si>
    <t>San Jose</t>
  </si>
  <si>
    <t>California</t>
  </si>
  <si>
    <t>USA</t>
  </si>
  <si>
    <t>ca8dad5d-55ff-482e-8593-aa90dbbb2c17</t>
  </si>
  <si>
    <t>Yes</t>
  </si>
  <si>
    <t>Art</t>
  </si>
  <si>
    <t xml:space="preserve">Lab </t>
  </si>
  <si>
    <t>Art Foundry</t>
  </si>
  <si>
    <t>Storage</t>
  </si>
  <si>
    <t>Natural Gas</t>
  </si>
  <si>
    <t>Associated Students House</t>
  </si>
  <si>
    <t>This probably needs to be electric heat</t>
  </si>
  <si>
    <t>Automated Bank Teller Facility</t>
  </si>
  <si>
    <t>Boccardo Business Classroom Building +Business Tower</t>
  </si>
  <si>
    <t>Academic</t>
  </si>
  <si>
    <t>Summed areas -BBC,BT, there is a food tenant in the electric meter  but electric  usage is very little so it has not been separated</t>
  </si>
  <si>
    <t>Campus Village 1</t>
  </si>
  <si>
    <t>Residential</t>
  </si>
  <si>
    <t>28aeef9d-1aa5-401b-ad6e-33670a777204</t>
  </si>
  <si>
    <t>Summed areas -CV A,B,C,Garage</t>
  </si>
  <si>
    <t>Campus Village Phase 2</t>
  </si>
  <si>
    <t>Central Classroom Building</t>
  </si>
  <si>
    <t>Gas for cooking only</t>
  </si>
  <si>
    <t>Child Development Center</t>
  </si>
  <si>
    <t xml:space="preserve">Main campus </t>
  </si>
  <si>
    <t>Clark Hall</t>
  </si>
  <si>
    <t>Corporation Yard Offices+Yard Trades</t>
  </si>
  <si>
    <t>Summed areas -Corp Yard -Office and Trades</t>
  </si>
  <si>
    <t>Dining Commons</t>
  </si>
  <si>
    <t>Food Service</t>
  </si>
  <si>
    <t>Dr. Martin Luther King, Jr. Library</t>
  </si>
  <si>
    <t>Library</t>
  </si>
  <si>
    <t>Dudley Moorehead Hall + IRC</t>
  </si>
  <si>
    <t>Summed areas - DMH and IRC</t>
  </si>
  <si>
    <t>Duncan Hall</t>
  </si>
  <si>
    <t>Dwight Bentel Hall</t>
  </si>
  <si>
    <t>Engineering</t>
  </si>
  <si>
    <t>Field House</t>
  </si>
  <si>
    <t>Athletics</t>
  </si>
  <si>
    <t>South campus</t>
  </si>
  <si>
    <t>Solar has been added to electriity</t>
  </si>
  <si>
    <t>Hammer Theater</t>
  </si>
  <si>
    <t>Theater</t>
  </si>
  <si>
    <t>Off Campus 3rd Street</t>
  </si>
  <si>
    <t>Health Building</t>
  </si>
  <si>
    <t>Hugh Gillis Hall</t>
  </si>
  <si>
    <t xml:space="preserve">Steam has bad data, consdered as missing and is  calculated for </t>
  </si>
  <si>
    <t>Industrial Studies</t>
  </si>
  <si>
    <t>Interdisciplinary Science Building</t>
  </si>
  <si>
    <t>Missing first few months of heating and cooling</t>
  </si>
  <si>
    <t>International House</t>
  </si>
  <si>
    <t>Off Campus 11th St</t>
  </si>
  <si>
    <t>Joe West Hall</t>
  </si>
  <si>
    <t>Koret Center</t>
  </si>
  <si>
    <t>MacQuarrie Hall</t>
  </si>
  <si>
    <t xml:space="preserve">The MQH: Elec Spartan Shops (M) is a submeter in MacQuarrie Hall for the food service tenant. It has been subtracted and area is subtracted too </t>
  </si>
  <si>
    <t>Modular F,A,B</t>
  </si>
  <si>
    <t>Summed areas - Main campusMod  A/B and F</t>
  </si>
  <si>
    <t>Unknown</t>
  </si>
  <si>
    <t>Moss Landing Marine Lab Main Laboratory +aquaculture facility +marine operations</t>
  </si>
  <si>
    <t>Moss Landing</t>
  </si>
  <si>
    <t>Summed areas - Main Lab, aquaculture facility and marine operations</t>
  </si>
  <si>
    <t>Music</t>
  </si>
  <si>
    <t>Provident Credit Union Event Center</t>
  </si>
  <si>
    <t>Cellular service electric use subtracted from electric meter</t>
  </si>
  <si>
    <t>Reid Hillview Airport</t>
  </si>
  <si>
    <t>SPX Central &amp; east</t>
  </si>
  <si>
    <t xml:space="preserve">Summed area : SPX central and east </t>
  </si>
  <si>
    <t>Science</t>
  </si>
  <si>
    <t>Simpkins Athletics Building</t>
  </si>
  <si>
    <t>Simpkins Stadium Center</t>
  </si>
  <si>
    <t>Spartan Recreation and Aquatic Center</t>
  </si>
  <si>
    <t>Storage Building</t>
  </si>
  <si>
    <t>Student Services Center</t>
  </si>
  <si>
    <t>Student Union</t>
  </si>
  <si>
    <t>this building has many student dining services
may also have two forms of heat (gas and steam)</t>
  </si>
  <si>
    <t>Student Wellness Center</t>
  </si>
  <si>
    <t>Sweeney Hall</t>
  </si>
  <si>
    <t>Washburn Hall (Student Residence)</t>
  </si>
  <si>
    <t>Washington Square Hall</t>
  </si>
  <si>
    <t>Yoshihiro Uchida Hall</t>
  </si>
  <si>
    <t>2018 CHW data considered cause 2023 data quality is poor</t>
  </si>
  <si>
    <t>4th Street Building</t>
  </si>
  <si>
    <t>Off Campus 4th Street</t>
  </si>
  <si>
    <t>Concession Buildings</t>
  </si>
  <si>
    <t>Faculty Office Building</t>
  </si>
  <si>
    <t>Modular Building C</t>
  </si>
  <si>
    <t>Morris Dailey Auditorium</t>
  </si>
  <si>
    <t>President's House</t>
  </si>
  <si>
    <t>Softball &amp; Tennis Facility</t>
  </si>
  <si>
    <t>Spartan Athletic Center</t>
  </si>
  <si>
    <t>Spartan Memorial</t>
  </si>
  <si>
    <t>[]</t>
  </si>
  <si>
    <t>Tower Hall</t>
  </si>
  <si>
    <t>Training/Locker Facility</t>
  </si>
  <si>
    <t>UPD Building</t>
  </si>
  <si>
    <t>Conversion to KBtu</t>
  </si>
  <si>
    <t>https://portfoliomanager.energystar.gov/pdf/reference/Thermal%20Conversions.pdf</t>
  </si>
  <si>
    <t>From</t>
  </si>
  <si>
    <t>To</t>
  </si>
  <si>
    <t>Multiplier</t>
  </si>
  <si>
    <t>m2</t>
  </si>
  <si>
    <t>MBtu</t>
  </si>
  <si>
    <t>MWh</t>
  </si>
  <si>
    <t>GJ</t>
  </si>
  <si>
    <t>Ccf</t>
  </si>
  <si>
    <t>Mcf</t>
  </si>
  <si>
    <t>Cubic Meters</t>
  </si>
  <si>
    <t>Lbs (steam)</t>
  </si>
  <si>
    <t>KLbs (steam)</t>
  </si>
  <si>
    <t>MLbs (steam)</t>
  </si>
  <si>
    <t>Commercial</t>
  </si>
  <si>
    <t>Modular Building A</t>
  </si>
  <si>
    <t>Modular Building B</t>
  </si>
  <si>
    <t>Computer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</si>
</sst>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  <numFmt numFmtId="168" formatCode="0.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0" tint="-0.499984740745262"/>
      <name val="Arial"/>
      <family val="2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0046DA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3" borderId="1" applyNumberFormat="0" applyFont="0" applyFill="0" applyAlignment="0" applyProtection="0"/>
  </cellStyleXfs>
  <cellXfs count="75">
    <xf numFmtId="0" fontId="0" fillId="0" borderId="0" xfId="0"/>
    <xf numFmtId="168" fontId="0" fillId="0" borderId="0" xfId="0" applyNumberFormat="1"/>
    <xf numFmtId="0" fontId="11" fillId="0" borderId="0" xfId="0" applyFont="1" applyAlignment="1" applyProtection="1">
      <alignment horizontal="left"/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2" fontId="11" fillId="0" borderId="0" xfId="0" applyNumberFormat="1" applyFont="1" applyProtection="1">
      <protection locked="0"/>
    </xf>
    <xf numFmtId="3" fontId="11" fillId="0" borderId="1" xfId="0" applyNumberFormat="1" applyFont="1" applyBorder="1" applyProtection="1">
      <protection locked="0"/>
    </xf>
    <xf numFmtId="166" fontId="11" fillId="0" borderId="1" xfId="0" applyNumberFormat="1" applyFont="1" applyBorder="1" applyProtection="1">
      <protection locked="0"/>
    </xf>
    <xf numFmtId="166" fontId="11" fillId="0" borderId="0" xfId="0" applyNumberFormat="1" applyFont="1" applyProtection="1">
      <protection locked="0"/>
    </xf>
    <xf numFmtId="3" fontId="11" fillId="0" borderId="0" xfId="0" applyNumberFormat="1" applyFont="1" applyProtection="1">
      <protection locked="0"/>
    </xf>
    <xf numFmtId="2" fontId="11" fillId="0" borderId="2" xfId="0" applyNumberFormat="1" applyFont="1" applyBorder="1" applyProtection="1">
      <protection locked="0"/>
    </xf>
    <xf numFmtId="164" fontId="5" fillId="0" borderId="1" xfId="1" applyNumberFormat="1" applyFont="1" applyBorder="1" applyAlignment="1" applyProtection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49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/>
    <xf numFmtId="0" fontId="7" fillId="0" borderId="1" xfId="0" applyFont="1" applyBorder="1"/>
    <xf numFmtId="0" fontId="11" fillId="0" borderId="0" xfId="0" applyFont="1"/>
    <xf numFmtId="167" fontId="12" fillId="0" borderId="0" xfId="0" applyNumberFormat="1" applyFont="1"/>
    <xf numFmtId="0" fontId="0" fillId="0" borderId="1" xfId="0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1" xfId="0" applyNumberFormat="1" applyFont="1" applyBorder="1"/>
    <xf numFmtId="0" fontId="6" fillId="4" borderId="1" xfId="0" applyFont="1" applyFill="1" applyBorder="1" applyAlignment="1" applyProtection="1">
      <alignment vertical="center"/>
      <protection locked="0"/>
    </xf>
    <xf numFmtId="0" fontId="10" fillId="5" borderId="0" xfId="0" applyFont="1" applyFill="1" applyAlignment="1" applyProtection="1">
      <alignment vertical="center"/>
      <protection locked="0"/>
    </xf>
    <xf numFmtId="0" fontId="6" fillId="4" borderId="0" xfId="0" applyFont="1" applyFill="1" applyAlignment="1" applyProtection="1">
      <alignment vertical="center"/>
      <protection locked="0"/>
    </xf>
    <xf numFmtId="0" fontId="11" fillId="0" borderId="1" xfId="0" applyFont="1" applyBorder="1" applyAlignment="1" applyProtection="1">
      <alignment wrapText="1"/>
      <protection locked="0"/>
    </xf>
    <xf numFmtId="168" fontId="11" fillId="0" borderId="0" xfId="0" applyNumberFormat="1" applyFont="1" applyProtection="1">
      <protection locked="0"/>
    </xf>
    <xf numFmtId="168" fontId="13" fillId="0" borderId="0" xfId="0" applyNumberFormat="1" applyFont="1" applyProtection="1">
      <protection locked="0"/>
    </xf>
    <xf numFmtId="0" fontId="0" fillId="6" borderId="3" xfId="0" applyFill="1" applyBorder="1" applyAlignment="1">
      <alignment horizontal="right"/>
    </xf>
    <xf numFmtId="0" fontId="0" fillId="0" borderId="3" xfId="0" applyBorder="1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1" fillId="7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left" vertical="top" wrapText="1"/>
    </xf>
    <xf numFmtId="0" fontId="10" fillId="5" borderId="4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/>
    <xf numFmtId="167" fontId="12" fillId="0" borderId="4" xfId="0" applyNumberFormat="1" applyFont="1" applyBorder="1"/>
    <xf numFmtId="0" fontId="5" fillId="0" borderId="4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15" fillId="0" borderId="1" xfId="0" applyFont="1" applyBorder="1" applyProtection="1">
      <protection locked="0"/>
    </xf>
    <xf numFmtId="3" fontId="15" fillId="0" borderId="1" xfId="0" applyNumberFormat="1" applyFont="1" applyBorder="1" applyProtection="1">
      <protection locked="0"/>
    </xf>
    <xf numFmtId="3" fontId="15" fillId="0" borderId="0" xfId="0" applyNumberFormat="1" applyFont="1" applyProtection="1">
      <protection locked="0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4" borderId="0" xfId="0" applyFont="1" applyFill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</cellXfs>
  <cellStyles count="3">
    <cellStyle name="Comma" xfId="1" builtinId="3"/>
    <cellStyle name="HeadingCol" xfId="2" xr:uid="{00EBC246-F9E2-6F4D-BC38-D19C676139D1}"/>
    <cellStyle name="Normal" xfId="0" builtinId="0"/>
  </cellStyles>
  <dxfs count="14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numFmt numFmtId="167" formatCode="#,##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  <protection locked="1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protection locked="0" hidden="0"/>
    </dxf>
    <dxf>
      <protection locked="1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1" hidden="0"/>
    </dxf>
    <dxf>
      <border>
        <bottom style="thin">
          <color indexed="64"/>
        </bottom>
      </border>
    </dxf>
    <dxf>
      <protection locked="1" hidden="0"/>
    </dxf>
    <dxf>
      <fill>
        <patternFill>
          <bgColor rgb="FFE6EDFB"/>
        </patternFill>
      </fill>
    </dxf>
  </dxfs>
  <tableStyles count="1" defaultTableStyle="TableStyleMedium2" defaultPivotStyle="PivotStyleLight16">
    <tableStyle name="Carbon Signal Table" pivot="0" count="1" xr9:uid="{35032817-6023-45C2-A30B-8F048F8D73A1}">
      <tableStyleElement type="secondRowStripe" dxfId="140"/>
    </tableStyle>
  </tableStyles>
  <colors>
    <mruColors>
      <color rgb="FFE6EDFB"/>
      <color rgb="FFEFEFED"/>
      <color rgb="FF0046DA"/>
      <color rgb="FFDDEBF7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ylin1.sharepoint.com/teams/Team.2035.0012707.000/Shared%20Documents/General/04%20Analysis/Design%20Analytics/AEDA/Archive/Archive_SJSU_AEDA_Draft1.2.xlsx" TargetMode="External"/><Relationship Id="rId1" Type="http://schemas.openxmlformats.org/officeDocument/2006/relationships/externalLinkPath" Target="https://tylin1.sharepoint.com/teams/Team.2035.0012707.000/Shared%20Documents/General/04%20Analysis/Design%20Analytics/Carbon%20Signal/Inputs/Archive/Archive_SJSU_AEDA_Draft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Conversion"/>
      <sheetName val="Building Types"/>
      <sheetName val="Archive_SJSU_AEDA_Draft1.2"/>
    </sheetNames>
    <sheetDataSet>
      <sheetData sheetId="0"/>
      <sheetData sheetId="1"/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kita Khatwani" id="{082E92A2-7465-4EBF-850F-E711CC56F0E7}" userId="S::nikita.khatwani@introba.com::51c9be9d-6807-4642-82d4-8aeac24b35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03BED-4F04-1942-8D99-A152D7A0A6FA}" name="InputTable" displayName="InputTable" ref="A4:BU1977" totalsRowShown="0" headerRowDxfId="139" dataDxfId="137" totalsRowDxfId="136" headerRowBorderDxfId="138">
  <autoFilter ref="A4:BU1977" xr:uid="{1A903BED-4F04-1942-8D99-A152D7A0A6FA}"/>
  <tableColumns count="73">
    <tableColumn id="1" xr3:uid="{4CED1F0E-077B-9044-AD28-582B35189C3C}" name="metadata.building_name" dataDxfId="135" totalsRowDxfId="134"/>
    <tableColumn id="2" xr3:uid="{16548BC4-4826-1D45-8362-604BF5210456}" name="metadata.gross_floor_area" dataDxfId="133" totalsRowDxfId="132"/>
    <tableColumn id="3" xr3:uid="{D667E1D0-17EA-5D43-A1E2-34F6545DFFB7}" name="metadata.program" dataDxfId="131" totalsRowDxfId="130"/>
    <tableColumn id="4" xr3:uid="{576FEAA6-462B-5049-85D4-7BB7C56640B0}" name="metadata.address.address" dataDxfId="129" totalsRowDxfId="128"/>
    <tableColumn id="5" xr3:uid="{583916E9-B5C8-9F49-9D84-E152AA4EC674}" name="metadata.address.city" dataDxfId="127"/>
    <tableColumn id="6" xr3:uid="{946BA67C-DA21-3D45-B6B6-156BF8737242}" name="metadata.address.state" dataDxfId="126"/>
    <tableColumn id="82" xr3:uid="{D03DBF29-4A9E-8945-9A8B-48E2BB983413}" name="metadata.address.zip" dataDxfId="125"/>
    <tableColumn id="7" xr3:uid="{FB8011D2-69EF-AF4A-8BFC-786D8C4C4FFF}" name="metadata.address.country" dataDxfId="124"/>
    <tableColumn id="78" xr3:uid="{E24F97DD-CAB6-7644-9148-C8EB929E9709}" name="metadata.latitude" dataDxfId="123"/>
    <tableColumn id="79" xr3:uid="{4A1A3F2D-3BD7-6848-BF1B-04B5453EA575}" name="metadata.longitude" dataDxfId="122"/>
    <tableColumn id="60" xr3:uid="{8F25C085-CAC2-704D-85DC-DD4AB470A162}" name="training_id" dataDxfId="121"/>
    <tableColumn id="59" xr3:uid="{2674AC70-06AB-9C4F-900A-B9E969F0DA9A}" name="metadata.tags" dataDxfId="120" totalsRowDxfId="119"/>
    <tableColumn id="80" xr3:uid="{D6BE9D3A-5501-C240-9EC5-DE2F5E407BB5}" name="metadata.comments" dataDxfId="118" totalsRowDxfId="117"/>
    <tableColumn id="9" xr3:uid="{DAA71B3F-BC22-6D4B-80C4-3D225158DD52}" name="metadata.primary_heating_system" dataDxfId="116" totalsRowDxfId="115"/>
    <tableColumn id="10" xr3:uid="{AB7E2239-F02A-B543-8665-0C14C42EE525}" name="metadata.primary_cooling_system" dataDxfId="114"/>
    <tableColumn id="8" xr3:uid="{88B6F5E5-12CD-1A43-8DC9-ED710CEEC73A}" name="measurement.year" dataDxfId="113" totalsRowDxfId="112"/>
    <tableColumn id="83" xr3:uid="{F0F836F3-E5D4-E14A-865C-ACC057554F93}" name="measurement.eui.total" dataDxfId="111" totalsRowDxfId="110">
      <calculatedColumnFormula>IF(COUNTBLANK([1]!InputTable[[#This Row],[measurement.E.1]:[measurement.C.12]])=4*12,"",SUM([1]!InputTable[[#This Row],[measurement.eui.E]:[measurement.eui.C]]))</calculatedColumnFormula>
    </tableColumn>
    <tableColumn id="84" xr3:uid="{33D61100-B88B-8446-91EB-31EA8EDFDDE0}" name="measurement.eui.E" dataDxfId="109" totalsRowDxfId="108">
      <calculatedColumnFormula array="1">IFERROR(SUM([1]!InputTable[[#This Row],[measurement.E.1]:[measurement.E.12]])*INDEX([1]!Conversion[Multiplier], MATCH(1, ([1]!Conversion[From]=$V$3)*([1]!Conversion[To]=$Q$3),0))/([1]!InputTable[[#This Row],[metadata.gross_floor_area]]*INDEX([1]!AreaConversion[Multiplier], MATCH(1, ([1]!AreaConversion[From]=$B$3)*([1]!AreaConversion[To]=$R$3),0))),"")</calculatedColumnFormula>
    </tableColumn>
    <tableColumn id="86" xr3:uid="{8703AD5B-47C1-0D44-AF3C-904AA367D8FF}" name="measurement.eui.G" dataDxfId="107" totalsRowDxfId="106">
      <calculatedColumnFormula array="1">IFERROR(SUM([1]!InputTable[[#This Row],[measurement.G.1]:[measurement.G.12]])*INDEX([1]!Conversion[Multiplier], MATCH(1, ([1]!Conversion[From]=$AH$3)*([1]!Conversion[To]=$Q$3),0))/([1]!InputTable[[#This Row],[metadata.gross_floor_area]]*INDEX([1]!AreaConversion[Multiplier], MATCH(1, ([1]!AreaConversion[From]=$B$3)*([1]!AreaConversion[To]=$R$3),0))),"")</calculatedColumnFormula>
    </tableColumn>
    <tableColumn id="87" xr3:uid="{AECB077F-25FD-A84A-9B79-648292E64A66}" name="eui.measurement.S" dataDxfId="105" totalsRowDxfId="104">
      <calculatedColumnFormula array="1">IFERROR(SUM([1]!InputTable[[#This Row],[measurement.S.1]:[measurement.S.12]])*INDEX([1]!Conversion[Multiplier], MATCH(1, ([1]!Conversion[From]=$AT$3)*([1]!Conversion[To]=$Q$3),0))/([1]!InputTable[[#This Row],[metadata.gross_floor_area]]*INDEX([1]!AreaConversion[Multiplier], MATCH(1, ([1]!AreaConversion[From]=$B$3)*([1]!AreaConversion[To]=$R$3),0))),"")</calculatedColumnFormula>
    </tableColumn>
    <tableColumn id="85" xr3:uid="{5581B048-49B5-C047-8DD6-A9BD5194B0D9}" name="measurement.eui.C" dataDxfId="103" totalsRowDxfId="102">
      <calculatedColumnFormula array="1">IFERROR(SUM([1]!InputTable[[#This Row],[measurement.C.1]:[measurement.C.12]])*INDEX([1]!Conversion[Multiplier], MATCH(1, ([1]!Conversion[From]=$BF$3)*([1]!Conversion[To]=$Q$3),0))/([1]!InputTable[[#This Row],[metadata.gross_floor_area]]*INDEX([1]!AreaConversion[Multiplier], MATCH(1, ([1]!AreaConversion[From]=$B$3)*([1]!AreaConversion[To]=$R$3),0))),"")</calculatedColumnFormula>
    </tableColumn>
    <tableColumn id="11" xr3:uid="{9CCFC2CE-0ADB-A941-8A91-353EF901B9C2}" name="measurement.E.1" dataDxfId="101" totalsRowDxfId="100"/>
    <tableColumn id="12" xr3:uid="{DE56B164-D64A-5D43-AF57-C434E78A8588}" name="measurement.E.2" dataDxfId="99" totalsRowDxfId="98"/>
    <tableColumn id="13" xr3:uid="{BDC8D39D-DF90-AB4F-98FF-88BFD7D362BE}" name="measurement.E.3" dataDxfId="97" totalsRowDxfId="96"/>
    <tableColumn id="14" xr3:uid="{5062784A-F534-814D-AFBB-49434A802729}" name="measurement.E.4" dataDxfId="95" totalsRowDxfId="94"/>
    <tableColumn id="15" xr3:uid="{DFE3505D-CE0F-9B4B-813C-B76955D284AD}" name="measurement.E.5" dataDxfId="93" totalsRowDxfId="92"/>
    <tableColumn id="16" xr3:uid="{812B293B-E139-7149-9109-DD3A0431C518}" name="measurement.E.6" dataDxfId="91" totalsRowDxfId="90"/>
    <tableColumn id="17" xr3:uid="{949F383C-8BFB-E741-9C2D-CC168A28FA07}" name="measurement.E.7" dataDxfId="89" totalsRowDxfId="88"/>
    <tableColumn id="18" xr3:uid="{3D1A77DC-2F75-BE41-BDEF-76AF1E9F49BA}" name="measurement.E.8" dataDxfId="87" totalsRowDxfId="86"/>
    <tableColumn id="19" xr3:uid="{23BA8029-DC87-4F43-BF90-6B74D15A2F29}" name="measurement.E.9" dataDxfId="85" totalsRowDxfId="84"/>
    <tableColumn id="20" xr3:uid="{8F79D7E1-9827-AC4B-A578-73C5CAE6F54B}" name="measurement.E.10" dataDxfId="83" totalsRowDxfId="82"/>
    <tableColumn id="21" xr3:uid="{0533133A-B0B6-2B45-BCDA-F11BB8FF16E2}" name="measurement.E.11" dataDxfId="81" totalsRowDxfId="80"/>
    <tableColumn id="22" xr3:uid="{7004D59E-189E-9B44-A294-9F4B00871A70}" name="measurement.E.12" dataDxfId="79" totalsRowDxfId="78"/>
    <tableColumn id="23" xr3:uid="{F948482E-B0AB-BD42-AD3C-4F69F352533F}" name="measurement.G.1" dataDxfId="77" totalsRowDxfId="76"/>
    <tableColumn id="24" xr3:uid="{B1CEF13D-0A67-7D49-A253-39C37F87CB58}" name="measurement.G.2" dataDxfId="75" totalsRowDxfId="74"/>
    <tableColumn id="25" xr3:uid="{0759D81C-3EB1-7443-BC64-A3F88A4AFCED}" name="measurement.G.3" dataDxfId="73" totalsRowDxfId="72"/>
    <tableColumn id="26" xr3:uid="{51524E6E-0AA5-EA44-814A-75F59018E448}" name="measurement.G.4" dataDxfId="71" totalsRowDxfId="70"/>
    <tableColumn id="27" xr3:uid="{03D8E882-3019-984F-8A7E-03A5DE4E9215}" name="measurement.G.5" dataDxfId="69" totalsRowDxfId="68"/>
    <tableColumn id="28" xr3:uid="{F9C0DAE6-F765-8D49-9050-3373C0CE3208}" name="measurement.G.6" dataDxfId="67" totalsRowDxfId="66"/>
    <tableColumn id="29" xr3:uid="{4BB48DCB-6BA5-EF47-A629-3F7EB486A92A}" name="measurement.G.7" dataDxfId="65" totalsRowDxfId="64"/>
    <tableColumn id="30" xr3:uid="{F0E58311-8468-CC4A-A218-E44BA8C53CC5}" name="measurement.G.8" dataDxfId="63" totalsRowDxfId="62"/>
    <tableColumn id="31" xr3:uid="{3ABB26B4-6FA0-CC41-A8EE-E530119AD20C}" name="measurement.G.9" dataDxfId="61" totalsRowDxfId="60"/>
    <tableColumn id="32" xr3:uid="{373A969B-AE08-4046-8572-79B1A3F2EB8D}" name="measurement.G.10" dataDxfId="59" totalsRowDxfId="58"/>
    <tableColumn id="33" xr3:uid="{3C0FC8F2-CB13-8742-B58B-07903A70CDF4}" name="measurement.G.11" dataDxfId="57" totalsRowDxfId="56"/>
    <tableColumn id="34" xr3:uid="{D69B26B9-F1BB-1C42-9CFE-9305B97AABC6}" name="measurement.G.12" dataDxfId="55" totalsRowDxfId="54"/>
    <tableColumn id="35" xr3:uid="{8489A188-14D7-4543-B6E4-3C06A3DE6328}" name="measurement.S.1" dataDxfId="53" totalsRowDxfId="52"/>
    <tableColumn id="36" xr3:uid="{4AA2A8BA-0CFE-D645-8F59-2DB80EAEA0CE}" name="measurement.S.2" dataDxfId="51" totalsRowDxfId="50"/>
    <tableColumn id="37" xr3:uid="{7C86BE4E-BC9C-1245-938C-782D8F284666}" name="measurement.S.3" dataDxfId="49" totalsRowDxfId="48"/>
    <tableColumn id="38" xr3:uid="{803496FB-8F59-E643-986A-58930FCB9A75}" name="measurement.S.4" dataDxfId="47" totalsRowDxfId="46"/>
    <tableColumn id="39" xr3:uid="{C75D3EEF-4EEF-5E47-9CD1-89E5A22E1FA2}" name="measurement.S.5" dataDxfId="45" totalsRowDxfId="44"/>
    <tableColumn id="40" xr3:uid="{12B349E3-93AA-3142-B3D9-3D041305B180}" name="measurement.S.6" dataDxfId="43" totalsRowDxfId="42"/>
    <tableColumn id="41" xr3:uid="{6FB463CA-1AD8-8448-A708-00CD9F12909C}" name="measurement.S.7" dataDxfId="41" totalsRowDxfId="40"/>
    <tableColumn id="42" xr3:uid="{D3EE7C0B-3AFA-A94E-8BC3-D9CBFE167EB7}" name="measurement.S.8" dataDxfId="39" totalsRowDxfId="38"/>
    <tableColumn id="43" xr3:uid="{FDC7E1D7-6D81-CE48-BFFC-536F870BB4E8}" name="measurement.S.9" dataDxfId="37" totalsRowDxfId="36"/>
    <tableColumn id="44" xr3:uid="{B7C60A36-3EC6-3745-930C-7C040EC11F38}" name="measurement.S.10" dataDxfId="35" totalsRowDxfId="34"/>
    <tableColumn id="45" xr3:uid="{7E5FC7B4-B71B-B14D-BC1B-CC6F04CBF845}" name="measurement.S.11" dataDxfId="33" totalsRowDxfId="32"/>
    <tableColumn id="46" xr3:uid="{E71D2CB0-56ED-2347-9F35-54DF32AC595D}" name="measurement.S.12" dataDxfId="31" totalsRowDxfId="30"/>
    <tableColumn id="47" xr3:uid="{CFDA0D9F-1E7A-B543-BB66-9C48FA113570}" name="measurement.C.1" dataDxfId="29" totalsRowDxfId="28"/>
    <tableColumn id="48" xr3:uid="{5767FBE6-CC90-D042-BF3A-48A3FDE3A108}" name="measurement.C.2" dataDxfId="27" totalsRowDxfId="26"/>
    <tableColumn id="49" xr3:uid="{0C83C32C-EA7B-654E-85B5-A912583C9FE4}" name="measurement.C.3" dataDxfId="25" totalsRowDxfId="24"/>
    <tableColumn id="50" xr3:uid="{417AB532-379B-DD4A-A8F2-1C8CBD4D0A58}" name="measurement.C.4" dataDxfId="23" totalsRowDxfId="22"/>
    <tableColumn id="51" xr3:uid="{77DFC5CA-5C95-114F-B6DF-F88CA9CFA246}" name="measurement.C.5" dataDxfId="21" totalsRowDxfId="20"/>
    <tableColumn id="52" xr3:uid="{B715EC54-2286-3545-83DD-41109DC91CDC}" name="measurement.C.6" dataDxfId="19" totalsRowDxfId="18"/>
    <tableColumn id="53" xr3:uid="{57BBBE99-B8AD-AD4B-B6F1-2574993C7D35}" name="measurement.C.7" dataDxfId="17" totalsRowDxfId="16"/>
    <tableColumn id="54" xr3:uid="{2653C384-A60C-AD4D-959A-ED6DBBC90C07}" name="measurement.C.8" dataDxfId="15" totalsRowDxfId="14"/>
    <tableColumn id="55" xr3:uid="{DD1D18B0-0077-F143-9A9A-719933BF0521}" name="measurement.C.9" dataDxfId="13" totalsRowDxfId="12"/>
    <tableColumn id="56" xr3:uid="{BB981775-2D0E-3549-B5FD-B55DE3B66BCE}" name="measurement.C.10" dataDxfId="11" totalsRowDxfId="10"/>
    <tableColumn id="57" xr3:uid="{16BB31F8-D74B-4B41-B08C-E68F18A33872}" name="measurement.C.11" dataDxfId="9" totalsRowDxfId="8"/>
    <tableColumn id="58" xr3:uid="{A1BCDB35-29F4-834A-8C13-E1C3917A6E1A}" name="measurement.C.12" dataDxfId="7" totalsRowDxfId="6"/>
    <tableColumn id="72" xr3:uid="{F2D8CD48-7C6E-9143-82E1-6B1350D60124}" name="emission_factors.E" dataDxfId="5" totalsRowDxfId="4"/>
    <tableColumn id="73" xr3:uid="{C6DA3EA1-8486-8F4F-9FE8-6A76F98412D5}" name="emission_factors.G" dataDxfId="3"/>
    <tableColumn id="74" xr3:uid="{0BA4B93B-43CC-D44E-8C02-BB817BCAEA59}" name="emission_factors.S" dataDxfId="2"/>
    <tableColumn id="75" xr3:uid="{7F9AF63B-32A9-8D43-B5D6-9172075D1817}" name="emission_factors.C" dataDxfId="1"/>
  </tableColumns>
  <tableStyleInfo name="Carbon Signal Tab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67232-4033-6641-AB00-94F21446FA59}" name="Conversion" displayName="Conversion" ref="A2:C28" totalsRowShown="0">
  <autoFilter ref="A2:C28" xr:uid="{87267232-4033-6641-AB00-94F21446FA59}"/>
  <tableColumns count="3">
    <tableColumn id="1" xr3:uid="{7C80524F-3923-5C46-9D2A-48BD4908963A}" name="From"/>
    <tableColumn id="3" xr3:uid="{A33F8877-9588-0341-A888-883F335FDCBD}" name="To"/>
    <tableColumn id="2" xr3:uid="{62ED53F9-72DC-AA43-804D-5A1A4CA89B01}" name="Multipli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EFF32-5D76-2845-8FF0-8676204EE8AE}" name="AreaConversion" displayName="AreaConversion" ref="E2:G6" totalsRowShown="0">
  <autoFilter ref="E2:G6" xr:uid="{A58EFF32-5D76-2845-8FF0-8676204EE8AE}"/>
  <tableColumns count="3">
    <tableColumn id="1" xr3:uid="{18C4BEFF-D3CE-E948-9D52-B710283B8E91}" name="From"/>
    <tableColumn id="2" xr3:uid="{8ED70167-5B1E-C14F-BFBE-2FB62F2704E9}" name="To"/>
    <tableColumn id="3" xr3:uid="{0F6F0D72-C6FE-9144-9FF7-257398D945A6}" name="Multiplier">
      <calculatedColumnFormula>CONVERT(1,E3,F3)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39DAD-9B46-2B46-A341-EBBAC6C1CEC9}" name="BuildingType" displayName="BuildingType" ref="A1:A2" totalsRowShown="0">
  <autoFilter ref="A1:A2" xr:uid="{22139DAD-9B46-2B46-A341-EBBAC6C1CEC9}"/>
  <tableColumns count="1">
    <tableColumn id="1" xr3:uid="{C3C23944-555F-0F41-B57F-720BAD31B359}" name="Building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4-09-19T16:40:47.46" personId="{082E92A2-7465-4EBF-850F-E711CC56F0E7}" id="{44F98CE1-8534-4C91-B828-A662FE1E755F}">
    <text xml:space="preserve">Area changed to half of the original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CB2-9FBB-EA4C-A1A6-87D6208A804E}">
  <sheetPr codeName="Sheet1"/>
  <dimension ref="A1:DH1981"/>
  <sheetViews>
    <sheetView showGridLines="0" tabSelected="1" zoomScale="63" zoomScaleNormal="63" workbookViewId="0">
      <pane xSplit="1" ySplit="4" topLeftCell="I56" activePane="bottomRight" state="frozen"/>
      <selection pane="topRight" activeCell="B1" sqref="B1"/>
      <selection pane="bottomLeft" activeCell="A5" sqref="A5"/>
      <selection pane="bottomRight" activeCell="T67" sqref="T67"/>
    </sheetView>
  </sheetViews>
  <sheetFormatPr defaultColWidth="9.109375" defaultRowHeight="30" customHeight="1" x14ac:dyDescent="0.3"/>
  <cols>
    <col min="1" max="1" width="41.33203125" style="35" customWidth="1"/>
    <col min="2" max="2" width="25.44140625" style="11" customWidth="1"/>
    <col min="3" max="3" width="23.6640625" style="36" customWidth="1"/>
    <col min="4" max="4" width="28.109375" style="36" customWidth="1"/>
    <col min="5" max="5" width="20.6640625" style="35" customWidth="1"/>
    <col min="6" max="6" width="21.44140625" style="35" customWidth="1"/>
    <col min="7" max="7" width="20.44140625" style="35" customWidth="1"/>
    <col min="8" max="8" width="23" style="35" customWidth="1"/>
    <col min="9" max="9" width="25.33203125" style="37" customWidth="1"/>
    <col min="10" max="10" width="22" style="37" customWidth="1"/>
    <col min="11" max="11" width="29.33203125" style="37" bestFit="1" customWidth="1"/>
    <col min="12" max="12" width="22" style="38" customWidth="1"/>
    <col min="13" max="13" width="33.44140625" style="39" customWidth="1"/>
    <col min="14" max="14" width="28.109375" style="34" customWidth="1"/>
    <col min="15" max="15" width="27" style="35" customWidth="1"/>
    <col min="16" max="16" width="16.44140625" style="40" customWidth="1"/>
    <col min="17" max="17" width="15.6640625" style="60" bestFit="1" customWidth="1"/>
    <col min="18" max="18" width="15.6640625" style="41" bestFit="1" customWidth="1"/>
    <col min="19" max="19" width="14.33203125" style="41" bestFit="1" customWidth="1"/>
    <col min="20" max="21" width="14.44140625" style="41" bestFit="1" customWidth="1"/>
    <col min="22" max="22" width="14.33203125" style="40" customWidth="1"/>
    <col min="23" max="31" width="13.44140625" style="42" customWidth="1"/>
    <col min="32" max="33" width="14.109375" style="42" customWidth="1"/>
    <col min="34" max="34" width="14.109375" style="43" customWidth="1"/>
    <col min="35" max="43" width="13.6640625" style="42" customWidth="1"/>
    <col min="44" max="45" width="14.33203125" style="42" customWidth="1"/>
    <col min="46" max="46" width="14.33203125" style="43" customWidth="1"/>
    <col min="47" max="55" width="13.44140625" style="42" customWidth="1"/>
    <col min="56" max="57" width="14.109375" style="42" customWidth="1"/>
    <col min="58" max="58" width="14.109375" style="43" customWidth="1"/>
    <col min="59" max="67" width="13.44140625" style="42" customWidth="1"/>
    <col min="68" max="69" width="14.109375" style="42" customWidth="1"/>
    <col min="70" max="70" width="17.109375" style="43" customWidth="1"/>
    <col min="71" max="73" width="17.109375" style="37" customWidth="1"/>
    <col min="88" max="88" width="9.44140625" customWidth="1"/>
    <col min="97" max="98" width="17.109375" customWidth="1"/>
  </cols>
  <sheetData>
    <row r="1" spans="1:112" ht="30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2"/>
      <c r="F1" s="12"/>
      <c r="G1" s="12"/>
      <c r="H1" s="12"/>
      <c r="I1" s="12" t="s">
        <v>4</v>
      </c>
      <c r="J1" s="12" t="s">
        <v>5</v>
      </c>
      <c r="K1" s="12" t="s">
        <v>6</v>
      </c>
      <c r="L1" s="14" t="s">
        <v>7</v>
      </c>
      <c r="M1" s="15" t="s">
        <v>8</v>
      </c>
      <c r="N1" s="13" t="s">
        <v>9</v>
      </c>
      <c r="O1" s="16" t="s">
        <v>10</v>
      </c>
      <c r="P1" s="13" t="s">
        <v>11</v>
      </c>
      <c r="Q1" s="65" t="s">
        <v>12</v>
      </c>
      <c r="R1" s="66"/>
      <c r="S1" s="66"/>
      <c r="T1" s="66"/>
      <c r="U1" s="66"/>
      <c r="V1" s="13" t="s">
        <v>13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 t="s">
        <v>14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3" t="s">
        <v>15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 t="s">
        <v>16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65" t="s">
        <v>17</v>
      </c>
      <c r="BS1" s="66"/>
      <c r="BT1" s="66"/>
      <c r="BU1" s="66"/>
      <c r="CH1" t="s">
        <v>18</v>
      </c>
      <c r="CQ1" t="s">
        <v>19</v>
      </c>
      <c r="CR1" t="s">
        <v>19</v>
      </c>
    </row>
    <row r="2" spans="1:112" ht="15" customHeight="1" x14ac:dyDescent="0.3">
      <c r="A2" s="17" t="s">
        <v>20</v>
      </c>
      <c r="B2" s="18" t="s">
        <v>21</v>
      </c>
      <c r="C2" s="18" t="s">
        <v>22</v>
      </c>
      <c r="D2" s="72" t="s">
        <v>23</v>
      </c>
      <c r="E2" s="73"/>
      <c r="F2" s="73"/>
      <c r="G2" s="73"/>
      <c r="H2" s="73"/>
      <c r="I2" s="74" t="s">
        <v>24</v>
      </c>
      <c r="J2" s="74" t="s">
        <v>25</v>
      </c>
      <c r="K2" s="56" t="s">
        <v>26</v>
      </c>
      <c r="L2" s="69" t="s">
        <v>27</v>
      </c>
      <c r="M2" s="70" t="s">
        <v>28</v>
      </c>
      <c r="N2" s="18" t="s">
        <v>29</v>
      </c>
      <c r="O2" s="19" t="s">
        <v>30</v>
      </c>
      <c r="P2" s="70" t="s">
        <v>31</v>
      </c>
      <c r="Q2" s="72" t="str">
        <f>_xlfn.CONCAT(Q3,"/",R3," These fields are computed")</f>
        <v>kBtu/ft2 These fields are computed</v>
      </c>
      <c r="R2" s="73"/>
      <c r="S2" s="73"/>
      <c r="T2" s="73"/>
      <c r="U2" s="73"/>
      <c r="V2" s="20" t="s">
        <v>32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0" t="s">
        <v>33</v>
      </c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0" t="s">
        <v>34</v>
      </c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0" t="s">
        <v>35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67" t="s">
        <v>36</v>
      </c>
      <c r="BS2" s="68"/>
      <c r="BT2" s="68"/>
      <c r="BU2" s="68"/>
      <c r="CD2">
        <v>0.8</v>
      </c>
      <c r="CE2">
        <v>0.8</v>
      </c>
      <c r="CF2">
        <v>0.5</v>
      </c>
      <c r="CG2">
        <v>0.8</v>
      </c>
      <c r="CH2">
        <v>0.25</v>
      </c>
      <c r="CI2">
        <v>0.5</v>
      </c>
      <c r="CJ2">
        <v>1</v>
      </c>
      <c r="CK2">
        <v>0.8</v>
      </c>
      <c r="CL2">
        <v>0.8</v>
      </c>
      <c r="CM2">
        <v>0.8</v>
      </c>
      <c r="CN2">
        <v>1</v>
      </c>
      <c r="CO2">
        <v>0.8</v>
      </c>
      <c r="CP2">
        <v>0.5</v>
      </c>
      <c r="CQ2">
        <v>0.8</v>
      </c>
      <c r="CR2">
        <v>0.8</v>
      </c>
    </row>
    <row r="3" spans="1:112" ht="30" customHeight="1" x14ac:dyDescent="0.3">
      <c r="A3" s="22"/>
      <c r="B3" s="44" t="s">
        <v>37</v>
      </c>
      <c r="C3" s="23"/>
      <c r="D3" s="23"/>
      <c r="E3" s="24"/>
      <c r="F3" s="24"/>
      <c r="G3" s="24"/>
      <c r="H3" s="24"/>
      <c r="I3" s="74"/>
      <c r="J3" s="74"/>
      <c r="K3" s="56"/>
      <c r="L3" s="69"/>
      <c r="M3" s="70"/>
      <c r="N3" s="25"/>
      <c r="O3" s="26"/>
      <c r="P3" s="70"/>
      <c r="Q3" s="57" t="s">
        <v>38</v>
      </c>
      <c r="R3" s="45" t="s">
        <v>39</v>
      </c>
      <c r="S3" s="26"/>
      <c r="T3" s="26"/>
      <c r="U3" s="26"/>
      <c r="V3" s="71" t="s">
        <v>40</v>
      </c>
      <c r="W3" s="71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71" t="s">
        <v>41</v>
      </c>
      <c r="AI3" s="71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71" t="s">
        <v>41</v>
      </c>
      <c r="AU3" s="71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71" t="s">
        <v>42</v>
      </c>
      <c r="BG3" s="71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44" t="s">
        <v>43</v>
      </c>
      <c r="BS3" s="46" t="s">
        <v>44</v>
      </c>
      <c r="BT3" s="46" t="s">
        <v>44</v>
      </c>
      <c r="BU3" s="46" t="s">
        <v>44</v>
      </c>
      <c r="CD3" s="52" t="s">
        <v>45</v>
      </c>
      <c r="CE3" s="52" t="s">
        <v>46</v>
      </c>
      <c r="CF3" s="52" t="s">
        <v>47</v>
      </c>
      <c r="CG3" s="52" t="s">
        <v>48</v>
      </c>
      <c r="CH3" s="52" t="s">
        <v>49</v>
      </c>
      <c r="CI3" s="52" t="s">
        <v>50</v>
      </c>
      <c r="CJ3" s="52" t="s">
        <v>51</v>
      </c>
      <c r="CK3" s="52" t="s">
        <v>52</v>
      </c>
      <c r="CL3" s="52" t="s">
        <v>53</v>
      </c>
      <c r="CM3" s="52" t="s">
        <v>54</v>
      </c>
      <c r="CN3" s="52" t="s">
        <v>55</v>
      </c>
      <c r="CO3" s="52" t="s">
        <v>56</v>
      </c>
      <c r="CP3" s="52" t="s">
        <v>57</v>
      </c>
      <c r="CQ3" s="52" t="s">
        <v>58</v>
      </c>
      <c r="CR3" s="52" t="s">
        <v>59</v>
      </c>
    </row>
    <row r="4" spans="1:112" ht="30" customHeight="1" x14ac:dyDescent="0.3">
      <c r="A4" s="27" t="s">
        <v>60</v>
      </c>
      <c r="B4" s="28" t="s">
        <v>61</v>
      </c>
      <c r="C4" s="29" t="s">
        <v>62</v>
      </c>
      <c r="D4" s="28" t="s">
        <v>63</v>
      </c>
      <c r="E4" s="27" t="s">
        <v>64</v>
      </c>
      <c r="F4" s="27" t="s">
        <v>65</v>
      </c>
      <c r="G4" s="27" t="s">
        <v>66</v>
      </c>
      <c r="H4" s="27" t="s">
        <v>67</v>
      </c>
      <c r="I4" s="27" t="s">
        <v>68</v>
      </c>
      <c r="J4" s="27" t="s">
        <v>69</v>
      </c>
      <c r="K4" s="27" t="s">
        <v>70</v>
      </c>
      <c r="L4" s="30" t="s">
        <v>71</v>
      </c>
      <c r="M4" s="31" t="s">
        <v>72</v>
      </c>
      <c r="N4" s="28" t="s">
        <v>73</v>
      </c>
      <c r="O4" s="27" t="s">
        <v>74</v>
      </c>
      <c r="P4" s="28" t="s">
        <v>75</v>
      </c>
      <c r="Q4" s="58" t="s">
        <v>76</v>
      </c>
      <c r="R4" s="27" t="s">
        <v>77</v>
      </c>
      <c r="S4" s="27" t="s">
        <v>78</v>
      </c>
      <c r="T4" s="27" t="s">
        <v>79</v>
      </c>
      <c r="U4" s="27" t="s">
        <v>80</v>
      </c>
      <c r="V4" s="28" t="s">
        <v>81</v>
      </c>
      <c r="W4" s="27" t="s">
        <v>82</v>
      </c>
      <c r="X4" s="27" t="s">
        <v>83</v>
      </c>
      <c r="Y4" s="27" t="s">
        <v>84</v>
      </c>
      <c r="Z4" s="27" t="s">
        <v>85</v>
      </c>
      <c r="AA4" s="27" t="s">
        <v>86</v>
      </c>
      <c r="AB4" s="27" t="s">
        <v>87</v>
      </c>
      <c r="AC4" s="27" t="s">
        <v>88</v>
      </c>
      <c r="AD4" s="27" t="s">
        <v>89</v>
      </c>
      <c r="AE4" s="27" t="s">
        <v>90</v>
      </c>
      <c r="AF4" s="27" t="s">
        <v>91</v>
      </c>
      <c r="AG4" s="27" t="s">
        <v>92</v>
      </c>
      <c r="AH4" s="28" t="s">
        <v>93</v>
      </c>
      <c r="AI4" s="27" t="s">
        <v>94</v>
      </c>
      <c r="AJ4" s="27" t="s">
        <v>95</v>
      </c>
      <c r="AK4" s="27" t="s">
        <v>96</v>
      </c>
      <c r="AL4" s="27" t="s">
        <v>97</v>
      </c>
      <c r="AM4" s="27" t="s">
        <v>98</v>
      </c>
      <c r="AN4" s="27" t="s">
        <v>99</v>
      </c>
      <c r="AO4" s="27" t="s">
        <v>100</v>
      </c>
      <c r="AP4" s="27" t="s">
        <v>101</v>
      </c>
      <c r="AQ4" s="27" t="s">
        <v>102</v>
      </c>
      <c r="AR4" s="27" t="s">
        <v>103</v>
      </c>
      <c r="AS4" s="27" t="s">
        <v>104</v>
      </c>
      <c r="AT4" s="28" t="s">
        <v>105</v>
      </c>
      <c r="AU4" s="27" t="s">
        <v>106</v>
      </c>
      <c r="AV4" s="27" t="s">
        <v>107</v>
      </c>
      <c r="AW4" s="27" t="s">
        <v>108</v>
      </c>
      <c r="AX4" s="27" t="s">
        <v>109</v>
      </c>
      <c r="AY4" s="27" t="s">
        <v>110</v>
      </c>
      <c r="AZ4" s="27" t="s">
        <v>111</v>
      </c>
      <c r="BA4" s="27" t="s">
        <v>112</v>
      </c>
      <c r="BB4" s="27" t="s">
        <v>113</v>
      </c>
      <c r="BC4" s="27" t="s">
        <v>114</v>
      </c>
      <c r="BD4" s="27" t="s">
        <v>115</v>
      </c>
      <c r="BE4" s="27" t="s">
        <v>116</v>
      </c>
      <c r="BF4" s="28" t="s">
        <v>117</v>
      </c>
      <c r="BG4" s="27" t="s">
        <v>118</v>
      </c>
      <c r="BH4" s="27" t="s">
        <v>119</v>
      </c>
      <c r="BI4" s="27" t="s">
        <v>120</v>
      </c>
      <c r="BJ4" s="27" t="s">
        <v>121</v>
      </c>
      <c r="BK4" s="27" t="s">
        <v>122</v>
      </c>
      <c r="BL4" s="27" t="s">
        <v>123</v>
      </c>
      <c r="BM4" s="27" t="s">
        <v>124</v>
      </c>
      <c r="BN4" s="27" t="s">
        <v>125</v>
      </c>
      <c r="BO4" s="27" t="s">
        <v>126</v>
      </c>
      <c r="BP4" s="27" t="s">
        <v>127</v>
      </c>
      <c r="BQ4" s="27" t="s">
        <v>128</v>
      </c>
      <c r="BR4" s="28" t="s">
        <v>129</v>
      </c>
      <c r="BS4" s="27" t="s">
        <v>130</v>
      </c>
      <c r="BT4" s="27" t="s">
        <v>131</v>
      </c>
      <c r="BU4" s="27" t="s">
        <v>132</v>
      </c>
      <c r="BX4" t="s">
        <v>133</v>
      </c>
      <c r="BY4" t="s">
        <v>134</v>
      </c>
      <c r="BZ4" t="s">
        <v>135</v>
      </c>
      <c r="CA4" t="s">
        <v>136</v>
      </c>
      <c r="CB4" t="s">
        <v>137</v>
      </c>
      <c r="CC4" t="s">
        <v>138</v>
      </c>
      <c r="CD4" t="s">
        <v>139</v>
      </c>
      <c r="CE4" t="s">
        <v>140</v>
      </c>
      <c r="CF4" t="s">
        <v>141</v>
      </c>
      <c r="CG4" t="s">
        <v>142</v>
      </c>
      <c r="CH4" t="s">
        <v>143</v>
      </c>
      <c r="CI4" t="s">
        <v>144</v>
      </c>
      <c r="CJ4" t="s">
        <v>145</v>
      </c>
      <c r="CK4" t="s">
        <v>146</v>
      </c>
      <c r="CL4" t="s">
        <v>147</v>
      </c>
      <c r="CM4" t="s">
        <v>148</v>
      </c>
      <c r="CN4" t="s">
        <v>149</v>
      </c>
      <c r="CO4" t="s">
        <v>150</v>
      </c>
      <c r="CP4" t="s">
        <v>151</v>
      </c>
      <c r="CQ4" t="s">
        <v>152</v>
      </c>
      <c r="CR4" t="s">
        <v>153</v>
      </c>
      <c r="CS4" s="54" t="s">
        <v>154</v>
      </c>
      <c r="CT4" s="61" t="s">
        <v>155</v>
      </c>
      <c r="CU4" s="53" t="s">
        <v>156</v>
      </c>
      <c r="CV4" s="53" t="s">
        <v>157</v>
      </c>
      <c r="CW4" t="s">
        <v>158</v>
      </c>
      <c r="CX4" t="s">
        <v>159</v>
      </c>
      <c r="CY4" t="s">
        <v>160</v>
      </c>
      <c r="CZ4" t="s">
        <v>161</v>
      </c>
      <c r="DA4" t="s">
        <v>162</v>
      </c>
      <c r="DB4" t="s">
        <v>163</v>
      </c>
      <c r="DC4" t="s">
        <v>164</v>
      </c>
      <c r="DD4" t="s">
        <v>165</v>
      </c>
      <c r="DE4" t="s">
        <v>166</v>
      </c>
      <c r="DF4" t="s">
        <v>167</v>
      </c>
      <c r="DG4" t="s">
        <v>168</v>
      </c>
      <c r="DH4" t="s">
        <v>169</v>
      </c>
    </row>
    <row r="5" spans="1:112" s="32" customFormat="1" ht="30" customHeight="1" x14ac:dyDescent="0.3">
      <c r="A5" s="2" t="s">
        <v>170</v>
      </c>
      <c r="B5" s="6">
        <v>39323</v>
      </c>
      <c r="C5" s="3" t="s">
        <v>171</v>
      </c>
      <c r="D5" s="3" t="s">
        <v>172</v>
      </c>
      <c r="E5" s="4" t="s">
        <v>173</v>
      </c>
      <c r="F5" s="4" t="s">
        <v>174</v>
      </c>
      <c r="G5" s="5"/>
      <c r="H5" s="4" t="s">
        <v>175</v>
      </c>
      <c r="I5" s="48">
        <v>37.336664120000002</v>
      </c>
      <c r="J5" s="48">
        <v>-121.8828614</v>
      </c>
      <c r="K5" s="48" t="s">
        <v>176</v>
      </c>
      <c r="L5" s="10"/>
      <c r="M5" s="47"/>
      <c r="N5" s="3" t="s">
        <v>15</v>
      </c>
      <c r="O5" s="4" t="s">
        <v>16</v>
      </c>
      <c r="P5" s="3">
        <v>2023</v>
      </c>
      <c r="Q5" s="59">
        <f>IF(COUNTBLANK(InputTable[[#This Row],[measurement.E.1]:[measurement.C.12]])=4*12,"",SUM(InputTable[[#This Row],[measurement.eui.E]:[measurement.eui.C]]))</f>
        <v>36.691063609352511</v>
      </c>
      <c r="R5" s="33" cm="1">
        <f t="array" ref="R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5.323299572699685E-2</v>
      </c>
      <c r="S5" s="33" cm="1">
        <f t="array" ref="S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" s="33" cm="1">
        <f t="array" ref="T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27.686710933456919</v>
      </c>
      <c r="U5" s="33" cm="1">
        <f t="array" ref="U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8.9511196801685919</v>
      </c>
      <c r="V5" s="6">
        <v>58.000000000000107</v>
      </c>
      <c r="W5" s="9">
        <v>57.000000000000341</v>
      </c>
      <c r="X5" s="9">
        <v>57.000000000000192</v>
      </c>
      <c r="Y5" s="9">
        <v>48.999999999999638</v>
      </c>
      <c r="Z5" s="9">
        <v>46.000000000000362</v>
      </c>
      <c r="AA5" s="9">
        <v>46.000000000000448</v>
      </c>
      <c r="AB5" s="9">
        <v>51.000000000000782</v>
      </c>
      <c r="AC5" s="9">
        <v>47.999999999999957</v>
      </c>
      <c r="AD5" s="9">
        <v>47.000000000000263</v>
      </c>
      <c r="AE5" s="9">
        <v>53.999999999999659</v>
      </c>
      <c r="AF5" s="9">
        <v>58.999999999999481</v>
      </c>
      <c r="AG5" s="9">
        <v>41.480135458825352</v>
      </c>
      <c r="AH5" s="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6">
        <v>1696.615283980821</v>
      </c>
      <c r="AU5" s="9">
        <v>1651.01103830646</v>
      </c>
      <c r="AV5" s="9">
        <v>1435.6490921574409</v>
      </c>
      <c r="AW5" s="9">
        <v>880.01893033131307</v>
      </c>
      <c r="AX5" s="9">
        <v>655.67966266898691</v>
      </c>
      <c r="AY5" s="9">
        <v>410.58556250398232</v>
      </c>
      <c r="AZ5" s="9">
        <v>417.40405701696392</v>
      </c>
      <c r="BA5" s="9">
        <v>322.55117526292793</v>
      </c>
      <c r="BB5" s="9">
        <v>383.13579774892401</v>
      </c>
      <c r="BC5" s="9">
        <v>562.14906789769259</v>
      </c>
      <c r="BD5" s="9">
        <v>1012.6201000641011</v>
      </c>
      <c r="BE5" s="9">
        <v>1459.8255724236501</v>
      </c>
      <c r="BF5" s="6">
        <v>1421.1469296259249</v>
      </c>
      <c r="BG5" s="9">
        <v>1130.0624266790501</v>
      </c>
      <c r="BH5" s="9">
        <v>1977.2711532354219</v>
      </c>
      <c r="BI5" s="9">
        <v>2609.5652854301261</v>
      </c>
      <c r="BJ5" s="9">
        <v>3033.004395665354</v>
      </c>
      <c r="BK5" s="9">
        <v>2847.9496272236051</v>
      </c>
      <c r="BL5" s="9">
        <v>3226.4327267435078</v>
      </c>
      <c r="BM5" s="9">
        <v>3337.4178020669242</v>
      </c>
      <c r="BN5" s="9">
        <v>2927.9833784684988</v>
      </c>
      <c r="BO5" s="9">
        <v>2923.8135146405521</v>
      </c>
      <c r="BP5" s="9">
        <v>2199.675679318761</v>
      </c>
      <c r="BQ5" s="9">
        <v>1697.750346174744</v>
      </c>
      <c r="BR5" s="7"/>
      <c r="BS5" s="8"/>
      <c r="BT5" s="8"/>
      <c r="BU5" s="8"/>
      <c r="BX5" s="32" cm="1">
        <f t="array" ref="BX5">IFERROR(_xlfn.QUARTILE.INC(_xlfn._xlws.FILTER($Q$5:$Q$64,$C$5:$C$64=$C5,""),3),"")</f>
        <v>64.112055304293477</v>
      </c>
      <c r="BY5" s="32" cm="1">
        <f t="array" ref="BY5">IFERROR(_xlfn.QUARTILE.INC(_xlfn._xlws.FILTER($Q$5:$Q$64,$C$5:$C$64=$C5,""),2),"")</f>
        <v>39.725763352573587</v>
      </c>
      <c r="BZ5" s="32" cm="1">
        <f t="array" ref="BZ5">IFERROR(_xlfn.QUARTILE.INC(_xlfn._xlws.FILTER($Q$5:$Q$64,$C$5:$C$64=$C5,""),1),"")</f>
        <v>32.115150872687749</v>
      </c>
      <c r="CA5" s="32">
        <f t="shared" ref="CA5:CA36" si="0">IFERROR(BX5-BZ5,"")</f>
        <v>31.996904431605728</v>
      </c>
      <c r="CB5" s="32">
        <f t="shared" ref="CB5:CB36" si="1">IFERROR(BX5+1.5*CA5,"")</f>
        <v>112.10741195170206</v>
      </c>
      <c r="CC5" s="32">
        <f t="shared" ref="CC5:CC36" si="2">IFERROR(BZ5-1.5*CA5,"")</f>
        <v>-15.880205774720842</v>
      </c>
      <c r="CD5" s="32">
        <f t="shared" ref="CD5:CD36" si="3">IF(Q5&gt;CB5,1,0)*$CD$2</f>
        <v>0</v>
      </c>
      <c r="CE5" s="32">
        <f t="shared" ref="CE5:CE36" si="4">IF(Q5&lt;CC5,1,0)*$CE$2</f>
        <v>0</v>
      </c>
      <c r="CF5" s="32">
        <f t="shared" ref="CF5:CF36" si="5">IF(OR(AND(Q5&gt;CC5,Q5&lt;BZ5),AND(Q5&lt;CB5,Q5&gt;BX5)),1,0)*$CF$2</f>
        <v>0</v>
      </c>
      <c r="CG5" s="32">
        <f t="shared" ref="CG5:CG36" si="6">IF(CU5&gt;CV5,1,0)*$CG$2</f>
        <v>0</v>
      </c>
      <c r="CO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" s="32">
        <f>IF(AND(InputTable[[#This Row],[metadata.primary_cooling_system]]="District Cooling",InputTable[[#This Row],[measurement.eui.C]]&gt;=InputTable[[#This Row],[measurement.eui.total]]*0.6),1,0)*$CQ$2</f>
        <v>0</v>
      </c>
      <c r="CR5" s="32">
        <f>IF(AND(InputTable[[#This Row],[metadata.primary_cooling_system]]="District Cooling",InputTable[[#This Row],[measurement.eui.C]]&lt;=InputTable[[#This Row],[measurement.eui.total]]*0.1),1,0)*$CR$2</f>
        <v>0</v>
      </c>
      <c r="CS5" s="32">
        <f t="shared" ref="CS5:CS36" si="7">SUM(CD5:CR5)</f>
        <v>0</v>
      </c>
      <c r="CT5" s="32" t="s">
        <v>177</v>
      </c>
      <c r="CU5" s="32">
        <f t="shared" ref="CU5:CU36" si="8">IF(N5="District Heating",SUM(AW5:BC5),IF(N5="Gas",SUM(AK5:AQ5),0))</f>
        <v>3631.5242534307908</v>
      </c>
      <c r="CV5" s="32">
        <f t="shared" ref="CV5:CV36" si="9">IF(N5="District Heating",SUM(AT5:AV5,BD5:BE5),IF(N5="Gas",SUM(AH5:AJ5,AR5:AS5),0))</f>
        <v>7255.7210869324736</v>
      </c>
      <c r="CW5" s="32">
        <f>SUM(InputTable[[#This Row],[measurement.E.1]],InputTable[[#This Row],[measurement.G.1]],InputTable[[#This Row],[measurement.S.1]],InputTable[[#This Row],[measurement.C.1]])</f>
        <v>3175.7622136067457</v>
      </c>
      <c r="CX5" s="32">
        <f>SUM(InputTable[[#This Row],[measurement.E.2]],InputTable[[#This Row],[measurement.G.2]],InputTable[[#This Row],[measurement.S.2]],InputTable[[#This Row],[measurement.C.2]])</f>
        <v>2838.0734649855103</v>
      </c>
      <c r="CY5" s="32">
        <f>SUM(InputTable[[#This Row],[measurement.E.3]],InputTable[[#This Row],[measurement.G.3]],InputTable[[#This Row],[measurement.S.3]],InputTable[[#This Row],[measurement.C.3]])</f>
        <v>3469.9202453928629</v>
      </c>
      <c r="CZ5" s="32">
        <f>SUM(InputTable[[#This Row],[measurement.E.4]],InputTable[[#This Row],[measurement.G.4]],InputTable[[#This Row],[measurement.S.4]],InputTable[[#This Row],[measurement.C.4]])</f>
        <v>3538.5842157614388</v>
      </c>
      <c r="DA5" s="32">
        <f>SUM(InputTable[[#This Row],[measurement.E.5]],InputTable[[#This Row],[measurement.G.5]],InputTable[[#This Row],[measurement.S.5]],InputTable[[#This Row],[measurement.C.5]])</f>
        <v>3734.684058334341</v>
      </c>
      <c r="DB5" s="32">
        <f>SUM(InputTable[[#This Row],[measurement.E.6]],InputTable[[#This Row],[measurement.G.6]],InputTable[[#This Row],[measurement.S.6]],InputTable[[#This Row],[measurement.C.6]])</f>
        <v>3304.5351897275877</v>
      </c>
      <c r="DC5" s="32">
        <f>SUM(InputTable[[#This Row],[measurement.E.7]],InputTable[[#This Row],[measurement.G.7]],InputTable[[#This Row],[measurement.S.7]],InputTable[[#This Row],[measurement.C.7]])</f>
        <v>3694.8367837604724</v>
      </c>
      <c r="DD5" s="32">
        <f>SUM(InputTable[[#This Row],[measurement.E.8]],InputTable[[#This Row],[measurement.G.8]],InputTable[[#This Row],[measurement.S.8]],InputTable[[#This Row],[measurement.C.8]])</f>
        <v>3707.9689773298519</v>
      </c>
      <c r="DE5" s="32">
        <f>SUM(InputTable[[#This Row],[measurement.E.9]],InputTable[[#This Row],[measurement.G.9]],InputTable[[#This Row],[measurement.S.9]],InputTable[[#This Row],[measurement.C.9]])</f>
        <v>3358.119176217423</v>
      </c>
      <c r="DF5" s="32">
        <f>SUM(InputTable[[#This Row],[measurement.E.10]],InputTable[[#This Row],[measurement.G.10]],InputTable[[#This Row],[measurement.S.10]],InputTable[[#This Row],[measurement.C.10]])</f>
        <v>3539.9625825382445</v>
      </c>
      <c r="DG5" s="32">
        <f>SUM(InputTable[[#This Row],[measurement.E.11]],InputTable[[#This Row],[measurement.G.11]],InputTable[[#This Row],[measurement.S.11]],InputTable[[#This Row],[measurement.C.11]])</f>
        <v>3271.2957793828618</v>
      </c>
      <c r="DH5" s="32">
        <f>SUM(InputTable[[#This Row],[measurement.E.12]],InputTable[[#This Row],[measurement.G.12]],InputTable[[#This Row],[measurement.S.12]],InputTable[[#This Row],[measurement.C.12]])</f>
        <v>3199.0560540572196</v>
      </c>
    </row>
    <row r="6" spans="1:112" s="32" customFormat="1" ht="30" customHeight="1" x14ac:dyDescent="0.3">
      <c r="A6" s="2" t="s">
        <v>178</v>
      </c>
      <c r="B6" s="6">
        <v>85419</v>
      </c>
      <c r="C6" s="3" t="s">
        <v>179</v>
      </c>
      <c r="D6" s="3" t="s">
        <v>172</v>
      </c>
      <c r="E6" s="4" t="s">
        <v>173</v>
      </c>
      <c r="F6" s="4" t="s">
        <v>174</v>
      </c>
      <c r="G6" s="5"/>
      <c r="H6" s="4" t="s">
        <v>175</v>
      </c>
      <c r="I6" s="48">
        <v>37.336037159999997</v>
      </c>
      <c r="J6" s="48">
        <v>-121.87965869999999</v>
      </c>
      <c r="K6" s="48" t="s">
        <v>176</v>
      </c>
      <c r="L6" s="10"/>
      <c r="M6" s="47"/>
      <c r="N6" s="3" t="s">
        <v>15</v>
      </c>
      <c r="O6" s="4" t="s">
        <v>16</v>
      </c>
      <c r="P6" s="3">
        <v>2023</v>
      </c>
      <c r="Q6" s="59">
        <f>IF(COUNTBLANK(InputTable[[#This Row],[measurement.E.1]:[measurement.C.12]])=4*12,"",SUM(InputTable[[#This Row],[measurement.eui.E]:[measurement.eui.C]]))</f>
        <v>105.94108912362468</v>
      </c>
      <c r="R6" s="33" cm="1">
        <f t="array" ref="R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37.927229584900473</v>
      </c>
      <c r="S6" s="33" cm="1">
        <f t="array" ref="S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6.1174343307727882E-3</v>
      </c>
      <c r="T6" s="33" cm="1">
        <f t="array" ref="T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47.263051321356542</v>
      </c>
      <c r="U6" s="33" cm="1">
        <f t="array" ref="U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20.744690783036887</v>
      </c>
      <c r="V6" s="6">
        <v>102535.9310344844</v>
      </c>
      <c r="W6" s="9">
        <v>101146.9999999994</v>
      </c>
      <c r="X6" s="9">
        <v>107805.3015170677</v>
      </c>
      <c r="Y6" s="9">
        <v>104656.69848293409</v>
      </c>
      <c r="Z6" s="9">
        <v>104333.0000000013</v>
      </c>
      <c r="AA6" s="9">
        <v>76884.571428572628</v>
      </c>
      <c r="AB6" s="9">
        <v>70571.428571427503</v>
      </c>
      <c r="AC6" s="9">
        <v>55735.557142857811</v>
      </c>
      <c r="AD6" s="9">
        <v>57098.514285714868</v>
      </c>
      <c r="AE6" s="9">
        <v>62380.428571429147</v>
      </c>
      <c r="AF6" s="9">
        <v>57216.358133669703</v>
      </c>
      <c r="AG6" s="9">
        <v>49099.331521502718</v>
      </c>
      <c r="AH6" s="6">
        <v>0</v>
      </c>
      <c r="AI6" s="9">
        <v>0</v>
      </c>
      <c r="AJ6" s="9">
        <v>0</v>
      </c>
      <c r="AK6" s="9">
        <v>1.0424536466598511</v>
      </c>
      <c r="AL6" s="9">
        <v>0</v>
      </c>
      <c r="AM6" s="9">
        <v>0</v>
      </c>
      <c r="AN6" s="9">
        <v>0</v>
      </c>
      <c r="AO6" s="9">
        <v>1.0485380887985229</v>
      </c>
      <c r="AP6" s="9">
        <v>0</v>
      </c>
      <c r="AQ6" s="9">
        <v>1.0394115447998049</v>
      </c>
      <c r="AR6" s="9">
        <v>1.045495867729187</v>
      </c>
      <c r="AS6" s="9">
        <v>1.0495520830154419</v>
      </c>
      <c r="AT6" s="6">
        <v>7115.6209590516464</v>
      </c>
      <c r="AU6" s="9">
        <v>6500.3515624999736</v>
      </c>
      <c r="AV6" s="9">
        <v>7061.4280282079062</v>
      </c>
      <c r="AW6" s="9">
        <v>5075.2125967921274</v>
      </c>
      <c r="AX6" s="9">
        <v>3585.117187500025</v>
      </c>
      <c r="AY6" s="9">
        <v>1761.060267857112</v>
      </c>
      <c r="AZ6" s="9">
        <v>1209.017857142841</v>
      </c>
      <c r="BA6" s="9">
        <v>658.19642857141662</v>
      </c>
      <c r="BB6" s="9">
        <v>1186.5189732142919</v>
      </c>
      <c r="BC6" s="9">
        <v>1652.0814732143051</v>
      </c>
      <c r="BD6" s="9">
        <v>2161.210001576273</v>
      </c>
      <c r="BE6" s="9">
        <v>2405.8104725616349</v>
      </c>
      <c r="BF6" s="6">
        <v>12217.28192046085</v>
      </c>
      <c r="BG6" s="9">
        <v>11536.322382812599</v>
      </c>
      <c r="BH6" s="9">
        <v>13805.684766723891</v>
      </c>
      <c r="BI6" s="9">
        <v>15674.662664916659</v>
      </c>
      <c r="BJ6" s="9">
        <v>16223.39075195338</v>
      </c>
      <c r="BK6" s="9">
        <v>13605.412792968709</v>
      </c>
      <c r="BL6" s="9">
        <v>15184.77669921861</v>
      </c>
      <c r="BM6" s="9">
        <v>13469.98759263405</v>
      </c>
      <c r="BN6" s="9">
        <v>14247.961727259861</v>
      </c>
      <c r="BO6" s="9">
        <v>15026.597340262089</v>
      </c>
      <c r="BP6" s="9">
        <v>5086.1830211001034</v>
      </c>
      <c r="BQ6" s="9">
        <v>1587.633506041522</v>
      </c>
      <c r="BR6" s="7"/>
      <c r="BS6" s="8"/>
      <c r="BT6" s="8"/>
      <c r="BU6" s="8"/>
      <c r="BX6" s="32" cm="1">
        <f t="array" ref="BX6">IFERROR(_xlfn.QUARTILE.INC(_xlfn._xlws.FILTER($Q$5:$Q$64,$C$5:$C$64=$C6,""),3),"")</f>
        <v>123.42692609707021</v>
      </c>
      <c r="BY6" s="32" cm="1">
        <f t="array" ref="BY6">IFERROR(_xlfn.QUARTILE.INC(_xlfn._xlws.FILTER($Q$5:$Q$64,$C$5:$C$64=$C6,""),2),"")</f>
        <v>110.7023746240035</v>
      </c>
      <c r="BZ6" s="32" cm="1">
        <f t="array" ref="BZ6">IFERROR(_xlfn.QUARTILE.INC(_xlfn._xlws.FILTER($Q$5:$Q$64,$C$5:$C$64=$C6,""),1),"")</f>
        <v>105.94108912362468</v>
      </c>
      <c r="CA6" s="32">
        <f t="shared" si="0"/>
        <v>17.485836973445529</v>
      </c>
      <c r="CB6" s="32">
        <f t="shared" si="1"/>
        <v>149.65568155723849</v>
      </c>
      <c r="CC6" s="32">
        <f t="shared" si="2"/>
        <v>79.712333663456377</v>
      </c>
      <c r="CD6" s="32">
        <f t="shared" si="3"/>
        <v>0</v>
      </c>
      <c r="CE6" s="32">
        <f t="shared" si="4"/>
        <v>0</v>
      </c>
      <c r="CF6" s="32">
        <f t="shared" si="5"/>
        <v>0</v>
      </c>
      <c r="CG6" s="32">
        <f t="shared" si="6"/>
        <v>0</v>
      </c>
      <c r="CO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" s="32">
        <f>IF(AND(InputTable[[#This Row],[metadata.primary_cooling_system]]="District Cooling",InputTable[[#This Row],[measurement.eui.C]]&gt;=InputTable[[#This Row],[measurement.eui.total]]*0.6),1,0)*$CQ$2</f>
        <v>0</v>
      </c>
      <c r="CR6" s="32">
        <f>IF(AND(InputTable[[#This Row],[metadata.primary_cooling_system]]="District Cooling",InputTable[[#This Row],[measurement.eui.C]]&lt;=InputTable[[#This Row],[measurement.eui.total]]*0.1),1,0)*$CR$2</f>
        <v>0</v>
      </c>
      <c r="CS6" s="32">
        <f t="shared" si="7"/>
        <v>0</v>
      </c>
      <c r="CU6" s="32">
        <f t="shared" si="8"/>
        <v>15127.204784292118</v>
      </c>
      <c r="CV6" s="32">
        <f t="shared" si="9"/>
        <v>25244.421023897434</v>
      </c>
      <c r="CW6" s="32">
        <f>SUM(InputTable[[#This Row],[measurement.E.1]],InputTable[[#This Row],[measurement.G.1]],InputTable[[#This Row],[measurement.S.1]],InputTable[[#This Row],[measurement.C.1]])</f>
        <v>121868.8339139969</v>
      </c>
      <c r="CX6" s="32">
        <f>SUM(InputTable[[#This Row],[measurement.E.2]],InputTable[[#This Row],[measurement.G.2]],InputTable[[#This Row],[measurement.S.2]],InputTable[[#This Row],[measurement.C.2]])</f>
        <v>119183.67394531198</v>
      </c>
      <c r="CY6" s="32">
        <f>SUM(InputTable[[#This Row],[measurement.E.3]],InputTable[[#This Row],[measurement.G.3]],InputTable[[#This Row],[measurement.S.3]],InputTable[[#This Row],[measurement.C.3]])</f>
        <v>128672.4143119995</v>
      </c>
      <c r="CZ6" s="32">
        <f>SUM(InputTable[[#This Row],[measurement.E.4]],InputTable[[#This Row],[measurement.G.4]],InputTable[[#This Row],[measurement.S.4]],InputTable[[#This Row],[measurement.C.4]])</f>
        <v>125407.61619828954</v>
      </c>
      <c r="DA6" s="32">
        <f>SUM(InputTable[[#This Row],[measurement.E.5]],InputTable[[#This Row],[measurement.G.5]],InputTable[[#This Row],[measurement.S.5]],InputTable[[#This Row],[measurement.C.5]])</f>
        <v>124141.50793945471</v>
      </c>
      <c r="DB6" s="32">
        <f>SUM(InputTable[[#This Row],[measurement.E.6]],InputTable[[#This Row],[measurement.G.6]],InputTable[[#This Row],[measurement.S.6]],InputTable[[#This Row],[measurement.C.6]])</f>
        <v>92251.044489398453</v>
      </c>
      <c r="DC6" s="32">
        <f>SUM(InputTable[[#This Row],[measurement.E.7]],InputTable[[#This Row],[measurement.G.7]],InputTable[[#This Row],[measurement.S.7]],InputTable[[#This Row],[measurement.C.7]])</f>
        <v>86965.223127788951</v>
      </c>
      <c r="DD6" s="32">
        <f>SUM(InputTable[[#This Row],[measurement.E.8]],InputTable[[#This Row],[measurement.G.8]],InputTable[[#This Row],[measurement.S.8]],InputTable[[#This Row],[measurement.C.8]])</f>
        <v>69864.789702152077</v>
      </c>
      <c r="DE6" s="32">
        <f>SUM(InputTable[[#This Row],[measurement.E.9]],InputTable[[#This Row],[measurement.G.9]],InputTable[[#This Row],[measurement.S.9]],InputTable[[#This Row],[measurement.C.9]])</f>
        <v>72532.99498618902</v>
      </c>
      <c r="DF6" s="32">
        <f>SUM(InputTable[[#This Row],[measurement.E.10]],InputTable[[#This Row],[measurement.G.10]],InputTable[[#This Row],[measurement.S.10]],InputTable[[#This Row],[measurement.C.10]])</f>
        <v>79060.146796450339</v>
      </c>
      <c r="DG6" s="32">
        <f>SUM(InputTable[[#This Row],[measurement.E.11]],InputTable[[#This Row],[measurement.G.11]],InputTable[[#This Row],[measurement.S.11]],InputTable[[#This Row],[measurement.C.11]])</f>
        <v>64464.796652213801</v>
      </c>
      <c r="DH6" s="32">
        <f>SUM(InputTable[[#This Row],[measurement.E.12]],InputTable[[#This Row],[measurement.G.12]],InputTable[[#This Row],[measurement.S.12]],InputTable[[#This Row],[measurement.C.12]])</f>
        <v>53093.825052188891</v>
      </c>
    </row>
    <row r="7" spans="1:112" s="32" customFormat="1" ht="30" customHeight="1" x14ac:dyDescent="0.3">
      <c r="A7" s="2" t="s">
        <v>180</v>
      </c>
      <c r="B7" s="6">
        <v>7934</v>
      </c>
      <c r="C7" s="3" t="s">
        <v>181</v>
      </c>
      <c r="D7" s="3" t="s">
        <v>180</v>
      </c>
      <c r="E7" s="4" t="s">
        <v>173</v>
      </c>
      <c r="F7" s="4" t="s">
        <v>174</v>
      </c>
      <c r="G7" s="5"/>
      <c r="H7" s="4" t="s">
        <v>175</v>
      </c>
      <c r="I7" s="48">
        <v>37.323084649999998</v>
      </c>
      <c r="J7" s="48">
        <v>-121.8746687</v>
      </c>
      <c r="K7" s="48" t="s">
        <v>176</v>
      </c>
      <c r="L7" s="10"/>
      <c r="M7" s="47"/>
      <c r="N7" s="3" t="s">
        <v>182</v>
      </c>
      <c r="O7" s="4" t="s">
        <v>13</v>
      </c>
      <c r="P7" s="3">
        <v>2023</v>
      </c>
      <c r="Q7" s="59">
        <f>IF(COUNTBLANK(InputTable[[#This Row],[measurement.E.1]:[measurement.C.12]])=4*12,"",SUM(InputTable[[#This Row],[measurement.eui.E]:[measurement.eui.C]]))</f>
        <v>71.115413002474128</v>
      </c>
      <c r="R7" s="33" cm="1">
        <f t="array" ref="R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23.775809549851942</v>
      </c>
      <c r="S7" s="33" cm="1">
        <f t="array" ref="S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47.339603452622192</v>
      </c>
      <c r="T7" s="33" cm="1">
        <f t="array" ref="T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7" s="33" cm="1">
        <f t="array" ref="U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7" s="6">
        <v>3966.5323010753482</v>
      </c>
      <c r="W7" s="9">
        <v>3921.313032258091</v>
      </c>
      <c r="X7" s="9">
        <v>5039.4881151079207</v>
      </c>
      <c r="Y7" s="9">
        <v>5100.3228848921026</v>
      </c>
      <c r="Z7" s="9">
        <v>5033.0050000000228</v>
      </c>
      <c r="AA7" s="9">
        <v>4577.4180645161132</v>
      </c>
      <c r="AB7" s="9">
        <v>5602.0296774192921</v>
      </c>
      <c r="AC7" s="9">
        <v>6189.0655913979608</v>
      </c>
      <c r="AD7" s="9">
        <v>5033.3399999999338</v>
      </c>
      <c r="AE7" s="9">
        <v>4253.5916599552475</v>
      </c>
      <c r="AF7" s="9">
        <v>3787.0040389695009</v>
      </c>
      <c r="AG7" s="9">
        <v>2781.017634408624</v>
      </c>
      <c r="AH7" s="6">
        <v>498.32903225807092</v>
      </c>
      <c r="AI7" s="9">
        <v>686.27096774193353</v>
      </c>
      <c r="AJ7" s="9">
        <v>1198.4633093525131</v>
      </c>
      <c r="AK7" s="9">
        <v>354.01169064748558</v>
      </c>
      <c r="AL7" s="9">
        <v>100.3830645161281</v>
      </c>
      <c r="AM7" s="9">
        <v>26.129032258065369</v>
      </c>
      <c r="AN7" s="9">
        <v>12.90322580645158</v>
      </c>
      <c r="AO7" s="9">
        <v>5.1096774193548384</v>
      </c>
      <c r="AP7" s="9">
        <v>63.800000000000402</v>
      </c>
      <c r="AQ7" s="9">
        <v>102.34646324549411</v>
      </c>
      <c r="AR7" s="9">
        <v>411.80837546419127</v>
      </c>
      <c r="AS7" s="9">
        <v>296.36929922135653</v>
      </c>
      <c r="AT7" s="6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6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7"/>
      <c r="BS7" s="8"/>
      <c r="BT7" s="8"/>
      <c r="BU7" s="8"/>
      <c r="BX7" s="32" cm="1">
        <f t="array" ref="BX7">IFERROR(_xlfn.QUARTILE.INC(_xlfn._xlws.FILTER($Q$5:$Q$64,$C$5:$C$64=$C7,""),3),"")</f>
        <v>62.933615419798244</v>
      </c>
      <c r="BY7" s="32" cm="1">
        <f t="array" ref="BY7">IFERROR(_xlfn.QUARTILE.INC(_xlfn._xlws.FILTER($Q$5:$Q$64,$C$5:$C$64=$C7,""),2),"")</f>
        <v>54.751817837122367</v>
      </c>
      <c r="BZ7" s="32" cm="1">
        <f t="array" ref="BZ7">IFERROR(_xlfn.QUARTILE.INC(_xlfn._xlws.FILTER($Q$5:$Q$64,$C$5:$C$64=$C7,""),1),"")</f>
        <v>39.263317397238609</v>
      </c>
      <c r="CA7" s="32">
        <f t="shared" si="0"/>
        <v>23.670298022559635</v>
      </c>
      <c r="CB7" s="32">
        <f t="shared" si="1"/>
        <v>98.439062453637689</v>
      </c>
      <c r="CC7" s="32">
        <f t="shared" si="2"/>
        <v>3.7578703633991566</v>
      </c>
      <c r="CD7" s="32">
        <f t="shared" si="3"/>
        <v>0</v>
      </c>
      <c r="CE7" s="32">
        <f t="shared" si="4"/>
        <v>0</v>
      </c>
      <c r="CF7" s="32">
        <f t="shared" si="5"/>
        <v>0.5</v>
      </c>
      <c r="CG7" s="32">
        <f t="shared" si="6"/>
        <v>0</v>
      </c>
      <c r="CO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7" s="32">
        <f>IF(AND(InputTable[[#This Row],[metadata.primary_cooling_system]]="District Cooling",InputTable[[#This Row],[measurement.eui.C]]&gt;=InputTable[[#This Row],[measurement.eui.total]]*0.6),1,0)*$CQ$2</f>
        <v>0</v>
      </c>
      <c r="CR7" s="32">
        <f>IF(AND(InputTable[[#This Row],[metadata.primary_cooling_system]]="District Cooling",InputTable[[#This Row],[measurement.eui.C]]&lt;=InputTable[[#This Row],[measurement.eui.total]]*0.1),1,0)*$CR$2</f>
        <v>0</v>
      </c>
      <c r="CS7" s="32">
        <f t="shared" si="7"/>
        <v>1.3</v>
      </c>
      <c r="CU7" s="32">
        <f t="shared" si="8"/>
        <v>0</v>
      </c>
      <c r="CV7" s="32">
        <f t="shared" si="9"/>
        <v>0</v>
      </c>
      <c r="CW7" s="32">
        <f>SUM(InputTable[[#This Row],[measurement.E.1]],InputTable[[#This Row],[measurement.G.1]],InputTable[[#This Row],[measurement.S.1]],InputTable[[#This Row],[measurement.C.1]])</f>
        <v>4464.8613333334188</v>
      </c>
      <c r="CX7" s="32">
        <f>SUM(InputTable[[#This Row],[measurement.E.2]],InputTable[[#This Row],[measurement.G.2]],InputTable[[#This Row],[measurement.S.2]],InputTable[[#This Row],[measurement.C.2]])</f>
        <v>4607.5840000000244</v>
      </c>
      <c r="CY7" s="32">
        <f>SUM(InputTable[[#This Row],[measurement.E.3]],InputTable[[#This Row],[measurement.G.3]],InputTable[[#This Row],[measurement.S.3]],InputTable[[#This Row],[measurement.C.3]])</f>
        <v>6237.9514244604343</v>
      </c>
      <c r="CZ7" s="32">
        <f>SUM(InputTable[[#This Row],[measurement.E.4]],InputTable[[#This Row],[measurement.G.4]],InputTable[[#This Row],[measurement.S.4]],InputTable[[#This Row],[measurement.C.4]])</f>
        <v>5454.3345755395885</v>
      </c>
      <c r="DA7" s="32">
        <f>SUM(InputTable[[#This Row],[measurement.E.5]],InputTable[[#This Row],[measurement.G.5]],InputTable[[#This Row],[measurement.S.5]],InputTable[[#This Row],[measurement.C.5]])</f>
        <v>5133.3880645161507</v>
      </c>
      <c r="DB7" s="32">
        <f>SUM(InputTable[[#This Row],[measurement.E.6]],InputTable[[#This Row],[measurement.G.6]],InputTable[[#This Row],[measurement.S.6]],InputTable[[#This Row],[measurement.C.6]])</f>
        <v>4603.5470967741785</v>
      </c>
      <c r="DC7" s="32">
        <f>SUM(InputTable[[#This Row],[measurement.E.7]],InputTable[[#This Row],[measurement.G.7]],InputTable[[#This Row],[measurement.S.7]],InputTable[[#This Row],[measurement.C.7]])</f>
        <v>5614.9329032257438</v>
      </c>
      <c r="DD7" s="32">
        <f>SUM(InputTable[[#This Row],[measurement.E.8]],InputTable[[#This Row],[measurement.G.8]],InputTable[[#This Row],[measurement.S.8]],InputTable[[#This Row],[measurement.C.8]])</f>
        <v>6194.1752688173156</v>
      </c>
      <c r="DE7" s="32">
        <f>SUM(InputTable[[#This Row],[measurement.E.9]],InputTable[[#This Row],[measurement.G.9]],InputTable[[#This Row],[measurement.S.9]],InputTable[[#This Row],[measurement.C.9]])</f>
        <v>5097.1399999999339</v>
      </c>
      <c r="DF7" s="32">
        <f>SUM(InputTable[[#This Row],[measurement.E.10]],InputTable[[#This Row],[measurement.G.10]],InputTable[[#This Row],[measurement.S.10]],InputTable[[#This Row],[measurement.C.10]])</f>
        <v>4355.9381232007418</v>
      </c>
      <c r="DG7" s="32">
        <f>SUM(InputTable[[#This Row],[measurement.E.11]],InputTable[[#This Row],[measurement.G.11]],InputTable[[#This Row],[measurement.S.11]],InputTable[[#This Row],[measurement.C.11]])</f>
        <v>4198.8124144336925</v>
      </c>
      <c r="DH7" s="32">
        <f>SUM(InputTable[[#This Row],[measurement.E.12]],InputTable[[#This Row],[measurement.G.12]],InputTable[[#This Row],[measurement.S.12]],InputTable[[#This Row],[measurement.C.12]])</f>
        <v>3077.3869336299804</v>
      </c>
    </row>
    <row r="8" spans="1:112" s="32" customFormat="1" ht="30" customHeight="1" x14ac:dyDescent="0.3">
      <c r="A8" s="55" t="s">
        <v>183</v>
      </c>
      <c r="B8" s="6">
        <v>8591</v>
      </c>
      <c r="C8" s="3" t="s">
        <v>171</v>
      </c>
      <c r="D8" s="3" t="s">
        <v>172</v>
      </c>
      <c r="E8" s="4" t="s">
        <v>173</v>
      </c>
      <c r="F8" s="4" t="s">
        <v>174</v>
      </c>
      <c r="G8" s="5"/>
      <c r="H8" s="4" t="s">
        <v>175</v>
      </c>
      <c r="I8" s="48">
        <v>37.337454999999999</v>
      </c>
      <c r="J8" s="48">
        <v>-121.8791501</v>
      </c>
      <c r="K8" s="48" t="s">
        <v>176</v>
      </c>
      <c r="L8" s="10"/>
      <c r="M8" s="47" t="s">
        <v>184</v>
      </c>
      <c r="N8" s="3" t="s">
        <v>13</v>
      </c>
      <c r="O8" s="4" t="s">
        <v>13</v>
      </c>
      <c r="P8" s="3">
        <v>2022</v>
      </c>
      <c r="Q8" s="59">
        <f>IF(COUNTBLANK(InputTable[[#This Row],[measurement.E.1]:[measurement.C.12]])=4*12,"",SUM(InputTable[[#This Row],[measurement.eui.E]:[measurement.eui.C]]))</f>
        <v>15.378377510705686</v>
      </c>
      <c r="R8" s="33" cm="1">
        <f t="array" ref="R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15.378377510705686</v>
      </c>
      <c r="S8" s="33" cm="1">
        <f t="array" ref="S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8" s="33" cm="1">
        <f t="array" ref="T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8" s="33" cm="1">
        <f t="array" ref="U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8" s="6">
        <v>3811.8787878787439</v>
      </c>
      <c r="W8" s="9">
        <v>3358.0000000000241</v>
      </c>
      <c r="X8" s="9">
        <v>3000.0000000000191</v>
      </c>
      <c r="Y8" s="9">
        <v>2666.1290322580749</v>
      </c>
      <c r="Z8" s="9">
        <v>2764.870967741952</v>
      </c>
      <c r="AA8" s="9">
        <v>3293.999999999965</v>
      </c>
      <c r="AB8" s="9">
        <v>3048.65625</v>
      </c>
      <c r="AC8" s="9">
        <v>3280.3437499999582</v>
      </c>
      <c r="AD8" s="9">
        <v>3360.99999999997</v>
      </c>
      <c r="AE8" s="9">
        <v>2995.9999999999841</v>
      </c>
      <c r="AF8" s="9">
        <v>3346.9999999999682</v>
      </c>
      <c r="AG8" s="9">
        <v>3791.3939393940091</v>
      </c>
      <c r="AH8" s="6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6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6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7"/>
      <c r="BS8" s="8"/>
      <c r="BT8" s="8"/>
      <c r="BU8" s="8"/>
      <c r="BX8" s="32" cm="1">
        <f t="array" ref="BX8">IFERROR(_xlfn.QUARTILE.INC(_xlfn._xlws.FILTER($Q$5:$Q$64,$C$5:$C$64=$C8,""),3),"")</f>
        <v>64.112055304293477</v>
      </c>
      <c r="BY8" s="32" cm="1">
        <f t="array" ref="BY8">IFERROR(_xlfn.QUARTILE.INC(_xlfn._xlws.FILTER($Q$5:$Q$64,$C$5:$C$64=$C8,""),2),"")</f>
        <v>39.725763352573587</v>
      </c>
      <c r="BZ8" s="32" cm="1">
        <f t="array" ref="BZ8">IFERROR(_xlfn.QUARTILE.INC(_xlfn._xlws.FILTER($Q$5:$Q$64,$C$5:$C$64=$C8,""),1),"")</f>
        <v>32.115150872687749</v>
      </c>
      <c r="CA8" s="32">
        <f t="shared" si="0"/>
        <v>31.996904431605728</v>
      </c>
      <c r="CB8" s="32">
        <f t="shared" si="1"/>
        <v>112.10741195170206</v>
      </c>
      <c r="CC8" s="32">
        <f t="shared" si="2"/>
        <v>-15.880205774720842</v>
      </c>
      <c r="CD8" s="32">
        <f t="shared" si="3"/>
        <v>0</v>
      </c>
      <c r="CE8" s="32">
        <f t="shared" si="4"/>
        <v>0</v>
      </c>
      <c r="CF8" s="32">
        <f t="shared" si="5"/>
        <v>0.5</v>
      </c>
      <c r="CG8" s="32">
        <f t="shared" si="6"/>
        <v>0</v>
      </c>
      <c r="CO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8" s="32">
        <f>IF(AND(InputTable[[#This Row],[metadata.primary_cooling_system]]="District Cooling",InputTable[[#This Row],[measurement.eui.C]]&gt;=InputTable[[#This Row],[measurement.eui.total]]*0.6),1,0)*$CQ$2</f>
        <v>0</v>
      </c>
      <c r="CR8" s="32">
        <f>IF(AND(InputTable[[#This Row],[metadata.primary_cooling_system]]="District Cooling",InputTable[[#This Row],[measurement.eui.C]]&lt;=InputTable[[#This Row],[measurement.eui.total]]*0.1),1,0)*$CR$2</f>
        <v>0</v>
      </c>
      <c r="CS8" s="32">
        <f t="shared" si="7"/>
        <v>1.3</v>
      </c>
      <c r="CU8" s="32">
        <f t="shared" si="8"/>
        <v>0</v>
      </c>
      <c r="CV8" s="32">
        <f t="shared" si="9"/>
        <v>0</v>
      </c>
      <c r="CW8" s="32">
        <f>SUM(InputTable[[#This Row],[measurement.E.1]],InputTable[[#This Row],[measurement.G.1]],InputTable[[#This Row],[measurement.S.1]],InputTable[[#This Row],[measurement.C.1]])</f>
        <v>3811.8787878787439</v>
      </c>
      <c r="CX8" s="32">
        <f>SUM(InputTable[[#This Row],[measurement.E.2]],InputTable[[#This Row],[measurement.G.2]],InputTable[[#This Row],[measurement.S.2]],InputTable[[#This Row],[measurement.C.2]])</f>
        <v>3358.0000000000241</v>
      </c>
      <c r="CY8" s="32">
        <f>SUM(InputTable[[#This Row],[measurement.E.3]],InputTable[[#This Row],[measurement.G.3]],InputTable[[#This Row],[measurement.S.3]],InputTable[[#This Row],[measurement.C.3]])</f>
        <v>3000.0000000000191</v>
      </c>
      <c r="CZ8" s="32">
        <f>SUM(InputTable[[#This Row],[measurement.E.4]],InputTable[[#This Row],[measurement.G.4]],InputTable[[#This Row],[measurement.S.4]],InputTable[[#This Row],[measurement.C.4]])</f>
        <v>2666.1290322580749</v>
      </c>
      <c r="DA8" s="32">
        <f>SUM(InputTable[[#This Row],[measurement.E.5]],InputTable[[#This Row],[measurement.G.5]],InputTable[[#This Row],[measurement.S.5]],InputTable[[#This Row],[measurement.C.5]])</f>
        <v>2764.870967741952</v>
      </c>
      <c r="DB8" s="32">
        <f>SUM(InputTable[[#This Row],[measurement.E.6]],InputTable[[#This Row],[measurement.G.6]],InputTable[[#This Row],[measurement.S.6]],InputTable[[#This Row],[measurement.C.6]])</f>
        <v>3293.999999999965</v>
      </c>
      <c r="DC8" s="32">
        <f>SUM(InputTable[[#This Row],[measurement.E.7]],InputTable[[#This Row],[measurement.G.7]],InputTable[[#This Row],[measurement.S.7]],InputTable[[#This Row],[measurement.C.7]])</f>
        <v>3048.65625</v>
      </c>
      <c r="DD8" s="32">
        <f>SUM(InputTable[[#This Row],[measurement.E.8]],InputTable[[#This Row],[measurement.G.8]],InputTable[[#This Row],[measurement.S.8]],InputTable[[#This Row],[measurement.C.8]])</f>
        <v>3280.3437499999582</v>
      </c>
      <c r="DE8" s="32">
        <f>SUM(InputTable[[#This Row],[measurement.E.9]],InputTable[[#This Row],[measurement.G.9]],InputTable[[#This Row],[measurement.S.9]],InputTable[[#This Row],[measurement.C.9]])</f>
        <v>3360.99999999997</v>
      </c>
      <c r="DF8" s="32">
        <f>SUM(InputTable[[#This Row],[measurement.E.10]],InputTable[[#This Row],[measurement.G.10]],InputTable[[#This Row],[measurement.S.10]],InputTable[[#This Row],[measurement.C.10]])</f>
        <v>2995.9999999999841</v>
      </c>
      <c r="DG8" s="32">
        <f>SUM(InputTable[[#This Row],[measurement.E.11]],InputTable[[#This Row],[measurement.G.11]],InputTable[[#This Row],[measurement.S.11]],InputTable[[#This Row],[measurement.C.11]])</f>
        <v>3346.9999999999682</v>
      </c>
      <c r="DH8" s="32">
        <f>SUM(InputTable[[#This Row],[measurement.E.12]],InputTable[[#This Row],[measurement.G.12]],InputTable[[#This Row],[measurement.S.12]],InputTable[[#This Row],[measurement.C.12]])</f>
        <v>3791.3939393940091</v>
      </c>
    </row>
    <row r="9" spans="1:112" s="32" customFormat="1" ht="30" customHeight="1" x14ac:dyDescent="0.3">
      <c r="A9" s="2" t="s">
        <v>185</v>
      </c>
      <c r="B9" s="6">
        <v>1396</v>
      </c>
      <c r="C9" s="3" t="s">
        <v>171</v>
      </c>
      <c r="D9" s="3" t="s">
        <v>172</v>
      </c>
      <c r="E9" s="4" t="s">
        <v>173</v>
      </c>
      <c r="F9" s="4" t="s">
        <v>174</v>
      </c>
      <c r="G9" s="5"/>
      <c r="H9" s="4" t="s">
        <v>175</v>
      </c>
      <c r="I9" s="49">
        <v>37.337347209999997</v>
      </c>
      <c r="J9" s="49">
        <v>-121.8797363</v>
      </c>
      <c r="K9" s="48" t="s">
        <v>176</v>
      </c>
      <c r="L9" s="10"/>
      <c r="M9" s="47"/>
      <c r="N9" s="3" t="s">
        <v>13</v>
      </c>
      <c r="O9" s="4" t="s">
        <v>13</v>
      </c>
      <c r="P9" s="3">
        <v>2023</v>
      </c>
      <c r="Q9" s="59">
        <f>IF(COUNTBLANK(InputTable[[#This Row],[measurement.E.1]:[measurement.C.12]])=4*12,"",SUM(InputTable[[#This Row],[measurement.eui.E]:[measurement.eui.C]]))</f>
        <v>71.00022907329695</v>
      </c>
      <c r="R9" s="33" cm="1">
        <f t="array" ref="R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71.00022907329695</v>
      </c>
      <c r="S9" s="33" cm="1">
        <f t="array" ref="S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9" s="33" cm="1">
        <f t="array" ref="T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9" s="33" cm="1">
        <f t="array" ref="U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9" s="6">
        <v>2317.8417062365502</v>
      </c>
      <c r="W9" s="9">
        <v>2018.435747096767</v>
      </c>
      <c r="X9" s="9">
        <v>2246.3135871942591</v>
      </c>
      <c r="Y9" s="9">
        <v>2223.0582090557359</v>
      </c>
      <c r="Z9" s="9">
        <v>2442.2333770833252</v>
      </c>
      <c r="AA9" s="9">
        <v>2448.5575833333519</v>
      </c>
      <c r="AB9" s="9">
        <v>2561.06413958334</v>
      </c>
      <c r="AC9" s="9">
        <v>2773.5054937500231</v>
      </c>
      <c r="AD9" s="9">
        <v>2577.4934666666759</v>
      </c>
      <c r="AE9" s="9">
        <v>2598.47885554814</v>
      </c>
      <c r="AF9" s="9">
        <v>2441.658934236842</v>
      </c>
      <c r="AG9" s="9">
        <v>2399.4850935483901</v>
      </c>
      <c r="AH9" s="6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6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6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7"/>
      <c r="BS9" s="8"/>
      <c r="BT9" s="8"/>
      <c r="BU9" s="8"/>
      <c r="BX9" s="32" cm="1">
        <f t="array" ref="BX9">IFERROR(_xlfn.QUARTILE.INC(_xlfn._xlws.FILTER($Q$5:$Q$64,$C$5:$C$64=$C9,""),3),"")</f>
        <v>64.112055304293477</v>
      </c>
      <c r="BY9" s="32" cm="1">
        <f t="array" ref="BY9">IFERROR(_xlfn.QUARTILE.INC(_xlfn._xlws.FILTER($Q$5:$Q$64,$C$5:$C$64=$C9,""),2),"")</f>
        <v>39.725763352573587</v>
      </c>
      <c r="BZ9" s="32" cm="1">
        <f t="array" ref="BZ9">IFERROR(_xlfn.QUARTILE.INC(_xlfn._xlws.FILTER($Q$5:$Q$64,$C$5:$C$64=$C9,""),1),"")</f>
        <v>32.115150872687749</v>
      </c>
      <c r="CA9" s="32">
        <f t="shared" si="0"/>
        <v>31.996904431605728</v>
      </c>
      <c r="CB9" s="32">
        <f t="shared" si="1"/>
        <v>112.10741195170206</v>
      </c>
      <c r="CC9" s="32">
        <f t="shared" si="2"/>
        <v>-15.880205774720842</v>
      </c>
      <c r="CD9" s="32">
        <f t="shared" si="3"/>
        <v>0</v>
      </c>
      <c r="CE9" s="32">
        <f t="shared" si="4"/>
        <v>0</v>
      </c>
      <c r="CF9" s="32">
        <f t="shared" si="5"/>
        <v>0.5</v>
      </c>
      <c r="CG9" s="32">
        <f t="shared" si="6"/>
        <v>0</v>
      </c>
      <c r="CO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9" s="32">
        <f>IF(AND(InputTable[[#This Row],[metadata.primary_cooling_system]]="District Cooling",InputTable[[#This Row],[measurement.eui.C]]&gt;=InputTable[[#This Row],[measurement.eui.total]]*0.6),1,0)*$CQ$2</f>
        <v>0</v>
      </c>
      <c r="CR9" s="32">
        <f>IF(AND(InputTable[[#This Row],[metadata.primary_cooling_system]]="District Cooling",InputTable[[#This Row],[measurement.eui.C]]&lt;=InputTable[[#This Row],[measurement.eui.total]]*0.1),1,0)*$CR$2</f>
        <v>0</v>
      </c>
      <c r="CS9" s="32">
        <f t="shared" si="7"/>
        <v>1.3</v>
      </c>
      <c r="CU9" s="32">
        <f t="shared" si="8"/>
        <v>0</v>
      </c>
      <c r="CV9" s="32">
        <f t="shared" si="9"/>
        <v>0</v>
      </c>
      <c r="CW9" s="32">
        <f>SUM(InputTable[[#This Row],[measurement.E.1]],InputTable[[#This Row],[measurement.G.1]],InputTable[[#This Row],[measurement.S.1]],InputTable[[#This Row],[measurement.C.1]])</f>
        <v>2317.8417062365502</v>
      </c>
      <c r="CX9" s="32">
        <f>SUM(InputTable[[#This Row],[measurement.E.2]],InputTable[[#This Row],[measurement.G.2]],InputTable[[#This Row],[measurement.S.2]],InputTable[[#This Row],[measurement.C.2]])</f>
        <v>2018.435747096767</v>
      </c>
      <c r="CY9" s="32">
        <f>SUM(InputTable[[#This Row],[measurement.E.3]],InputTable[[#This Row],[measurement.G.3]],InputTable[[#This Row],[measurement.S.3]],InputTable[[#This Row],[measurement.C.3]])</f>
        <v>2246.3135871942591</v>
      </c>
      <c r="CZ9" s="32">
        <f>SUM(InputTable[[#This Row],[measurement.E.4]],InputTable[[#This Row],[measurement.G.4]],InputTable[[#This Row],[measurement.S.4]],InputTable[[#This Row],[measurement.C.4]])</f>
        <v>2223.0582090557359</v>
      </c>
      <c r="DA9" s="32">
        <f>SUM(InputTable[[#This Row],[measurement.E.5]],InputTable[[#This Row],[measurement.G.5]],InputTable[[#This Row],[measurement.S.5]],InputTable[[#This Row],[measurement.C.5]])</f>
        <v>2442.2333770833252</v>
      </c>
      <c r="DB9" s="32">
        <f>SUM(InputTable[[#This Row],[measurement.E.6]],InputTable[[#This Row],[measurement.G.6]],InputTable[[#This Row],[measurement.S.6]],InputTable[[#This Row],[measurement.C.6]])</f>
        <v>2448.5575833333519</v>
      </c>
      <c r="DC9" s="32">
        <f>SUM(InputTable[[#This Row],[measurement.E.7]],InputTable[[#This Row],[measurement.G.7]],InputTable[[#This Row],[measurement.S.7]],InputTable[[#This Row],[measurement.C.7]])</f>
        <v>2561.06413958334</v>
      </c>
      <c r="DD9" s="32">
        <f>SUM(InputTable[[#This Row],[measurement.E.8]],InputTable[[#This Row],[measurement.G.8]],InputTable[[#This Row],[measurement.S.8]],InputTable[[#This Row],[measurement.C.8]])</f>
        <v>2773.5054937500231</v>
      </c>
      <c r="DE9" s="32">
        <f>SUM(InputTable[[#This Row],[measurement.E.9]],InputTable[[#This Row],[measurement.G.9]],InputTable[[#This Row],[measurement.S.9]],InputTable[[#This Row],[measurement.C.9]])</f>
        <v>2577.4934666666759</v>
      </c>
      <c r="DF9" s="32">
        <f>SUM(InputTable[[#This Row],[measurement.E.10]],InputTable[[#This Row],[measurement.G.10]],InputTable[[#This Row],[measurement.S.10]],InputTable[[#This Row],[measurement.C.10]])</f>
        <v>2598.47885554814</v>
      </c>
      <c r="DG9" s="32">
        <f>SUM(InputTable[[#This Row],[measurement.E.11]],InputTable[[#This Row],[measurement.G.11]],InputTable[[#This Row],[measurement.S.11]],InputTable[[#This Row],[measurement.C.11]])</f>
        <v>2441.658934236842</v>
      </c>
      <c r="DH9" s="32">
        <f>SUM(InputTable[[#This Row],[measurement.E.12]],InputTable[[#This Row],[measurement.G.12]],InputTable[[#This Row],[measurement.S.12]],InputTable[[#This Row],[measurement.C.12]])</f>
        <v>2399.4850935483901</v>
      </c>
    </row>
    <row r="10" spans="1:112" s="32" customFormat="1" ht="30" customHeight="1" x14ac:dyDescent="0.3">
      <c r="A10" s="2" t="s">
        <v>186</v>
      </c>
      <c r="B10" s="6">
        <v>137601</v>
      </c>
      <c r="C10" s="3" t="s">
        <v>187</v>
      </c>
      <c r="D10" s="3" t="s">
        <v>172</v>
      </c>
      <c r="E10" s="4" t="s">
        <v>173</v>
      </c>
      <c r="F10" s="4" t="s">
        <v>174</v>
      </c>
      <c r="G10" s="5"/>
      <c r="H10" s="4" t="s">
        <v>175</v>
      </c>
      <c r="I10" s="49"/>
      <c r="J10" s="49"/>
      <c r="K10" s="48" t="s">
        <v>176</v>
      </c>
      <c r="L10" s="10"/>
      <c r="M10" s="47" t="s">
        <v>188</v>
      </c>
      <c r="N10" s="3" t="s">
        <v>15</v>
      </c>
      <c r="O10" s="4" t="s">
        <v>16</v>
      </c>
      <c r="P10" s="3">
        <v>2023</v>
      </c>
      <c r="Q10" s="59">
        <f>IF(COUNTBLANK(InputTable[[#This Row],[measurement.E.1]:[measurement.C.12]])=4*12,"",SUM(InputTable[[#This Row],[measurement.eui.E]:[measurement.eui.C]]))</f>
        <v>105.60548314376672</v>
      </c>
      <c r="R10" s="33" cm="1">
        <f t="array" ref="R1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32.430249268732389</v>
      </c>
      <c r="S10" s="33" cm="1">
        <f t="array" ref="S1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0" s="33" cm="1">
        <f t="array" ref="T1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52.087683586150874</v>
      </c>
      <c r="U10" s="33" cm="1">
        <f t="array" ref="U1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21.087550288883442</v>
      </c>
      <c r="V10" s="6">
        <v>103699.5689655172</v>
      </c>
      <c r="W10" s="9">
        <v>96736.500000000713</v>
      </c>
      <c r="X10" s="9">
        <v>105933.4121365351</v>
      </c>
      <c r="Y10" s="9">
        <v>107979.587863465</v>
      </c>
      <c r="Z10" s="9">
        <v>116106.9999999991</v>
      </c>
      <c r="AA10" s="9">
        <v>120264.4634146348</v>
      </c>
      <c r="AB10" s="9">
        <v>120514.53658536611</v>
      </c>
      <c r="AC10" s="9">
        <v>114224.00000000049</v>
      </c>
      <c r="AD10" s="9">
        <v>114124.9629629616</v>
      </c>
      <c r="AE10" s="9">
        <v>112149.0370370359</v>
      </c>
      <c r="AF10" s="9">
        <v>99933.839218157795</v>
      </c>
      <c r="AG10" s="9">
        <v>96143.626299082156</v>
      </c>
      <c r="AH10" s="6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6">
        <v>9803.2085129310635</v>
      </c>
      <c r="AU10" s="9">
        <v>8322.10937500008</v>
      </c>
      <c r="AV10" s="9">
        <v>9215.7302860304535</v>
      </c>
      <c r="AW10" s="9">
        <v>4037.863463969592</v>
      </c>
      <c r="AX10" s="9">
        <v>6455.70312499998</v>
      </c>
      <c r="AY10" s="9">
        <v>6693.064024390259</v>
      </c>
      <c r="AZ10" s="9">
        <v>6492.639100609761</v>
      </c>
      <c r="BA10" s="9">
        <v>2586.424107142861</v>
      </c>
      <c r="BB10" s="9">
        <v>1156.990244708998</v>
      </c>
      <c r="BC10" s="9">
        <v>3717.913773148111</v>
      </c>
      <c r="BD10" s="9">
        <v>5359.9798037515047</v>
      </c>
      <c r="BE10" s="9">
        <v>7831.5476746967952</v>
      </c>
      <c r="BF10" s="6">
        <v>1689.660544854539</v>
      </c>
      <c r="BG10" s="9">
        <v>6833.0599999998976</v>
      </c>
      <c r="BH10" s="9">
        <v>1019.999100426662</v>
      </c>
      <c r="BI10" s="9">
        <v>4961.0442003545104</v>
      </c>
      <c r="BJ10" s="9">
        <v>5698.0142578125933</v>
      </c>
      <c r="BK10" s="9">
        <v>22904.952667683301</v>
      </c>
      <c r="BL10" s="9">
        <v>51267.2105354425</v>
      </c>
      <c r="BM10" s="9">
        <v>58428.856948659923</v>
      </c>
      <c r="BN10" s="9">
        <v>41662.842348214392</v>
      </c>
      <c r="BO10" s="9">
        <v>37645.466777344052</v>
      </c>
      <c r="BP10" s="9">
        <v>6787.2498037269952</v>
      </c>
      <c r="BQ10" s="9">
        <v>2907.310090534861</v>
      </c>
      <c r="BR10" s="7"/>
      <c r="BS10" s="8"/>
      <c r="BT10" s="8"/>
      <c r="BU10" s="8"/>
      <c r="BX10" s="32" cm="1">
        <f t="array" ref="BX10">IFERROR(_xlfn.QUARTILE.INC(_xlfn._xlws.FILTER($Q$5:$Q$64,$C$5:$C$64=$C10,""),3),"")</f>
        <v>103.3358258738342</v>
      </c>
      <c r="BY10" s="32" cm="1">
        <f t="array" ref="BY10">IFERROR(_xlfn.QUARTILE.INC(_xlfn._xlws.FILTER($Q$5:$Q$64,$C$5:$C$64=$C10,""),2),"")</f>
        <v>63.763251345785051</v>
      </c>
      <c r="BZ10" s="32" cm="1">
        <f t="array" ref="BZ10">IFERROR(_xlfn.QUARTILE.INC(_xlfn._xlws.FILTER($Q$5:$Q$64,$C$5:$C$64=$C10,""),1),"")</f>
        <v>43.604372326614211</v>
      </c>
      <c r="CA10" s="32">
        <f t="shared" si="0"/>
        <v>59.731453547219985</v>
      </c>
      <c r="CB10" s="32">
        <f t="shared" si="1"/>
        <v>192.93300619466419</v>
      </c>
      <c r="CC10" s="32">
        <f t="shared" si="2"/>
        <v>-45.992807994215767</v>
      </c>
      <c r="CD10" s="32">
        <f t="shared" si="3"/>
        <v>0</v>
      </c>
      <c r="CE10" s="32">
        <f t="shared" si="4"/>
        <v>0</v>
      </c>
      <c r="CF10" s="32">
        <f t="shared" si="5"/>
        <v>0.5</v>
      </c>
      <c r="CG10" s="32">
        <f t="shared" si="6"/>
        <v>0</v>
      </c>
      <c r="CO1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0" s="32">
        <f>IF(AND(InputTable[[#This Row],[metadata.primary_cooling_system]]="District Cooling",InputTable[[#This Row],[measurement.eui.C]]&gt;=InputTable[[#This Row],[measurement.eui.total]]*0.6),1,0)*$CQ$2</f>
        <v>0</v>
      </c>
      <c r="CR10" s="32">
        <f>IF(AND(InputTable[[#This Row],[metadata.primary_cooling_system]]="District Cooling",InputTable[[#This Row],[measurement.eui.C]]&lt;=InputTable[[#This Row],[measurement.eui.total]]*0.1),1,0)*$CR$2</f>
        <v>0</v>
      </c>
      <c r="CS10" s="32">
        <f t="shared" si="7"/>
        <v>0.5</v>
      </c>
      <c r="CU10" s="32">
        <f t="shared" si="8"/>
        <v>31140.597838969563</v>
      </c>
      <c r="CV10" s="32">
        <f t="shared" si="9"/>
        <v>40532.575652409905</v>
      </c>
      <c r="CW10" s="32">
        <f>SUM(InputTable[[#This Row],[measurement.E.1]],InputTable[[#This Row],[measurement.G.1]],InputTable[[#This Row],[measurement.S.1]],InputTable[[#This Row],[measurement.C.1]])</f>
        <v>115192.43802330281</v>
      </c>
      <c r="CX10" s="32">
        <f>SUM(InputTable[[#This Row],[measurement.E.2]],InputTable[[#This Row],[measurement.G.2]],InputTable[[#This Row],[measurement.S.2]],InputTable[[#This Row],[measurement.C.2]])</f>
        <v>111891.66937500068</v>
      </c>
      <c r="CY10" s="32">
        <f>SUM(InputTable[[#This Row],[measurement.E.3]],InputTable[[#This Row],[measurement.G.3]],InputTable[[#This Row],[measurement.S.3]],InputTable[[#This Row],[measurement.C.3]])</f>
        <v>116169.14152299221</v>
      </c>
      <c r="CZ10" s="32">
        <f>SUM(InputTable[[#This Row],[measurement.E.4]],InputTable[[#This Row],[measurement.G.4]],InputTable[[#This Row],[measurement.S.4]],InputTable[[#This Row],[measurement.C.4]])</f>
        <v>116978.49552778911</v>
      </c>
      <c r="DA10" s="32">
        <f>SUM(InputTable[[#This Row],[measurement.E.5]],InputTable[[#This Row],[measurement.G.5]],InputTable[[#This Row],[measurement.S.5]],InputTable[[#This Row],[measurement.C.5]])</f>
        <v>128260.71738281168</v>
      </c>
      <c r="DB10" s="32">
        <f>SUM(InputTable[[#This Row],[measurement.E.6]],InputTable[[#This Row],[measurement.G.6]],InputTable[[#This Row],[measurement.S.6]],InputTable[[#This Row],[measurement.C.6]])</f>
        <v>149862.48010670836</v>
      </c>
      <c r="DC10" s="32">
        <f>SUM(InputTable[[#This Row],[measurement.E.7]],InputTable[[#This Row],[measurement.G.7]],InputTable[[#This Row],[measurement.S.7]],InputTable[[#This Row],[measurement.C.7]])</f>
        <v>178274.38622141836</v>
      </c>
      <c r="DD10" s="32">
        <f>SUM(InputTable[[#This Row],[measurement.E.8]],InputTable[[#This Row],[measurement.G.8]],InputTable[[#This Row],[measurement.S.8]],InputTable[[#This Row],[measurement.C.8]])</f>
        <v>175239.28105580327</v>
      </c>
      <c r="DE10" s="32">
        <f>SUM(InputTable[[#This Row],[measurement.E.9]],InputTable[[#This Row],[measurement.G.9]],InputTable[[#This Row],[measurement.S.9]],InputTable[[#This Row],[measurement.C.9]])</f>
        <v>156944.79555588498</v>
      </c>
      <c r="DF10" s="32">
        <f>SUM(InputTable[[#This Row],[measurement.E.10]],InputTable[[#This Row],[measurement.G.10]],InputTable[[#This Row],[measurement.S.10]],InputTable[[#This Row],[measurement.C.10]])</f>
        <v>153512.41758752806</v>
      </c>
      <c r="DG10" s="32">
        <f>SUM(InputTable[[#This Row],[measurement.E.11]],InputTable[[#This Row],[measurement.G.11]],InputTable[[#This Row],[measurement.S.11]],InputTable[[#This Row],[measurement.C.11]])</f>
        <v>112081.06882563629</v>
      </c>
      <c r="DH10" s="32">
        <f>SUM(InputTable[[#This Row],[measurement.E.12]],InputTable[[#This Row],[measurement.G.12]],InputTable[[#This Row],[measurement.S.12]],InputTable[[#This Row],[measurement.C.12]])</f>
        <v>106882.4840643138</v>
      </c>
    </row>
    <row r="11" spans="1:112" s="32" customFormat="1" ht="30" customHeight="1" x14ac:dyDescent="0.3">
      <c r="A11" s="2" t="s">
        <v>189</v>
      </c>
      <c r="B11" s="6">
        <v>960662</v>
      </c>
      <c r="C11" s="3" t="s">
        <v>190</v>
      </c>
      <c r="D11" s="3" t="s">
        <v>172</v>
      </c>
      <c r="E11" s="4" t="s">
        <v>173</v>
      </c>
      <c r="F11" s="4" t="s">
        <v>174</v>
      </c>
      <c r="G11" s="5"/>
      <c r="H11" s="4" t="s">
        <v>175</v>
      </c>
      <c r="I11" s="48"/>
      <c r="J11" s="48"/>
      <c r="K11" s="48" t="s">
        <v>191</v>
      </c>
      <c r="L11" s="10"/>
      <c r="M11" s="47" t="s">
        <v>192</v>
      </c>
      <c r="N11" s="3" t="s">
        <v>15</v>
      </c>
      <c r="O11" s="4" t="s">
        <v>16</v>
      </c>
      <c r="P11" s="3">
        <v>2023</v>
      </c>
      <c r="Q11" s="59">
        <f>IF(COUNTBLANK(InputTable[[#This Row],[measurement.E.1]:[measurement.C.12]])=4*12,"",SUM(InputTable[[#This Row],[measurement.eui.E]:[measurement.eui.C]]))</f>
        <v>50.082238583939443</v>
      </c>
      <c r="R11" s="33" cm="1">
        <f t="array" ref="R1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15.798871489165146</v>
      </c>
      <c r="S11" s="33" cm="1">
        <f t="array" ref="S1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1" s="33" cm="1">
        <f t="array" ref="T1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23.889047344435436</v>
      </c>
      <c r="U11" s="33" cm="1">
        <f t="array" ref="U1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10.394319750338862</v>
      </c>
      <c r="V11" s="6">
        <v>365132.59097411839</v>
      </c>
      <c r="W11" s="9">
        <v>356083.4512205231</v>
      </c>
      <c r="X11" s="9">
        <v>377928.59291121719</v>
      </c>
      <c r="Y11" s="9">
        <v>409551.78817630891</v>
      </c>
      <c r="Z11" s="9">
        <v>402231.06130649807</v>
      </c>
      <c r="AA11" s="9">
        <v>218147.31795103959</v>
      </c>
      <c r="AB11" s="9">
        <v>319954.18631479627</v>
      </c>
      <c r="AC11" s="9">
        <v>358366.52878039167</v>
      </c>
      <c r="AD11" s="9">
        <v>416098.25288503151</v>
      </c>
      <c r="AE11" s="9">
        <v>439122.00457373651</v>
      </c>
      <c r="AF11" s="9">
        <v>403710.46241515892</v>
      </c>
      <c r="AG11" s="9">
        <v>381723.48074565362</v>
      </c>
      <c r="AH11" s="6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6">
        <v>37562.999999999884</v>
      </c>
      <c r="AU11" s="9">
        <v>35962.999999999673</v>
      </c>
      <c r="AV11" s="9">
        <v>28489.000000000531</v>
      </c>
      <c r="AW11" s="9">
        <v>30032.000000000269</v>
      </c>
      <c r="AX11" s="9">
        <v>1557.0000000000109</v>
      </c>
      <c r="AY11" s="9">
        <v>1154.999999999997</v>
      </c>
      <c r="AZ11" s="9">
        <v>1189.0000000000141</v>
      </c>
      <c r="BA11" s="9">
        <v>1203.999999999992</v>
      </c>
      <c r="BB11" s="9">
        <v>13996.00000000026</v>
      </c>
      <c r="BC11" s="9">
        <v>21030.999999999771</v>
      </c>
      <c r="BD11" s="9">
        <v>24095.00000000028</v>
      </c>
      <c r="BE11" s="9">
        <v>33218.999999999643</v>
      </c>
      <c r="BF11" s="6">
        <v>26803.00000000044</v>
      </c>
      <c r="BG11" s="9">
        <v>39259.000000000342</v>
      </c>
      <c r="BH11" s="9">
        <v>57813.00000000056</v>
      </c>
      <c r="BI11" s="9">
        <v>53645.00000000048</v>
      </c>
      <c r="BJ11" s="9">
        <v>84490.000000000407</v>
      </c>
      <c r="BK11" s="9">
        <v>91714.00000000163</v>
      </c>
      <c r="BL11" s="9">
        <v>121751.9999999991</v>
      </c>
      <c r="BM11" s="9">
        <v>112109.0000000016</v>
      </c>
      <c r="BN11" s="9">
        <v>88371.999999998749</v>
      </c>
      <c r="BO11" s="9">
        <v>77880.999999999709</v>
      </c>
      <c r="BP11" s="9">
        <v>43204.999999999724</v>
      </c>
      <c r="BQ11" s="9">
        <v>35075.999999999869</v>
      </c>
      <c r="BR11" s="7"/>
      <c r="BS11" s="8"/>
      <c r="BT11" s="8"/>
      <c r="BU11" s="8"/>
      <c r="BX11" s="32" cm="1">
        <f t="array" ref="BX11">IFERROR(_xlfn.QUARTILE.INC(_xlfn._xlws.FILTER($Q$5:$Q$64,$C$5:$C$64=$C11,""),3),"")</f>
        <v>57.783535949070853</v>
      </c>
      <c r="BY11" s="32" cm="1">
        <f t="array" ref="BY11">IFERROR(_xlfn.QUARTILE.INC(_xlfn._xlws.FILTER($Q$5:$Q$64,$C$5:$C$64=$C11,""),2),"")</f>
        <v>50.214307152072422</v>
      </c>
      <c r="BZ11" s="32" cm="1">
        <f t="array" ref="BZ11">IFERROR(_xlfn.QUARTILE.INC(_xlfn._xlws.FILTER($Q$5:$Q$64,$C$5:$C$64=$C11,""),1),"")</f>
        <v>48.922252420624055</v>
      </c>
      <c r="CA11" s="32">
        <f t="shared" si="0"/>
        <v>8.8612835284467977</v>
      </c>
      <c r="CB11" s="32">
        <f t="shared" si="1"/>
        <v>71.075461241741053</v>
      </c>
      <c r="CC11" s="32">
        <f t="shared" si="2"/>
        <v>35.630327127953862</v>
      </c>
      <c r="CD11" s="32">
        <f t="shared" si="3"/>
        <v>0</v>
      </c>
      <c r="CE11" s="32">
        <f t="shared" si="4"/>
        <v>0</v>
      </c>
      <c r="CF11" s="32">
        <f t="shared" si="5"/>
        <v>0</v>
      </c>
      <c r="CG11" s="32">
        <f t="shared" si="6"/>
        <v>0</v>
      </c>
      <c r="CO1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1" s="32">
        <f>IF(AND(InputTable[[#This Row],[metadata.primary_cooling_system]]="District Cooling",InputTable[[#This Row],[measurement.eui.C]]&gt;=InputTable[[#This Row],[measurement.eui.total]]*0.6),1,0)*$CQ$2</f>
        <v>0</v>
      </c>
      <c r="CR11" s="32">
        <f>IF(AND(InputTable[[#This Row],[metadata.primary_cooling_system]]="District Cooling",InputTable[[#This Row],[measurement.eui.C]]&lt;=InputTable[[#This Row],[measurement.eui.total]]*0.1),1,0)*$CR$2</f>
        <v>0</v>
      </c>
      <c r="CS11" s="32">
        <f t="shared" si="7"/>
        <v>0</v>
      </c>
      <c r="CU11" s="32">
        <f t="shared" si="8"/>
        <v>70164.00000000032</v>
      </c>
      <c r="CV11" s="32">
        <f t="shared" si="9"/>
        <v>159329</v>
      </c>
      <c r="CW11" s="32">
        <f>SUM(InputTable[[#This Row],[measurement.E.1]],InputTable[[#This Row],[measurement.G.1]],InputTable[[#This Row],[measurement.S.1]],InputTable[[#This Row],[measurement.C.1]])</f>
        <v>429498.59097411874</v>
      </c>
      <c r="CX11" s="32">
        <f>SUM(InputTable[[#This Row],[measurement.E.2]],InputTable[[#This Row],[measurement.G.2]],InputTable[[#This Row],[measurement.S.2]],InputTable[[#This Row],[measurement.C.2]])</f>
        <v>431305.4512205231</v>
      </c>
      <c r="CY11" s="32">
        <f>SUM(InputTable[[#This Row],[measurement.E.3]],InputTable[[#This Row],[measurement.G.3]],InputTable[[#This Row],[measurement.S.3]],InputTable[[#This Row],[measurement.C.3]])</f>
        <v>464230.59291121829</v>
      </c>
      <c r="CZ11" s="32">
        <f>SUM(InputTable[[#This Row],[measurement.E.4]],InputTable[[#This Row],[measurement.G.4]],InputTable[[#This Row],[measurement.S.4]],InputTable[[#This Row],[measurement.C.4]])</f>
        <v>493228.78817630967</v>
      </c>
      <c r="DA11" s="32">
        <f>SUM(InputTable[[#This Row],[measurement.E.5]],InputTable[[#This Row],[measurement.G.5]],InputTable[[#This Row],[measurement.S.5]],InputTable[[#This Row],[measurement.C.5]])</f>
        <v>488278.06130649848</v>
      </c>
      <c r="DB11" s="32">
        <f>SUM(InputTable[[#This Row],[measurement.E.6]],InputTable[[#This Row],[measurement.G.6]],InputTable[[#This Row],[measurement.S.6]],InputTable[[#This Row],[measurement.C.6]])</f>
        <v>311016.31795104122</v>
      </c>
      <c r="DC11" s="32">
        <f>SUM(InputTable[[#This Row],[measurement.E.7]],InputTable[[#This Row],[measurement.G.7]],InputTable[[#This Row],[measurement.S.7]],InputTable[[#This Row],[measurement.C.7]])</f>
        <v>442895.1863147954</v>
      </c>
      <c r="DD11" s="32">
        <f>SUM(InputTable[[#This Row],[measurement.E.8]],InputTable[[#This Row],[measurement.G.8]],InputTable[[#This Row],[measurement.S.8]],InputTable[[#This Row],[measurement.C.8]])</f>
        <v>471679.5287803933</v>
      </c>
      <c r="DE11" s="32">
        <f>SUM(InputTable[[#This Row],[measurement.E.9]],InputTable[[#This Row],[measurement.G.9]],InputTable[[#This Row],[measurement.S.9]],InputTable[[#This Row],[measurement.C.9]])</f>
        <v>518466.25288503047</v>
      </c>
      <c r="DF11" s="32">
        <f>SUM(InputTable[[#This Row],[measurement.E.10]],InputTable[[#This Row],[measurement.G.10]],InputTable[[#This Row],[measurement.S.10]],InputTable[[#This Row],[measurement.C.10]])</f>
        <v>538034.00457373599</v>
      </c>
      <c r="DG11" s="32">
        <f>SUM(InputTable[[#This Row],[measurement.E.11]],InputTable[[#This Row],[measurement.G.11]],InputTable[[#This Row],[measurement.S.11]],InputTable[[#This Row],[measurement.C.11]])</f>
        <v>471010.46241515892</v>
      </c>
      <c r="DH11" s="32">
        <f>SUM(InputTable[[#This Row],[measurement.E.12]],InputTable[[#This Row],[measurement.G.12]],InputTable[[#This Row],[measurement.S.12]],InputTable[[#This Row],[measurement.C.12]])</f>
        <v>450018.48074565316</v>
      </c>
    </row>
    <row r="12" spans="1:112" s="32" customFormat="1" ht="30" customHeight="1" x14ac:dyDescent="0.3">
      <c r="A12" s="2" t="s">
        <v>193</v>
      </c>
      <c r="B12" s="6">
        <v>186318</v>
      </c>
      <c r="C12" s="3" t="s">
        <v>190</v>
      </c>
      <c r="D12" s="3" t="s">
        <v>172</v>
      </c>
      <c r="E12" s="4" t="s">
        <v>173</v>
      </c>
      <c r="F12" s="4" t="s">
        <v>174</v>
      </c>
      <c r="G12" s="5"/>
      <c r="H12" s="4" t="s">
        <v>175</v>
      </c>
      <c r="I12" s="48">
        <v>37.334984409999997</v>
      </c>
      <c r="J12" s="48">
        <v>-121.878595</v>
      </c>
      <c r="K12" s="48" t="s">
        <v>191</v>
      </c>
      <c r="L12" s="10"/>
      <c r="M12" s="47"/>
      <c r="N12" s="3" t="s">
        <v>15</v>
      </c>
      <c r="O12" s="4" t="s">
        <v>16</v>
      </c>
      <c r="P12" s="3">
        <v>2023</v>
      </c>
      <c r="Q12" s="59">
        <f>IF(COUNTBLANK(InputTable[[#This Row],[measurement.E.1]:[measurement.C.12]])=4*12,"",SUM(InputTable[[#This Row],[measurement.eui.E]:[measurement.eui.C]]))</f>
        <v>80.771744058464037</v>
      </c>
      <c r="R12" s="33" cm="1">
        <f t="array" ref="R1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20.784761811726643</v>
      </c>
      <c r="S12" s="33" cm="1">
        <f t="array" ref="S1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2" s="33" cm="1">
        <f t="array" ref="T1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44.061055915649305</v>
      </c>
      <c r="U12" s="33" cm="1">
        <f t="array" ref="U1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15.925926331088087</v>
      </c>
      <c r="V12" s="6">
        <v>83762.939393939494</v>
      </c>
      <c r="W12" s="9">
        <v>97841.999999999709</v>
      </c>
      <c r="X12" s="9">
        <v>103142.6776232617</v>
      </c>
      <c r="Y12" s="9">
        <v>106302.32237673691</v>
      </c>
      <c r="Z12" s="9">
        <v>96874.999999999316</v>
      </c>
      <c r="AA12" s="9">
        <v>70182.857142857029</v>
      </c>
      <c r="AB12" s="9">
        <v>75508.142857143335</v>
      </c>
      <c r="AC12" s="9">
        <v>92632.428571428041</v>
      </c>
      <c r="AD12" s="9">
        <v>105804.67857142939</v>
      </c>
      <c r="AE12" s="9">
        <v>112315.8928571415</v>
      </c>
      <c r="AF12" s="9">
        <v>104591.8240857513</v>
      </c>
      <c r="AG12" s="9">
        <v>85979.020741836022</v>
      </c>
      <c r="AH12" s="6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6">
        <v>11923.333333333179</v>
      </c>
      <c r="AU12" s="9">
        <v>12279.99999999986</v>
      </c>
      <c r="AV12" s="9">
        <v>12060.83438685225</v>
      </c>
      <c r="AW12" s="9">
        <v>8269.1656131478285</v>
      </c>
      <c r="AX12" s="9">
        <v>5989.9999999999727</v>
      </c>
      <c r="AY12" s="9">
        <v>3394.285714285742</v>
      </c>
      <c r="AZ12" s="9">
        <v>2435.714285714314</v>
      </c>
      <c r="BA12" s="9">
        <v>1549.9999999999879</v>
      </c>
      <c r="BB12" s="9">
        <v>2985.714285714309</v>
      </c>
      <c r="BC12" s="9">
        <v>4154.2857142856919</v>
      </c>
      <c r="BD12" s="9">
        <v>7619.1424968474612</v>
      </c>
      <c r="BE12" s="9">
        <v>9431.2023307388827</v>
      </c>
      <c r="BF12" s="6">
        <v>3923.685875355035</v>
      </c>
      <c r="BG12" s="9">
        <v>8169.0943359374141</v>
      </c>
      <c r="BH12" s="9">
        <v>9228.111754182848</v>
      </c>
      <c r="BI12" s="9">
        <v>17378.103480192309</v>
      </c>
      <c r="BJ12" s="9">
        <v>17364.958789062501</v>
      </c>
      <c r="BK12" s="9">
        <v>17248.88730468724</v>
      </c>
      <c r="BL12" s="9">
        <v>30211.36904296912</v>
      </c>
      <c r="BM12" s="9">
        <v>46773.133613282029</v>
      </c>
      <c r="BN12" s="9">
        <v>37017.166142578018</v>
      </c>
      <c r="BO12" s="9">
        <v>36016.901416015797</v>
      </c>
      <c r="BP12" s="9">
        <v>15659.32760605471</v>
      </c>
      <c r="BQ12" s="9">
        <v>8283.1558193221917</v>
      </c>
      <c r="BR12" s="7"/>
      <c r="BS12" s="8"/>
      <c r="BT12" s="8"/>
      <c r="BU12" s="8"/>
      <c r="BX12" s="32" cm="1">
        <f t="array" ref="BX12">IFERROR(_xlfn.QUARTILE.INC(_xlfn._xlws.FILTER($Q$5:$Q$64,$C$5:$C$64=$C12,""),3),"")</f>
        <v>57.783535949070853</v>
      </c>
      <c r="BY12" s="32" cm="1">
        <f t="array" ref="BY12">IFERROR(_xlfn.QUARTILE.INC(_xlfn._xlws.FILTER($Q$5:$Q$64,$C$5:$C$64=$C12,""),2),"")</f>
        <v>50.214307152072422</v>
      </c>
      <c r="BZ12" s="32" cm="1">
        <f t="array" ref="BZ12">IFERROR(_xlfn.QUARTILE.INC(_xlfn._xlws.FILTER($Q$5:$Q$64,$C$5:$C$64=$C12,""),1),"")</f>
        <v>48.922252420624055</v>
      </c>
      <c r="CA12" s="32">
        <f t="shared" si="0"/>
        <v>8.8612835284467977</v>
      </c>
      <c r="CB12" s="32">
        <f t="shared" si="1"/>
        <v>71.075461241741053</v>
      </c>
      <c r="CC12" s="32">
        <f t="shared" si="2"/>
        <v>35.630327127953862</v>
      </c>
      <c r="CD12" s="32">
        <f t="shared" si="3"/>
        <v>0.8</v>
      </c>
      <c r="CE12" s="32">
        <f t="shared" si="4"/>
        <v>0</v>
      </c>
      <c r="CF12" s="32">
        <f t="shared" si="5"/>
        <v>0</v>
      </c>
      <c r="CG12" s="32">
        <f t="shared" si="6"/>
        <v>0</v>
      </c>
      <c r="CO1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2" s="32">
        <f>IF(AND(InputTable[[#This Row],[metadata.primary_cooling_system]]="District Cooling",InputTable[[#This Row],[measurement.eui.C]]&gt;=InputTable[[#This Row],[measurement.eui.total]]*0.6),1,0)*$CQ$2</f>
        <v>0</v>
      </c>
      <c r="CR12" s="32">
        <f>IF(AND(InputTable[[#This Row],[metadata.primary_cooling_system]]="District Cooling",InputTable[[#This Row],[measurement.eui.C]]&lt;=InputTable[[#This Row],[measurement.eui.total]]*0.1),1,0)*$CR$2</f>
        <v>0</v>
      </c>
      <c r="CS12" s="32">
        <f t="shared" si="7"/>
        <v>0.8</v>
      </c>
      <c r="CU12" s="32">
        <f t="shared" si="8"/>
        <v>28779.165613147848</v>
      </c>
      <c r="CV12" s="32">
        <f t="shared" si="9"/>
        <v>53314.512547771628</v>
      </c>
      <c r="CW12" s="32">
        <f>SUM(InputTable[[#This Row],[measurement.E.1]],InputTable[[#This Row],[measurement.G.1]],InputTable[[#This Row],[measurement.S.1]],InputTable[[#This Row],[measurement.C.1]])</f>
        <v>99609.95860262771</v>
      </c>
      <c r="CX12" s="32">
        <f>SUM(InputTable[[#This Row],[measurement.E.2]],InputTable[[#This Row],[measurement.G.2]],InputTable[[#This Row],[measurement.S.2]],InputTable[[#This Row],[measurement.C.2]])</f>
        <v>118291.09433593697</v>
      </c>
      <c r="CY12" s="32">
        <f>SUM(InputTable[[#This Row],[measurement.E.3]],InputTable[[#This Row],[measurement.G.3]],InputTable[[#This Row],[measurement.S.3]],InputTable[[#This Row],[measurement.C.3]])</f>
        <v>124431.62376429679</v>
      </c>
      <c r="CZ12" s="32">
        <f>SUM(InputTable[[#This Row],[measurement.E.4]],InputTable[[#This Row],[measurement.G.4]],InputTable[[#This Row],[measurement.S.4]],InputTable[[#This Row],[measurement.C.4]])</f>
        <v>131949.59147007705</v>
      </c>
      <c r="DA12" s="32">
        <f>SUM(InputTable[[#This Row],[measurement.E.5]],InputTable[[#This Row],[measurement.G.5]],InputTable[[#This Row],[measurement.S.5]],InputTable[[#This Row],[measurement.C.5]])</f>
        <v>120229.95878906178</v>
      </c>
      <c r="DB12" s="32">
        <f>SUM(InputTable[[#This Row],[measurement.E.6]],InputTable[[#This Row],[measurement.G.6]],InputTable[[#This Row],[measurement.S.6]],InputTable[[#This Row],[measurement.C.6]])</f>
        <v>90826.030161830015</v>
      </c>
      <c r="DC12" s="32">
        <f>SUM(InputTable[[#This Row],[measurement.E.7]],InputTable[[#This Row],[measurement.G.7]],InputTable[[#This Row],[measurement.S.7]],InputTable[[#This Row],[measurement.C.7]])</f>
        <v>108155.22618582677</v>
      </c>
      <c r="DD12" s="32">
        <f>SUM(InputTable[[#This Row],[measurement.E.8]],InputTable[[#This Row],[measurement.G.8]],InputTable[[#This Row],[measurement.S.8]],InputTable[[#This Row],[measurement.C.8]])</f>
        <v>140955.56218471006</v>
      </c>
      <c r="DE12" s="32">
        <f>SUM(InputTable[[#This Row],[measurement.E.9]],InputTable[[#This Row],[measurement.G.9]],InputTable[[#This Row],[measurement.S.9]],InputTable[[#This Row],[measurement.C.9]])</f>
        <v>145807.55899972172</v>
      </c>
      <c r="DF12" s="32">
        <f>SUM(InputTable[[#This Row],[measurement.E.10]],InputTable[[#This Row],[measurement.G.10]],InputTable[[#This Row],[measurement.S.10]],InputTable[[#This Row],[measurement.C.10]])</f>
        <v>152487.07998744299</v>
      </c>
      <c r="DG12" s="32">
        <f>SUM(InputTable[[#This Row],[measurement.E.11]],InputTable[[#This Row],[measurement.G.11]],InputTable[[#This Row],[measurement.S.11]],InputTable[[#This Row],[measurement.C.11]])</f>
        <v>127870.29418865347</v>
      </c>
      <c r="DH12" s="32">
        <f>SUM(InputTable[[#This Row],[measurement.E.12]],InputTable[[#This Row],[measurement.G.12]],InputTable[[#This Row],[measurement.S.12]],InputTable[[#This Row],[measurement.C.12]])</f>
        <v>103693.3788918971</v>
      </c>
    </row>
    <row r="13" spans="1:112" s="32" customFormat="1" ht="30" customHeight="1" x14ac:dyDescent="0.3">
      <c r="A13" s="2" t="s">
        <v>194</v>
      </c>
      <c r="B13" s="6">
        <v>33407</v>
      </c>
      <c r="C13" s="3" t="s">
        <v>187</v>
      </c>
      <c r="D13" s="3" t="s">
        <v>172</v>
      </c>
      <c r="E13" s="4" t="s">
        <v>173</v>
      </c>
      <c r="F13" s="4" t="s">
        <v>174</v>
      </c>
      <c r="G13" s="5"/>
      <c r="H13" s="4" t="s">
        <v>175</v>
      </c>
      <c r="I13" s="48">
        <v>37.335653180000001</v>
      </c>
      <c r="J13" s="48">
        <v>-121.8818794</v>
      </c>
      <c r="K13" s="48" t="s">
        <v>176</v>
      </c>
      <c r="L13" s="10"/>
      <c r="M13" s="47" t="s">
        <v>195</v>
      </c>
      <c r="N13" s="3" t="s">
        <v>15</v>
      </c>
      <c r="O13" s="4" t="s">
        <v>16</v>
      </c>
      <c r="P13" s="3">
        <v>2023</v>
      </c>
      <c r="Q13" s="59">
        <f>IF(COUNTBLANK(InputTable[[#This Row],[measurement.E.1]:[measurement.C.12]])=4*12,"",SUM(InputTable[[#This Row],[measurement.eui.E]:[measurement.eui.C]]))</f>
        <v>103.18144337261904</v>
      </c>
      <c r="R13" s="33" cm="1">
        <f t="array" ref="R1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31.009114358002513</v>
      </c>
      <c r="S13" s="33" cm="1">
        <f t="array" ref="S1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0.80855948270146916</v>
      </c>
      <c r="T13" s="33" cm="1">
        <f t="array" ref="T1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29.644690648537434</v>
      </c>
      <c r="U13" s="33" cm="1">
        <f t="array" ref="U1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41.719078883377627</v>
      </c>
      <c r="V13" s="6">
        <v>22429.43103448267</v>
      </c>
      <c r="W13" s="9">
        <v>25594.499999999902</v>
      </c>
      <c r="X13" s="9">
        <v>27439.337547408151</v>
      </c>
      <c r="Y13" s="9">
        <v>27463.662452591539</v>
      </c>
      <c r="Z13" s="9">
        <v>26857.49999999984</v>
      </c>
      <c r="AA13" s="9">
        <v>23764.02439024351</v>
      </c>
      <c r="AB13" s="9">
        <v>24717.47560975633</v>
      </c>
      <c r="AC13" s="9">
        <v>24128.185714285792</v>
      </c>
      <c r="AD13" s="9">
        <v>25513.277248676979</v>
      </c>
      <c r="AE13" s="9">
        <v>26114.537037036931</v>
      </c>
      <c r="AF13" s="9">
        <v>25032.247162673419</v>
      </c>
      <c r="AG13" s="9">
        <v>24544.44249249922</v>
      </c>
      <c r="AH13" s="6">
        <v>12.706171631813049</v>
      </c>
      <c r="AI13" s="9">
        <v>21.129968047142029</v>
      </c>
      <c r="AJ13" s="9">
        <v>24.075812339782711</v>
      </c>
      <c r="AK13" s="9">
        <v>27.106162756681439</v>
      </c>
      <c r="AL13" s="9">
        <v>23.008007764816281</v>
      </c>
      <c r="AM13" s="9">
        <v>19.81864678859711</v>
      </c>
      <c r="AN13" s="9">
        <v>20.960620403289791</v>
      </c>
      <c r="AO13" s="9">
        <v>21.05898380279541</v>
      </c>
      <c r="AP13" s="9">
        <v>27.345758646726608</v>
      </c>
      <c r="AQ13" s="9">
        <v>27.011189371347431</v>
      </c>
      <c r="AR13" s="9">
        <v>24.106285035610199</v>
      </c>
      <c r="AS13" s="9">
        <v>21.787859797477719</v>
      </c>
      <c r="AT13" s="6">
        <v>797.56835937499443</v>
      </c>
      <c r="AU13" s="9">
        <v>875.56640625001148</v>
      </c>
      <c r="AV13" s="9">
        <v>1054.466248716034</v>
      </c>
      <c r="AW13" s="9">
        <v>849.75250128397965</v>
      </c>
      <c r="AX13" s="9">
        <v>877.19726562501046</v>
      </c>
      <c r="AY13" s="9">
        <v>795.96751143293363</v>
      </c>
      <c r="AZ13" s="9">
        <v>644.93092606707251</v>
      </c>
      <c r="BA13" s="9">
        <v>582.27064732141775</v>
      </c>
      <c r="BB13" s="9">
        <v>743.24367559523102</v>
      </c>
      <c r="BC13" s="9">
        <v>743.38216145833826</v>
      </c>
      <c r="BD13" s="9">
        <v>982.44809317857926</v>
      </c>
      <c r="BE13" s="9">
        <v>956.60800865329759</v>
      </c>
      <c r="BF13" s="6">
        <v>1408.6126097791021</v>
      </c>
      <c r="BG13" s="9">
        <v>781.62563476563287</v>
      </c>
      <c r="BH13" s="9">
        <v>843.9605866165183</v>
      </c>
      <c r="BI13" s="9">
        <v>5577.9016692428859</v>
      </c>
      <c r="BJ13" s="9">
        <v>8922.9015332030194</v>
      </c>
      <c r="BK13" s="9">
        <v>14833.271927400931</v>
      </c>
      <c r="BL13" s="9">
        <v>16982.34992806779</v>
      </c>
      <c r="BM13" s="9">
        <v>16814.63616741039</v>
      </c>
      <c r="BN13" s="9">
        <v>14955.57132029168</v>
      </c>
      <c r="BO13" s="9">
        <v>15094.454309172221</v>
      </c>
      <c r="BP13" s="9">
        <v>9242.110174340427</v>
      </c>
      <c r="BQ13" s="9">
        <v>10685.043161125761</v>
      </c>
      <c r="BR13" s="7"/>
      <c r="BS13" s="8"/>
      <c r="BT13" s="8"/>
      <c r="BU13" s="8"/>
      <c r="BX13" s="32" cm="1">
        <f t="array" ref="BX13">IFERROR(_xlfn.QUARTILE.INC(_xlfn._xlws.FILTER($Q$5:$Q$64,$C$5:$C$64=$C13,""),3),"")</f>
        <v>103.3358258738342</v>
      </c>
      <c r="BY13" s="32" cm="1">
        <f t="array" ref="BY13">IFERROR(_xlfn.QUARTILE.INC(_xlfn._xlws.FILTER($Q$5:$Q$64,$C$5:$C$64=$C13,""),2),"")</f>
        <v>63.763251345785051</v>
      </c>
      <c r="BZ13" s="32" cm="1">
        <f t="array" ref="BZ13">IFERROR(_xlfn.QUARTILE.INC(_xlfn._xlws.FILTER($Q$5:$Q$64,$C$5:$C$64=$C13,""),1),"")</f>
        <v>43.604372326614211</v>
      </c>
      <c r="CA13" s="32">
        <f t="shared" si="0"/>
        <v>59.731453547219985</v>
      </c>
      <c r="CB13" s="32">
        <f t="shared" si="1"/>
        <v>192.93300619466419</v>
      </c>
      <c r="CC13" s="32">
        <f t="shared" si="2"/>
        <v>-45.992807994215767</v>
      </c>
      <c r="CD13" s="32">
        <f t="shared" si="3"/>
        <v>0</v>
      </c>
      <c r="CE13" s="32">
        <f t="shared" si="4"/>
        <v>0</v>
      </c>
      <c r="CF13" s="32">
        <f t="shared" si="5"/>
        <v>0</v>
      </c>
      <c r="CG13" s="32">
        <f t="shared" si="6"/>
        <v>0.8</v>
      </c>
      <c r="CO1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3" s="32">
        <f>IF(AND(InputTable[[#This Row],[metadata.primary_cooling_system]]="District Cooling",InputTable[[#This Row],[measurement.eui.C]]&gt;=InputTable[[#This Row],[measurement.eui.total]]*0.6),1,0)*$CQ$2</f>
        <v>0</v>
      </c>
      <c r="CR13" s="32">
        <f>IF(AND(InputTable[[#This Row],[metadata.primary_cooling_system]]="District Cooling",InputTable[[#This Row],[measurement.eui.C]]&lt;=InputTable[[#This Row],[measurement.eui.total]]*0.1),1,0)*$CR$2</f>
        <v>0</v>
      </c>
      <c r="CS13" s="32">
        <f t="shared" si="7"/>
        <v>0.8</v>
      </c>
      <c r="CU13" s="32">
        <f t="shared" si="8"/>
        <v>5236.7446887839833</v>
      </c>
      <c r="CV13" s="32">
        <f t="shared" si="9"/>
        <v>4666.6571161729171</v>
      </c>
      <c r="CW13" s="32">
        <f>SUM(InputTable[[#This Row],[measurement.E.1]],InputTable[[#This Row],[measurement.G.1]],InputTable[[#This Row],[measurement.S.1]],InputTable[[#This Row],[measurement.C.1]])</f>
        <v>24648.318175268578</v>
      </c>
      <c r="CX13" s="32">
        <f>SUM(InputTable[[#This Row],[measurement.E.2]],InputTable[[#This Row],[measurement.G.2]],InputTable[[#This Row],[measurement.S.2]],InputTable[[#This Row],[measurement.C.2]])</f>
        <v>27272.822009062689</v>
      </c>
      <c r="CY13" s="32">
        <f>SUM(InputTable[[#This Row],[measurement.E.3]],InputTable[[#This Row],[measurement.G.3]],InputTable[[#This Row],[measurement.S.3]],InputTable[[#This Row],[measurement.C.3]])</f>
        <v>29361.840195080487</v>
      </c>
      <c r="CZ13" s="32">
        <f>SUM(InputTable[[#This Row],[measurement.E.4]],InputTable[[#This Row],[measurement.G.4]],InputTable[[#This Row],[measurement.S.4]],InputTable[[#This Row],[measurement.C.4]])</f>
        <v>33918.422785875089</v>
      </c>
      <c r="DA13" s="32">
        <f>SUM(InputTable[[#This Row],[measurement.E.5]],InputTable[[#This Row],[measurement.G.5]],InputTable[[#This Row],[measurement.S.5]],InputTable[[#This Row],[measurement.C.5]])</f>
        <v>36680.606806592688</v>
      </c>
      <c r="DB13" s="32">
        <f>SUM(InputTable[[#This Row],[measurement.E.6]],InputTable[[#This Row],[measurement.G.6]],InputTable[[#This Row],[measurement.S.6]],InputTable[[#This Row],[measurement.C.6]])</f>
        <v>39413.082475865973</v>
      </c>
      <c r="DC13" s="32">
        <f>SUM(InputTable[[#This Row],[measurement.E.7]],InputTable[[#This Row],[measurement.G.7]],InputTable[[#This Row],[measurement.S.7]],InputTable[[#This Row],[measurement.C.7]])</f>
        <v>42365.717084294476</v>
      </c>
      <c r="DD13" s="32">
        <f>SUM(InputTable[[#This Row],[measurement.E.8]],InputTable[[#This Row],[measurement.G.8]],InputTable[[#This Row],[measurement.S.8]],InputTable[[#This Row],[measurement.C.8]])</f>
        <v>41546.15151282039</v>
      </c>
      <c r="DE13" s="32">
        <f>SUM(InputTable[[#This Row],[measurement.E.9]],InputTable[[#This Row],[measurement.G.9]],InputTable[[#This Row],[measurement.S.9]],InputTable[[#This Row],[measurement.C.9]])</f>
        <v>41239.438003210613</v>
      </c>
      <c r="DF13" s="32">
        <f>SUM(InputTable[[#This Row],[measurement.E.10]],InputTable[[#This Row],[measurement.G.10]],InputTable[[#This Row],[measurement.S.10]],InputTable[[#This Row],[measurement.C.10]])</f>
        <v>41979.38469703884</v>
      </c>
      <c r="DG13" s="32">
        <f>SUM(InputTable[[#This Row],[measurement.E.11]],InputTable[[#This Row],[measurement.G.11]],InputTable[[#This Row],[measurement.S.11]],InputTable[[#This Row],[measurement.C.11]])</f>
        <v>35280.911715228038</v>
      </c>
      <c r="DH13" s="32">
        <f>SUM(InputTable[[#This Row],[measurement.E.12]],InputTable[[#This Row],[measurement.G.12]],InputTable[[#This Row],[measurement.S.12]],InputTable[[#This Row],[measurement.C.12]])</f>
        <v>36207.881522075753</v>
      </c>
    </row>
    <row r="14" spans="1:112" s="32" customFormat="1" ht="30" customHeight="1" x14ac:dyDescent="0.3">
      <c r="A14" s="2" t="s">
        <v>196</v>
      </c>
      <c r="B14" s="6">
        <v>12889</v>
      </c>
      <c r="C14" s="3" t="s">
        <v>187</v>
      </c>
      <c r="D14" s="3" t="s">
        <v>197</v>
      </c>
      <c r="E14" s="4" t="s">
        <v>173</v>
      </c>
      <c r="F14" s="4" t="s">
        <v>174</v>
      </c>
      <c r="G14" s="5"/>
      <c r="H14" s="4" t="s">
        <v>175</v>
      </c>
      <c r="I14" s="48">
        <v>37.333066119999998</v>
      </c>
      <c r="J14" s="48">
        <v>-121.8777869</v>
      </c>
      <c r="K14" s="48" t="s">
        <v>176</v>
      </c>
      <c r="L14" s="10"/>
      <c r="M14" s="47"/>
      <c r="N14" s="3" t="s">
        <v>182</v>
      </c>
      <c r="O14" s="4" t="s">
        <v>13</v>
      </c>
      <c r="P14" s="3">
        <v>2023</v>
      </c>
      <c r="Q14" s="59">
        <f>IF(COUNTBLANK(InputTable[[#This Row],[measurement.E.1]:[measurement.C.12]])=4*12,"",SUM(InputTable[[#This Row],[measurement.eui.E]:[measurement.eui.C]]))</f>
        <v>17.255738848396621</v>
      </c>
      <c r="R14" s="33" cm="1">
        <f t="array" ref="R1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10.065205224470184</v>
      </c>
      <c r="S14" s="33" cm="1">
        <f t="array" ref="S1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7.1905336239264388</v>
      </c>
      <c r="T14" s="33" cm="1">
        <f t="array" ref="T1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4" s="33" cm="1">
        <f t="array" ref="U1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4" s="6">
        <v>2434.8879999999958</v>
      </c>
      <c r="W14" s="9">
        <v>2802.191251798537</v>
      </c>
      <c r="X14" s="9">
        <v>2705.1182482014519</v>
      </c>
      <c r="Y14" s="9">
        <v>2485.0769827585918</v>
      </c>
      <c r="Z14" s="9">
        <v>2952.37454949944</v>
      </c>
      <c r="AA14" s="9">
        <v>3149.4409677419412</v>
      </c>
      <c r="AB14" s="9">
        <v>4118.3941379310018</v>
      </c>
      <c r="AC14" s="9">
        <v>5179.6238620689273</v>
      </c>
      <c r="AD14" s="9">
        <v>4087.564500000015</v>
      </c>
      <c r="AE14" s="9">
        <v>3258.6876721664512</v>
      </c>
      <c r="AF14" s="9">
        <v>2455.3438278335698</v>
      </c>
      <c r="AG14" s="9">
        <v>2391.5323636363878</v>
      </c>
      <c r="AH14" s="6">
        <v>124.193939393939</v>
      </c>
      <c r="AI14" s="9">
        <v>156.49544364508179</v>
      </c>
      <c r="AJ14" s="9">
        <v>136.62122302158309</v>
      </c>
      <c r="AK14" s="9">
        <v>82.163793103449052</v>
      </c>
      <c r="AL14" s="9">
        <v>60.48943270300326</v>
      </c>
      <c r="AM14" s="9">
        <v>41.034274193548363</v>
      </c>
      <c r="AN14" s="9">
        <v>18.20043103448263</v>
      </c>
      <c r="AO14" s="9">
        <v>31.062068965517071</v>
      </c>
      <c r="AP14" s="9">
        <v>56.79999999999977</v>
      </c>
      <c r="AQ14" s="9">
        <v>60.4261119081782</v>
      </c>
      <c r="AR14" s="9">
        <v>69.373888091822892</v>
      </c>
      <c r="AS14" s="9">
        <v>89.927272727273646</v>
      </c>
      <c r="AT14" s="6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6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7"/>
      <c r="BS14" s="8"/>
      <c r="BT14" s="8"/>
      <c r="BU14" s="8"/>
      <c r="BX14" s="32" cm="1">
        <f t="array" ref="BX14">IFERROR(_xlfn.QUARTILE.INC(_xlfn._xlws.FILTER($Q$5:$Q$64,$C$5:$C$64=$C14,""),3),"")</f>
        <v>103.3358258738342</v>
      </c>
      <c r="BY14" s="32" cm="1">
        <f t="array" ref="BY14">IFERROR(_xlfn.QUARTILE.INC(_xlfn._xlws.FILTER($Q$5:$Q$64,$C$5:$C$64=$C14,""),2),"")</f>
        <v>63.763251345785051</v>
      </c>
      <c r="BZ14" s="32" cm="1">
        <f t="array" ref="BZ14">IFERROR(_xlfn.QUARTILE.INC(_xlfn._xlws.FILTER($Q$5:$Q$64,$C$5:$C$64=$C14,""),1),"")</f>
        <v>43.604372326614211</v>
      </c>
      <c r="CA14" s="32">
        <f t="shared" si="0"/>
        <v>59.731453547219985</v>
      </c>
      <c r="CB14" s="32">
        <f t="shared" si="1"/>
        <v>192.93300619466419</v>
      </c>
      <c r="CC14" s="32">
        <f t="shared" si="2"/>
        <v>-45.992807994215767</v>
      </c>
      <c r="CD14" s="32">
        <f t="shared" si="3"/>
        <v>0</v>
      </c>
      <c r="CE14" s="32">
        <f t="shared" si="4"/>
        <v>0</v>
      </c>
      <c r="CF14" s="32">
        <f t="shared" si="5"/>
        <v>0.5</v>
      </c>
      <c r="CG14" s="32">
        <f t="shared" si="6"/>
        <v>0</v>
      </c>
      <c r="CO1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4" s="32">
        <f>IF(AND(InputTable[[#This Row],[metadata.primary_cooling_system]]="District Cooling",InputTable[[#This Row],[measurement.eui.C]]&gt;=InputTable[[#This Row],[measurement.eui.total]]*0.6),1,0)*$CQ$2</f>
        <v>0</v>
      </c>
      <c r="CR14" s="32">
        <f>IF(AND(InputTable[[#This Row],[metadata.primary_cooling_system]]="District Cooling",InputTable[[#This Row],[measurement.eui.C]]&lt;=InputTable[[#This Row],[measurement.eui.total]]*0.1),1,0)*$CR$2</f>
        <v>0</v>
      </c>
      <c r="CS14" s="32">
        <f t="shared" si="7"/>
        <v>1.3</v>
      </c>
      <c r="CU14" s="32">
        <f t="shared" si="8"/>
        <v>0</v>
      </c>
      <c r="CV14" s="32">
        <f t="shared" si="9"/>
        <v>0</v>
      </c>
      <c r="CW14" s="32">
        <f>SUM(InputTable[[#This Row],[measurement.E.1]],InputTable[[#This Row],[measurement.G.1]],InputTable[[#This Row],[measurement.S.1]],InputTable[[#This Row],[measurement.C.1]])</f>
        <v>2559.081939393935</v>
      </c>
      <c r="CX14" s="32">
        <f>SUM(InputTable[[#This Row],[measurement.E.2]],InputTable[[#This Row],[measurement.G.2]],InputTable[[#This Row],[measurement.S.2]],InputTable[[#This Row],[measurement.C.2]])</f>
        <v>2958.6866954436186</v>
      </c>
      <c r="CY14" s="32">
        <f>SUM(InputTable[[#This Row],[measurement.E.3]],InputTable[[#This Row],[measurement.G.3]],InputTable[[#This Row],[measurement.S.3]],InputTable[[#This Row],[measurement.C.3]])</f>
        <v>2841.7394712230353</v>
      </c>
      <c r="CZ14" s="32">
        <f>SUM(InputTable[[#This Row],[measurement.E.4]],InputTable[[#This Row],[measurement.G.4]],InputTable[[#This Row],[measurement.S.4]],InputTable[[#This Row],[measurement.C.4]])</f>
        <v>2567.2407758620411</v>
      </c>
      <c r="DA14" s="32">
        <f>SUM(InputTable[[#This Row],[measurement.E.5]],InputTable[[#This Row],[measurement.G.5]],InputTable[[#This Row],[measurement.S.5]],InputTable[[#This Row],[measurement.C.5]])</f>
        <v>3012.8639822024434</v>
      </c>
      <c r="DB14" s="32">
        <f>SUM(InputTable[[#This Row],[measurement.E.6]],InputTable[[#This Row],[measurement.G.6]],InputTable[[#This Row],[measurement.S.6]],InputTable[[#This Row],[measurement.C.6]])</f>
        <v>3190.4752419354895</v>
      </c>
      <c r="DC14" s="32">
        <f>SUM(InputTable[[#This Row],[measurement.E.7]],InputTable[[#This Row],[measurement.G.7]],InputTable[[#This Row],[measurement.S.7]],InputTable[[#This Row],[measurement.C.7]])</f>
        <v>4136.5945689654845</v>
      </c>
      <c r="DD14" s="32">
        <f>SUM(InputTable[[#This Row],[measurement.E.8]],InputTable[[#This Row],[measurement.G.8]],InputTable[[#This Row],[measurement.S.8]],InputTable[[#This Row],[measurement.C.8]])</f>
        <v>5210.6859310344444</v>
      </c>
      <c r="DE14" s="32">
        <f>SUM(InputTable[[#This Row],[measurement.E.9]],InputTable[[#This Row],[measurement.G.9]],InputTable[[#This Row],[measurement.S.9]],InputTable[[#This Row],[measurement.C.9]])</f>
        <v>4144.3645000000151</v>
      </c>
      <c r="DF14" s="32">
        <f>SUM(InputTable[[#This Row],[measurement.E.10]],InputTable[[#This Row],[measurement.G.10]],InputTable[[#This Row],[measurement.S.10]],InputTable[[#This Row],[measurement.C.10]])</f>
        <v>3319.1137840746296</v>
      </c>
      <c r="DG14" s="32">
        <f>SUM(InputTable[[#This Row],[measurement.E.11]],InputTable[[#This Row],[measurement.G.11]],InputTable[[#This Row],[measurement.S.11]],InputTable[[#This Row],[measurement.C.11]])</f>
        <v>2524.7177159253924</v>
      </c>
      <c r="DH14" s="32">
        <f>SUM(InputTable[[#This Row],[measurement.E.12]],InputTable[[#This Row],[measurement.G.12]],InputTable[[#This Row],[measurement.S.12]],InputTable[[#This Row],[measurement.C.12]])</f>
        <v>2481.4596363636615</v>
      </c>
    </row>
    <row r="15" spans="1:112" s="32" customFormat="1" ht="30" customHeight="1" x14ac:dyDescent="0.3">
      <c r="A15" s="2" t="s">
        <v>198</v>
      </c>
      <c r="B15" s="6">
        <v>192428</v>
      </c>
      <c r="C15" s="3" t="s">
        <v>187</v>
      </c>
      <c r="D15" s="3" t="s">
        <v>172</v>
      </c>
      <c r="E15" s="4" t="s">
        <v>173</v>
      </c>
      <c r="F15" s="4" t="s">
        <v>174</v>
      </c>
      <c r="G15" s="5"/>
      <c r="H15" s="4" t="s">
        <v>175</v>
      </c>
      <c r="I15" s="48">
        <v>37.336204000000002</v>
      </c>
      <c r="J15" s="48">
        <v>-121.8825102</v>
      </c>
      <c r="K15" s="48" t="s">
        <v>176</v>
      </c>
      <c r="L15" s="10"/>
      <c r="M15" s="47"/>
      <c r="N15" s="3" t="s">
        <v>15</v>
      </c>
      <c r="O15" s="4" t="s">
        <v>16</v>
      </c>
      <c r="P15" s="3">
        <v>2023</v>
      </c>
      <c r="Q15" s="59">
        <f>IF(COUNTBLANK(InputTable[[#This Row],[measurement.E.1]:[measurement.C.12]])=4*12,"",SUM(InputTable[[#This Row],[measurement.eui.E]:[measurement.eui.C]]))</f>
        <v>46.050311785583823</v>
      </c>
      <c r="R15" s="33" cm="1">
        <f t="array" ref="R1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13.875589872622443</v>
      </c>
      <c r="S15" s="33" cm="1">
        <f t="array" ref="S1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5" s="33" cm="1">
        <f t="array" ref="T1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17.744645134803665</v>
      </c>
      <c r="U15" s="33" cm="1">
        <f t="array" ref="U1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14.43007677815771</v>
      </c>
      <c r="V15" s="6">
        <v>72106.937999999966</v>
      </c>
      <c r="W15" s="9">
        <v>42879.156000000017</v>
      </c>
      <c r="X15" s="9">
        <v>46676.156000000017</v>
      </c>
      <c r="Y15" s="9">
        <v>78455.375</v>
      </c>
      <c r="Z15" s="9">
        <v>21041</v>
      </c>
      <c r="AA15" s="9">
        <v>60724.100999999973</v>
      </c>
      <c r="AB15" s="9">
        <v>89848.156000000017</v>
      </c>
      <c r="AC15" s="9">
        <v>73592.625</v>
      </c>
      <c r="AD15" s="9">
        <v>83858.312999999966</v>
      </c>
      <c r="AE15" s="9">
        <v>82453.437000000034</v>
      </c>
      <c r="AF15" s="9">
        <v>65173</v>
      </c>
      <c r="AG15" s="9">
        <v>65706.75</v>
      </c>
      <c r="AH15" s="6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6">
        <v>5989.0801199999996</v>
      </c>
      <c r="AU15" s="9">
        <v>2621.0150699999999</v>
      </c>
      <c r="AV15" s="9">
        <v>2621.0150699999999</v>
      </c>
      <c r="AW15" s="9">
        <v>3928.3913400000001</v>
      </c>
      <c r="AX15" s="9"/>
      <c r="AY15" s="9"/>
      <c r="AZ15" s="9">
        <v>1520.559</v>
      </c>
      <c r="BA15" s="9">
        <v>1252.6850999999999</v>
      </c>
      <c r="BB15" s="9">
        <v>2025.2628</v>
      </c>
      <c r="BC15" s="9">
        <v>3627.9092999999998</v>
      </c>
      <c r="BD15" s="9">
        <v>5385.4295400000001</v>
      </c>
      <c r="BE15" s="9">
        <v>5174.3184000000001</v>
      </c>
      <c r="BF15" s="6">
        <v>7866.6352000000461</v>
      </c>
      <c r="BG15" s="9">
        <v>10766.62360000011</v>
      </c>
      <c r="BH15" s="9">
        <v>10991.538053155031</v>
      </c>
      <c r="BI15" s="9">
        <v>13915.06284558329</v>
      </c>
      <c r="BJ15" s="9">
        <v>12169.968249369111</v>
      </c>
      <c r="BK15" s="9">
        <v>16488.444255525061</v>
      </c>
      <c r="BL15" s="9">
        <v>28015.623484703559</v>
      </c>
      <c r="BM15" s="9">
        <v>55797.731877745442</v>
      </c>
      <c r="BN15" s="9">
        <v>27420.7537178208</v>
      </c>
      <c r="BO15" s="9">
        <v>29264.807640688639</v>
      </c>
      <c r="BP15" s="9">
        <v>12614.98339873819</v>
      </c>
      <c r="BQ15" s="9">
        <v>6083.728865615014</v>
      </c>
      <c r="BR15" s="7"/>
      <c r="BS15" s="8"/>
      <c r="BT15" s="8"/>
      <c r="BU15" s="8"/>
      <c r="BX15" s="32" cm="1">
        <f t="array" ref="BX15">IFERROR(_xlfn.QUARTILE.INC(_xlfn._xlws.FILTER($Q$5:$Q$64,$C$5:$C$64=$C15,""),3),"")</f>
        <v>103.3358258738342</v>
      </c>
      <c r="BY15" s="32" cm="1">
        <f t="array" ref="BY15">IFERROR(_xlfn.QUARTILE.INC(_xlfn._xlws.FILTER($Q$5:$Q$64,$C$5:$C$64=$C15,""),2),"")</f>
        <v>63.763251345785051</v>
      </c>
      <c r="BZ15" s="32" cm="1">
        <f t="array" ref="BZ15">IFERROR(_xlfn.QUARTILE.INC(_xlfn._xlws.FILTER($Q$5:$Q$64,$C$5:$C$64=$C15,""),1),"")</f>
        <v>43.604372326614211</v>
      </c>
      <c r="CA15" s="32">
        <f t="shared" si="0"/>
        <v>59.731453547219985</v>
      </c>
      <c r="CB15" s="32">
        <f t="shared" si="1"/>
        <v>192.93300619466419</v>
      </c>
      <c r="CC15" s="32">
        <f t="shared" si="2"/>
        <v>-45.992807994215767</v>
      </c>
      <c r="CD15" s="32">
        <f t="shared" si="3"/>
        <v>0</v>
      </c>
      <c r="CE15" s="32">
        <f t="shared" si="4"/>
        <v>0</v>
      </c>
      <c r="CF15" s="32">
        <f t="shared" si="5"/>
        <v>0</v>
      </c>
      <c r="CG15" s="32">
        <f t="shared" si="6"/>
        <v>0</v>
      </c>
      <c r="CO1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5" s="32">
        <f>IF(AND(InputTable[[#This Row],[metadata.primary_cooling_system]]="District Cooling",InputTable[[#This Row],[measurement.eui.C]]&gt;=InputTable[[#This Row],[measurement.eui.total]]*0.6),1,0)*$CQ$2</f>
        <v>0</v>
      </c>
      <c r="CR15" s="32">
        <f>IF(AND(InputTable[[#This Row],[metadata.primary_cooling_system]]="District Cooling",InputTable[[#This Row],[measurement.eui.C]]&lt;=InputTable[[#This Row],[measurement.eui.total]]*0.1),1,0)*$CR$2</f>
        <v>0</v>
      </c>
      <c r="CS15" s="32">
        <f t="shared" si="7"/>
        <v>0</v>
      </c>
      <c r="CU15" s="32">
        <f t="shared" si="8"/>
        <v>12354.80754</v>
      </c>
      <c r="CV15" s="32">
        <f t="shared" si="9"/>
        <v>21790.858199999999</v>
      </c>
      <c r="CW15" s="32">
        <f>SUM(InputTable[[#This Row],[measurement.E.1]],InputTable[[#This Row],[measurement.G.1]],InputTable[[#This Row],[measurement.S.1]],InputTable[[#This Row],[measurement.C.1]])</f>
        <v>85962.653320000012</v>
      </c>
      <c r="CX15" s="32">
        <f>SUM(InputTable[[#This Row],[measurement.E.2]],InputTable[[#This Row],[measurement.G.2]],InputTable[[#This Row],[measurement.S.2]],InputTable[[#This Row],[measurement.C.2]])</f>
        <v>56266.794670000127</v>
      </c>
      <c r="CY15" s="32">
        <f>SUM(InputTable[[#This Row],[measurement.E.3]],InputTable[[#This Row],[measurement.G.3]],InputTable[[#This Row],[measurement.S.3]],InputTable[[#This Row],[measurement.C.3]])</f>
        <v>60288.709123155051</v>
      </c>
      <c r="CZ15" s="32">
        <f>SUM(InputTable[[#This Row],[measurement.E.4]],InputTable[[#This Row],[measurement.G.4]],InputTable[[#This Row],[measurement.S.4]],InputTable[[#This Row],[measurement.C.4]])</f>
        <v>96298.829185583294</v>
      </c>
      <c r="DA15" s="32">
        <f>SUM(InputTable[[#This Row],[measurement.E.5]],InputTable[[#This Row],[measurement.G.5]],InputTable[[#This Row],[measurement.S.5]],InputTable[[#This Row],[measurement.C.5]])</f>
        <v>33210.968249369107</v>
      </c>
      <c r="DB15" s="32">
        <f>SUM(InputTable[[#This Row],[measurement.E.6]],InputTable[[#This Row],[measurement.G.6]],InputTable[[#This Row],[measurement.S.6]],InputTable[[#This Row],[measurement.C.6]])</f>
        <v>77212.545255525038</v>
      </c>
      <c r="DC15" s="32">
        <f>SUM(InputTable[[#This Row],[measurement.E.7]],InputTable[[#This Row],[measurement.G.7]],InputTable[[#This Row],[measurement.S.7]],InputTable[[#This Row],[measurement.C.7]])</f>
        <v>119384.33848470356</v>
      </c>
      <c r="DD15" s="32">
        <f>SUM(InputTable[[#This Row],[measurement.E.8]],InputTable[[#This Row],[measurement.G.8]],InputTable[[#This Row],[measurement.S.8]],InputTable[[#This Row],[measurement.C.8]])</f>
        <v>130643.04197774545</v>
      </c>
      <c r="DE15" s="32">
        <f>SUM(InputTable[[#This Row],[measurement.E.9]],InputTable[[#This Row],[measurement.G.9]],InputTable[[#This Row],[measurement.S.9]],InputTable[[#This Row],[measurement.C.9]])</f>
        <v>113304.32951782076</v>
      </c>
      <c r="DF15" s="32">
        <f>SUM(InputTable[[#This Row],[measurement.E.10]],InputTable[[#This Row],[measurement.G.10]],InputTable[[#This Row],[measurement.S.10]],InputTable[[#This Row],[measurement.C.10]])</f>
        <v>115346.15394068867</v>
      </c>
      <c r="DG15" s="32">
        <f>SUM(InputTable[[#This Row],[measurement.E.11]],InputTable[[#This Row],[measurement.G.11]],InputTable[[#This Row],[measurement.S.11]],InputTable[[#This Row],[measurement.C.11]])</f>
        <v>83173.412938738184</v>
      </c>
      <c r="DH15" s="32">
        <f>SUM(InputTable[[#This Row],[measurement.E.12]],InputTable[[#This Row],[measurement.G.12]],InputTable[[#This Row],[measurement.S.12]],InputTable[[#This Row],[measurement.C.12]])</f>
        <v>76964.797265615023</v>
      </c>
    </row>
    <row r="16" spans="1:112" s="32" customFormat="1" ht="30" customHeight="1" x14ac:dyDescent="0.3">
      <c r="A16" s="2" t="s">
        <v>199</v>
      </c>
      <c r="B16" s="3">
        <v>42019</v>
      </c>
      <c r="C16" s="3" t="s">
        <v>171</v>
      </c>
      <c r="D16" s="3" t="s">
        <v>172</v>
      </c>
      <c r="E16" s="4" t="s">
        <v>173</v>
      </c>
      <c r="F16" s="4" t="s">
        <v>174</v>
      </c>
      <c r="G16" s="4"/>
      <c r="H16" s="4" t="s">
        <v>175</v>
      </c>
      <c r="I16" s="5">
        <v>37.338178640000002</v>
      </c>
      <c r="J16" s="5">
        <v>-121.8802682</v>
      </c>
      <c r="K16" s="48" t="s">
        <v>176</v>
      </c>
      <c r="L16" s="10"/>
      <c r="M16" s="3" t="s">
        <v>200</v>
      </c>
      <c r="N16" s="3" t="s">
        <v>182</v>
      </c>
      <c r="O16" s="4" t="s">
        <v>13</v>
      </c>
      <c r="P16" s="3">
        <v>2023</v>
      </c>
      <c r="Q16" s="59">
        <f>IF(COUNTBLANK(InputTable[[#This Row],[measurement.E.1]:[measurement.C.12]])=4*12,"",SUM(InputTable[[#This Row],[measurement.eui.E]:[measurement.eui.C]]))</f>
        <v>33.593150674170296</v>
      </c>
      <c r="R16" s="33" cm="1">
        <f t="array" ref="R1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26.958612330405192</v>
      </c>
      <c r="S16" s="33" cm="1">
        <f t="array" ref="S1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6.6345383437651062</v>
      </c>
      <c r="T16" s="33" cm="1">
        <f t="array" ref="T1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6" s="33" cm="1">
        <f t="array" ref="U1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6" s="6">
        <v>28733.929006424951</v>
      </c>
      <c r="W16" s="9">
        <v>27294.390444215391</v>
      </c>
      <c r="X16" s="9">
        <v>28746.83394800454</v>
      </c>
      <c r="Y16" s="9">
        <v>28560.93098988666</v>
      </c>
      <c r="Z16" s="9">
        <v>27242.98114998627</v>
      </c>
      <c r="AA16" s="9">
        <v>26270.206196648742</v>
      </c>
      <c r="AB16" s="9">
        <v>27156.577068745901</v>
      </c>
      <c r="AC16" s="9">
        <v>28957.460129910341</v>
      </c>
      <c r="AD16" s="9">
        <v>27324.970117205219</v>
      </c>
      <c r="AE16" s="9">
        <v>27098.042863204559</v>
      </c>
      <c r="AF16" s="9">
        <v>26255.86584727544</v>
      </c>
      <c r="AG16" s="9">
        <v>28341.08383287588</v>
      </c>
      <c r="AH16" s="6">
        <v>583.26344086020731</v>
      </c>
      <c r="AI16" s="9">
        <v>698.04115684093131</v>
      </c>
      <c r="AJ16" s="9">
        <v>570.24732626733055</v>
      </c>
      <c r="AK16" s="9">
        <v>145.8959926981918</v>
      </c>
      <c r="AL16" s="9">
        <v>19.31874999999923</v>
      </c>
      <c r="AM16" s="9">
        <v>0.39999999999999908</v>
      </c>
      <c r="AN16" s="9">
        <v>0</v>
      </c>
      <c r="AO16" s="9">
        <v>0</v>
      </c>
      <c r="AP16" s="9">
        <v>0.79999999999999749</v>
      </c>
      <c r="AQ16" s="9">
        <v>42.079194630872799</v>
      </c>
      <c r="AR16" s="9">
        <v>174.24983762719029</v>
      </c>
      <c r="AS16" s="9">
        <v>553.47096774193665</v>
      </c>
      <c r="AT16" s="6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6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7"/>
      <c r="BS16" s="8"/>
      <c r="BT16" s="8"/>
      <c r="BU16" s="8"/>
      <c r="BX16" s="32" cm="1">
        <f t="array" ref="BX16">IFERROR(_xlfn.QUARTILE.INC(_xlfn._xlws.FILTER($Q$5:$Q$64,$C$5:$C$64=$C16,""),3),"")</f>
        <v>64.112055304293477</v>
      </c>
      <c r="BY16" s="32" cm="1">
        <f t="array" ref="BY16">IFERROR(_xlfn.QUARTILE.INC(_xlfn._xlws.FILTER($Q$5:$Q$64,$C$5:$C$64=$C16,""),2),"")</f>
        <v>39.725763352573587</v>
      </c>
      <c r="BZ16" s="32" cm="1">
        <f t="array" ref="BZ16">IFERROR(_xlfn.QUARTILE.INC(_xlfn._xlws.FILTER($Q$5:$Q$64,$C$5:$C$64=$C16,""),1),"")</f>
        <v>32.115150872687749</v>
      </c>
      <c r="CA16" s="32">
        <f t="shared" si="0"/>
        <v>31.996904431605728</v>
      </c>
      <c r="CB16" s="32">
        <f t="shared" si="1"/>
        <v>112.10741195170206</v>
      </c>
      <c r="CC16" s="32">
        <f t="shared" si="2"/>
        <v>-15.880205774720842</v>
      </c>
      <c r="CD16" s="32">
        <f t="shared" si="3"/>
        <v>0</v>
      </c>
      <c r="CE16" s="32">
        <f t="shared" si="4"/>
        <v>0</v>
      </c>
      <c r="CF16" s="32">
        <f t="shared" si="5"/>
        <v>0</v>
      </c>
      <c r="CG16" s="32">
        <f t="shared" si="6"/>
        <v>0</v>
      </c>
      <c r="CO1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6" s="32">
        <f>IF(AND(InputTable[[#This Row],[metadata.primary_cooling_system]]="District Cooling",InputTable[[#This Row],[measurement.eui.C]]&gt;=InputTable[[#This Row],[measurement.eui.total]]*0.6),1,0)*$CQ$2</f>
        <v>0</v>
      </c>
      <c r="CR16" s="32">
        <f>IF(AND(InputTable[[#This Row],[metadata.primary_cooling_system]]="District Cooling",InputTable[[#This Row],[measurement.eui.C]]&lt;=InputTable[[#This Row],[measurement.eui.total]]*0.1),1,0)*$CR$2</f>
        <v>0</v>
      </c>
      <c r="CS16" s="32">
        <f t="shared" si="7"/>
        <v>0.8</v>
      </c>
      <c r="CU16" s="32">
        <f t="shared" si="8"/>
        <v>0</v>
      </c>
      <c r="CV16" s="32">
        <f t="shared" si="9"/>
        <v>0</v>
      </c>
      <c r="CW16" s="32">
        <f>SUM(InputTable[[#This Row],[measurement.E.1]],InputTable[[#This Row],[measurement.G.1]],InputTable[[#This Row],[measurement.S.1]],InputTable[[#This Row],[measurement.C.1]])</f>
        <v>29317.192447285157</v>
      </c>
      <c r="CX16" s="32">
        <f>SUM(InputTable[[#This Row],[measurement.E.2]],InputTable[[#This Row],[measurement.G.2]],InputTable[[#This Row],[measurement.S.2]],InputTable[[#This Row],[measurement.C.2]])</f>
        <v>27992.431601056323</v>
      </c>
      <c r="CY16" s="32">
        <f>SUM(InputTable[[#This Row],[measurement.E.3]],InputTable[[#This Row],[measurement.G.3]],InputTable[[#This Row],[measurement.S.3]],InputTable[[#This Row],[measurement.C.3]])</f>
        <v>29317.08127427187</v>
      </c>
      <c r="CZ16" s="32">
        <f>SUM(InputTable[[#This Row],[measurement.E.4]],InputTable[[#This Row],[measurement.G.4]],InputTable[[#This Row],[measurement.S.4]],InputTable[[#This Row],[measurement.C.4]])</f>
        <v>28706.826982584851</v>
      </c>
      <c r="DA16" s="32">
        <f>SUM(InputTable[[#This Row],[measurement.E.5]],InputTable[[#This Row],[measurement.G.5]],InputTable[[#This Row],[measurement.S.5]],InputTable[[#This Row],[measurement.C.5]])</f>
        <v>27262.299899986268</v>
      </c>
      <c r="DB16" s="32">
        <f>SUM(InputTable[[#This Row],[measurement.E.6]],InputTable[[#This Row],[measurement.G.6]],InputTable[[#This Row],[measurement.S.6]],InputTable[[#This Row],[measurement.C.6]])</f>
        <v>26270.606196648743</v>
      </c>
      <c r="DC16" s="32">
        <f>SUM(InputTable[[#This Row],[measurement.E.7]],InputTable[[#This Row],[measurement.G.7]],InputTable[[#This Row],[measurement.S.7]],InputTable[[#This Row],[measurement.C.7]])</f>
        <v>27156.577068745901</v>
      </c>
      <c r="DD16" s="32">
        <f>SUM(InputTable[[#This Row],[measurement.E.8]],InputTable[[#This Row],[measurement.G.8]],InputTable[[#This Row],[measurement.S.8]],InputTable[[#This Row],[measurement.C.8]])</f>
        <v>28957.460129910341</v>
      </c>
      <c r="DE16" s="32">
        <f>SUM(InputTable[[#This Row],[measurement.E.9]],InputTable[[#This Row],[measurement.G.9]],InputTable[[#This Row],[measurement.S.9]],InputTable[[#This Row],[measurement.C.9]])</f>
        <v>27325.770117205218</v>
      </c>
      <c r="DF16" s="32">
        <f>SUM(InputTable[[#This Row],[measurement.E.10]],InputTable[[#This Row],[measurement.G.10]],InputTable[[#This Row],[measurement.S.10]],InputTable[[#This Row],[measurement.C.10]])</f>
        <v>27140.122057835433</v>
      </c>
      <c r="DG16" s="32">
        <f>SUM(InputTable[[#This Row],[measurement.E.11]],InputTable[[#This Row],[measurement.G.11]],InputTable[[#This Row],[measurement.S.11]],InputTable[[#This Row],[measurement.C.11]])</f>
        <v>26430.11568490263</v>
      </c>
      <c r="DH16" s="32">
        <f>SUM(InputTable[[#This Row],[measurement.E.12]],InputTable[[#This Row],[measurement.G.12]],InputTable[[#This Row],[measurement.S.12]],InputTable[[#This Row],[measurement.C.12]])</f>
        <v>28894.554800617818</v>
      </c>
    </row>
    <row r="17" spans="1:112" s="32" customFormat="1" ht="30" customHeight="1" x14ac:dyDescent="0.3">
      <c r="A17" s="2" t="s">
        <v>201</v>
      </c>
      <c r="B17" s="3">
        <v>23925</v>
      </c>
      <c r="C17" s="3" t="s">
        <v>202</v>
      </c>
      <c r="D17" s="3" t="s">
        <v>172</v>
      </c>
      <c r="E17" s="4" t="s">
        <v>173</v>
      </c>
      <c r="F17" s="4" t="s">
        <v>174</v>
      </c>
      <c r="G17" s="4"/>
      <c r="H17" s="4" t="s">
        <v>175</v>
      </c>
      <c r="I17" s="5">
        <v>37.334150209999997</v>
      </c>
      <c r="J17" s="5">
        <v>-121.8785328</v>
      </c>
      <c r="K17" s="48" t="s">
        <v>176</v>
      </c>
      <c r="L17" s="10"/>
      <c r="M17" s="3"/>
      <c r="N17" s="3" t="s">
        <v>182</v>
      </c>
      <c r="O17" s="4" t="s">
        <v>13</v>
      </c>
      <c r="P17" s="3">
        <v>2023</v>
      </c>
      <c r="Q17" s="59">
        <f>IF(COUNTBLANK(InputTable[[#This Row],[measurement.E.1]:[measurement.C.12]])=4*12,"",SUM(InputTable[[#This Row],[measurement.eui.E]:[measurement.eui.C]]))</f>
        <v>285.23204800046722</v>
      </c>
      <c r="R17" s="33" cm="1">
        <f t="array" ref="R1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129.83211766260624</v>
      </c>
      <c r="S17" s="33" cm="1">
        <f t="array" ref="S1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155.39993033786095</v>
      </c>
      <c r="T17" s="33" cm="1">
        <f t="array" ref="T1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7" s="33" cm="1">
        <f t="array" ref="U1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7" s="6">
        <v>52353.377204301098</v>
      </c>
      <c r="W17" s="9">
        <v>74900.164129031546</v>
      </c>
      <c r="X17" s="9">
        <v>74200.094618705451</v>
      </c>
      <c r="Y17" s="9">
        <v>85507.76738129447</v>
      </c>
      <c r="Z17" s="9">
        <v>73908.450000000928</v>
      </c>
      <c r="AA17" s="9">
        <v>53123.786666666143</v>
      </c>
      <c r="AB17" s="9">
        <v>58396.533333332853</v>
      </c>
      <c r="AC17" s="9">
        <v>92134.28000000093</v>
      </c>
      <c r="AD17" s="9">
        <v>106109.7466666657</v>
      </c>
      <c r="AE17" s="9">
        <v>103674.32066219331</v>
      </c>
      <c r="AF17" s="9">
        <v>83654.355896947134</v>
      </c>
      <c r="AG17" s="9">
        <v>52384.283440859792</v>
      </c>
      <c r="AH17" s="6">
        <v>3716.8010752687869</v>
      </c>
      <c r="AI17" s="9">
        <v>4573.1322580645028</v>
      </c>
      <c r="AJ17" s="9">
        <v>4173.6985611511054</v>
      </c>
      <c r="AK17" s="9">
        <v>3671.763938848921</v>
      </c>
      <c r="AL17" s="9">
        <v>2648.837500000001</v>
      </c>
      <c r="AM17" s="9">
        <v>1568.858064516126</v>
      </c>
      <c r="AN17" s="9">
        <v>1393.5806451612791</v>
      </c>
      <c r="AO17" s="9">
        <v>2327.161290322581</v>
      </c>
      <c r="AP17" s="9">
        <v>3204</v>
      </c>
      <c r="AQ17" s="9">
        <v>3512.3154362415912</v>
      </c>
      <c r="AR17" s="9">
        <v>3536.2652089196372</v>
      </c>
      <c r="AS17" s="9">
        <v>2853.0193548387028</v>
      </c>
      <c r="AT17" s="6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6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7"/>
      <c r="BS17" s="8"/>
      <c r="BT17" s="8"/>
      <c r="BU17" s="8"/>
      <c r="BX17" s="32" cm="1">
        <f t="array" ref="BX17">IFERROR(_xlfn.QUARTILE.INC(_xlfn._xlws.FILTER($Q$5:$Q$64,$C$5:$C$64=$C17,""),3),"")</f>
        <v>285.23204800046722</v>
      </c>
      <c r="BY17" s="32" cm="1">
        <f t="array" ref="BY17">IFERROR(_xlfn.QUARTILE.INC(_xlfn._xlws.FILTER($Q$5:$Q$64,$C$5:$C$64=$C17,""),2),"")</f>
        <v>285.23204800046722</v>
      </c>
      <c r="BZ17" s="32" cm="1">
        <f t="array" ref="BZ17">IFERROR(_xlfn.QUARTILE.INC(_xlfn._xlws.FILTER($Q$5:$Q$64,$C$5:$C$64=$C17,""),1),"")</f>
        <v>285.23204800046722</v>
      </c>
      <c r="CA17" s="32">
        <f t="shared" si="0"/>
        <v>0</v>
      </c>
      <c r="CB17" s="32">
        <f t="shared" si="1"/>
        <v>285.23204800046722</v>
      </c>
      <c r="CC17" s="32">
        <f t="shared" si="2"/>
        <v>285.23204800046722</v>
      </c>
      <c r="CD17" s="32">
        <f t="shared" si="3"/>
        <v>0</v>
      </c>
      <c r="CE17" s="32">
        <f t="shared" si="4"/>
        <v>0</v>
      </c>
      <c r="CF17" s="32">
        <f t="shared" si="5"/>
        <v>0</v>
      </c>
      <c r="CG17" s="32">
        <f t="shared" si="6"/>
        <v>0</v>
      </c>
      <c r="CO1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7" s="32">
        <f>IF(AND(InputTable[[#This Row],[metadata.primary_cooling_system]]="District Cooling",InputTable[[#This Row],[measurement.eui.C]]&gt;=InputTable[[#This Row],[measurement.eui.total]]*0.6),1,0)*$CQ$2</f>
        <v>0</v>
      </c>
      <c r="CR17" s="32">
        <f>IF(AND(InputTable[[#This Row],[metadata.primary_cooling_system]]="District Cooling",InputTable[[#This Row],[measurement.eui.C]]&lt;=InputTable[[#This Row],[measurement.eui.total]]*0.1),1,0)*$CR$2</f>
        <v>0</v>
      </c>
      <c r="CS17" s="32">
        <f t="shared" si="7"/>
        <v>0.8</v>
      </c>
      <c r="CU17" s="32">
        <f t="shared" si="8"/>
        <v>0</v>
      </c>
      <c r="CV17" s="32">
        <f t="shared" si="9"/>
        <v>0</v>
      </c>
      <c r="CW17" s="32">
        <f>SUM(InputTable[[#This Row],[measurement.E.1]],InputTable[[#This Row],[measurement.G.1]],InputTable[[#This Row],[measurement.S.1]],InputTable[[#This Row],[measurement.C.1]])</f>
        <v>56070.178279569882</v>
      </c>
      <c r="CX17" s="32">
        <f>SUM(InputTable[[#This Row],[measurement.E.2]],InputTable[[#This Row],[measurement.G.2]],InputTable[[#This Row],[measurement.S.2]],InputTable[[#This Row],[measurement.C.2]])</f>
        <v>79473.296387096052</v>
      </c>
      <c r="CY17" s="32">
        <f>SUM(InputTable[[#This Row],[measurement.E.3]],InputTable[[#This Row],[measurement.G.3]],InputTable[[#This Row],[measurement.S.3]],InputTable[[#This Row],[measurement.C.3]])</f>
        <v>78373.793179856555</v>
      </c>
      <c r="CZ17" s="32">
        <f>SUM(InputTable[[#This Row],[measurement.E.4]],InputTable[[#This Row],[measurement.G.4]],InputTable[[#This Row],[measurement.S.4]],InputTable[[#This Row],[measurement.C.4]])</f>
        <v>89179.531320143389</v>
      </c>
      <c r="DA17" s="32">
        <f>SUM(InputTable[[#This Row],[measurement.E.5]],InputTable[[#This Row],[measurement.G.5]],InputTable[[#This Row],[measurement.S.5]],InputTable[[#This Row],[measurement.C.5]])</f>
        <v>76557.287500000923</v>
      </c>
      <c r="DB17" s="32">
        <f>SUM(InputTable[[#This Row],[measurement.E.6]],InputTable[[#This Row],[measurement.G.6]],InputTable[[#This Row],[measurement.S.6]],InputTable[[#This Row],[measurement.C.6]])</f>
        <v>54692.64473118227</v>
      </c>
      <c r="DC17" s="32">
        <f>SUM(InputTable[[#This Row],[measurement.E.7]],InputTable[[#This Row],[measurement.G.7]],InputTable[[#This Row],[measurement.S.7]],InputTable[[#This Row],[measurement.C.7]])</f>
        <v>59790.113978494133</v>
      </c>
      <c r="DD17" s="32">
        <f>SUM(InputTable[[#This Row],[measurement.E.8]],InputTable[[#This Row],[measurement.G.8]],InputTable[[#This Row],[measurement.S.8]],InputTable[[#This Row],[measurement.C.8]])</f>
        <v>94461.441290323506</v>
      </c>
      <c r="DE17" s="32">
        <f>SUM(InputTable[[#This Row],[measurement.E.9]],InputTable[[#This Row],[measurement.G.9]],InputTable[[#This Row],[measurement.S.9]],InputTable[[#This Row],[measurement.C.9]])</f>
        <v>109313.7466666657</v>
      </c>
      <c r="DF17" s="32">
        <f>SUM(InputTable[[#This Row],[measurement.E.10]],InputTable[[#This Row],[measurement.G.10]],InputTable[[#This Row],[measurement.S.10]],InputTable[[#This Row],[measurement.C.10]])</f>
        <v>107186.6360984349</v>
      </c>
      <c r="DG17" s="32">
        <f>SUM(InputTable[[#This Row],[measurement.E.11]],InputTable[[#This Row],[measurement.G.11]],InputTable[[#This Row],[measurement.S.11]],InputTable[[#This Row],[measurement.C.11]])</f>
        <v>87190.621105866769</v>
      </c>
      <c r="DH17" s="32">
        <f>SUM(InputTable[[#This Row],[measurement.E.12]],InputTable[[#This Row],[measurement.G.12]],InputTable[[#This Row],[measurement.S.12]],InputTable[[#This Row],[measurement.C.12]])</f>
        <v>55237.302795698495</v>
      </c>
    </row>
    <row r="18" spans="1:112" s="32" customFormat="1" ht="30" customHeight="1" x14ac:dyDescent="0.3">
      <c r="A18" s="2" t="s">
        <v>203</v>
      </c>
      <c r="B18">
        <v>499221</v>
      </c>
      <c r="C18" s="3" t="s">
        <v>204</v>
      </c>
      <c r="D18" s="3" t="s">
        <v>172</v>
      </c>
      <c r="E18" s="4" t="s">
        <v>173</v>
      </c>
      <c r="F18" s="4" t="s">
        <v>174</v>
      </c>
      <c r="G18" s="4"/>
      <c r="H18" s="4" t="s">
        <v>175</v>
      </c>
      <c r="I18" s="5">
        <v>37.335449619999999</v>
      </c>
      <c r="J18" s="5">
        <v>-121.8849783</v>
      </c>
      <c r="K18" s="48" t="s">
        <v>176</v>
      </c>
      <c r="L18" s="10"/>
      <c r="M18" s="3"/>
      <c r="N18" s="3" t="s">
        <v>15</v>
      </c>
      <c r="O18" s="4" t="s">
        <v>16</v>
      </c>
      <c r="P18" s="3">
        <v>2023</v>
      </c>
      <c r="Q18" s="59">
        <f>IF(COUNTBLANK(InputTable[[#This Row],[measurement.E.1]:[measurement.C.12]])=4*12,"",SUM(InputTable[[#This Row],[measurement.eui.E]:[measurement.eui.C]]))</f>
        <v>69.946430434679741</v>
      </c>
      <c r="R18" s="33" cm="1">
        <f t="array" ref="R1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27.004521949457033</v>
      </c>
      <c r="S18" s="33" cm="1">
        <f t="array" ref="S1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8" s="33" cm="1">
        <f t="array" ref="T1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13.667951673932754</v>
      </c>
      <c r="U18" s="33" cm="1">
        <f t="array" ref="U1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29.273956811289949</v>
      </c>
      <c r="V18" s="6">
        <v>352147.56569602399</v>
      </c>
      <c r="W18" s="9">
        <v>336974.64062500378</v>
      </c>
      <c r="X18" s="9">
        <v>356579.62107893819</v>
      </c>
      <c r="Y18" s="9">
        <v>339422.14063981822</v>
      </c>
      <c r="Z18" s="9">
        <v>345834.14062499721</v>
      </c>
      <c r="AA18" s="9">
        <v>324894.40148627938</v>
      </c>
      <c r="AB18" s="9">
        <v>342248.52820121712</v>
      </c>
      <c r="AC18" s="9">
        <v>325690.08928571618</v>
      </c>
      <c r="AD18" s="9">
        <v>311702.09126984171</v>
      </c>
      <c r="AE18" s="9">
        <v>315562.74913194549</v>
      </c>
      <c r="AF18" s="9">
        <v>292523.33703105227</v>
      </c>
      <c r="AG18" s="9">
        <v>307377.61070601619</v>
      </c>
      <c r="AH18" s="6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6">
        <v>12726.466060606241</v>
      </c>
      <c r="AU18" s="9">
        <v>12056.370000000181</v>
      </c>
      <c r="AV18" s="9">
        <v>10945.25417193427</v>
      </c>
      <c r="AW18" s="9">
        <v>5662.65582806573</v>
      </c>
      <c r="AX18" s="9">
        <v>4223.54000000002</v>
      </c>
      <c r="AY18" s="9">
        <v>2150.524390243927</v>
      </c>
      <c r="AZ18" s="9">
        <v>1287.02560975607</v>
      </c>
      <c r="BA18" s="9">
        <v>894.36771428570648</v>
      </c>
      <c r="BB18" s="9">
        <v>1484.6874708994931</v>
      </c>
      <c r="BC18" s="9">
        <v>2290.6848148148501</v>
      </c>
      <c r="BD18" s="9">
        <v>5581.4673896595596</v>
      </c>
      <c r="BE18" s="9">
        <v>8930.2415758577863</v>
      </c>
      <c r="BF18" s="6">
        <v>62484.203387878028</v>
      </c>
      <c r="BG18" s="9">
        <v>59577.159599999133</v>
      </c>
      <c r="BH18" s="9">
        <v>67979.05834690237</v>
      </c>
      <c r="BI18" s="9">
        <v>87620.593553097046</v>
      </c>
      <c r="BJ18" s="9">
        <v>99531.754700000994</v>
      </c>
      <c r="BK18" s="9">
        <v>114970.3958780481</v>
      </c>
      <c r="BL18" s="9">
        <v>146697.8949219514</v>
      </c>
      <c r="BM18" s="9">
        <v>157307.5184799986</v>
      </c>
      <c r="BN18" s="9">
        <v>136612.11353481389</v>
      </c>
      <c r="BO18" s="9">
        <v>124831.8003851844</v>
      </c>
      <c r="BP18" s="9">
        <v>83332.922512989113</v>
      </c>
      <c r="BQ18" s="9">
        <v>76902.417473218724</v>
      </c>
      <c r="BR18" s="7"/>
      <c r="BS18" s="8"/>
      <c r="BT18" s="8"/>
      <c r="BU18" s="8"/>
      <c r="BX18" s="32" cm="1">
        <f t="array" ref="BX18">IFERROR(_xlfn.QUARTILE.INC(_xlfn._xlws.FILTER($Q$5:$Q$64,$C$5:$C$64=$C18,""),3),"")</f>
        <v>69.946430434679741</v>
      </c>
      <c r="BY18" s="32" cm="1">
        <f t="array" ref="BY18">IFERROR(_xlfn.QUARTILE.INC(_xlfn._xlws.FILTER($Q$5:$Q$64,$C$5:$C$64=$C18,""),2),"")</f>
        <v>69.946430434679741</v>
      </c>
      <c r="BZ18" s="32" cm="1">
        <f t="array" ref="BZ18">IFERROR(_xlfn.QUARTILE.INC(_xlfn._xlws.FILTER($Q$5:$Q$64,$C$5:$C$64=$C18,""),1),"")</f>
        <v>69.946430434679741</v>
      </c>
      <c r="CA18" s="32">
        <f t="shared" si="0"/>
        <v>0</v>
      </c>
      <c r="CB18" s="32">
        <f t="shared" si="1"/>
        <v>69.946430434679741</v>
      </c>
      <c r="CC18" s="32">
        <f t="shared" si="2"/>
        <v>69.946430434679741</v>
      </c>
      <c r="CD18" s="32">
        <f t="shared" si="3"/>
        <v>0</v>
      </c>
      <c r="CE18" s="32">
        <f t="shared" si="4"/>
        <v>0</v>
      </c>
      <c r="CF18" s="32">
        <f t="shared" si="5"/>
        <v>0</v>
      </c>
      <c r="CG18" s="32">
        <f t="shared" si="6"/>
        <v>0</v>
      </c>
      <c r="CO1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18" s="32">
        <f>IF(AND(InputTable[[#This Row],[metadata.primary_cooling_system]]="District Cooling",InputTable[[#This Row],[measurement.eui.C]]&gt;=InputTable[[#This Row],[measurement.eui.total]]*0.6),1,0)*$CQ$2</f>
        <v>0</v>
      </c>
      <c r="CR18" s="32">
        <f>IF(AND(InputTable[[#This Row],[metadata.primary_cooling_system]]="District Cooling",InputTable[[#This Row],[measurement.eui.C]]&lt;=InputTable[[#This Row],[measurement.eui.total]]*0.1),1,0)*$CR$2</f>
        <v>0</v>
      </c>
      <c r="CS18" s="32">
        <f t="shared" si="7"/>
        <v>0.5</v>
      </c>
      <c r="CU18" s="32">
        <f t="shared" si="8"/>
        <v>17993.485828065797</v>
      </c>
      <c r="CV18" s="32">
        <f t="shared" si="9"/>
        <v>50239.799198058041</v>
      </c>
      <c r="CW18" s="32">
        <f>SUM(InputTable[[#This Row],[measurement.E.1]],InputTable[[#This Row],[measurement.G.1]],InputTable[[#This Row],[measurement.S.1]],InputTable[[#This Row],[measurement.C.1]])</f>
        <v>427358.23514450825</v>
      </c>
      <c r="CX18" s="32">
        <f>SUM(InputTable[[#This Row],[measurement.E.2]],InputTable[[#This Row],[measurement.G.2]],InputTable[[#This Row],[measurement.S.2]],InputTable[[#This Row],[measurement.C.2]])</f>
        <v>408608.17022500309</v>
      </c>
      <c r="CY18" s="32">
        <f>SUM(InputTable[[#This Row],[measurement.E.3]],InputTable[[#This Row],[measurement.G.3]],InputTable[[#This Row],[measurement.S.3]],InputTable[[#This Row],[measurement.C.3]])</f>
        <v>435503.93359777483</v>
      </c>
      <c r="CZ18" s="32">
        <f>SUM(InputTable[[#This Row],[measurement.E.4]],InputTable[[#This Row],[measurement.G.4]],InputTable[[#This Row],[measurement.S.4]],InputTable[[#This Row],[measurement.C.4]])</f>
        <v>432705.39002098097</v>
      </c>
      <c r="DA18" s="32">
        <f>SUM(InputTable[[#This Row],[measurement.E.5]],InputTable[[#This Row],[measurement.G.5]],InputTable[[#This Row],[measurement.S.5]],InputTable[[#This Row],[measurement.C.5]])</f>
        <v>449589.43532499822</v>
      </c>
      <c r="DB18" s="32">
        <f>SUM(InputTable[[#This Row],[measurement.E.6]],InputTable[[#This Row],[measurement.G.6]],InputTable[[#This Row],[measurement.S.6]],InputTable[[#This Row],[measurement.C.6]])</f>
        <v>442015.3217545714</v>
      </c>
      <c r="DC18" s="32">
        <f>SUM(InputTable[[#This Row],[measurement.E.7]],InputTable[[#This Row],[measurement.G.7]],InputTable[[#This Row],[measurement.S.7]],InputTable[[#This Row],[measurement.C.7]])</f>
        <v>490233.44873292459</v>
      </c>
      <c r="DD18" s="32">
        <f>SUM(InputTable[[#This Row],[measurement.E.8]],InputTable[[#This Row],[measurement.G.8]],InputTable[[#This Row],[measurement.S.8]],InputTable[[#This Row],[measurement.C.8]])</f>
        <v>483891.97548000049</v>
      </c>
      <c r="DE18" s="32">
        <f>SUM(InputTable[[#This Row],[measurement.E.9]],InputTable[[#This Row],[measurement.G.9]],InputTable[[#This Row],[measurement.S.9]],InputTable[[#This Row],[measurement.C.9]])</f>
        <v>449798.89227555506</v>
      </c>
      <c r="DF18" s="32">
        <f>SUM(InputTable[[#This Row],[measurement.E.10]],InputTable[[#This Row],[measurement.G.10]],InputTable[[#This Row],[measurement.S.10]],InputTable[[#This Row],[measurement.C.10]])</f>
        <v>442685.23433194472</v>
      </c>
      <c r="DG18" s="32">
        <f>SUM(InputTable[[#This Row],[measurement.E.11]],InputTable[[#This Row],[measurement.G.11]],InputTable[[#This Row],[measurement.S.11]],InputTable[[#This Row],[measurement.C.11]])</f>
        <v>381437.72693370096</v>
      </c>
      <c r="DH18" s="32">
        <f>SUM(InputTable[[#This Row],[measurement.E.12]],InputTable[[#This Row],[measurement.G.12]],InputTable[[#This Row],[measurement.S.12]],InputTable[[#This Row],[measurement.C.12]])</f>
        <v>393210.26975509268</v>
      </c>
    </row>
    <row r="19" spans="1:112" s="32" customFormat="1" ht="30" customHeight="1" x14ac:dyDescent="0.3">
      <c r="A19" s="2" t="s">
        <v>205</v>
      </c>
      <c r="B19" s="3">
        <v>77536</v>
      </c>
      <c r="C19" s="3" t="s">
        <v>187</v>
      </c>
      <c r="D19" s="3" t="s">
        <v>172</v>
      </c>
      <c r="E19" s="4" t="s">
        <v>173</v>
      </c>
      <c r="F19" s="4" t="s">
        <v>174</v>
      </c>
      <c r="G19" s="4"/>
      <c r="H19" s="4" t="s">
        <v>175</v>
      </c>
      <c r="I19" s="5"/>
      <c r="J19" s="5"/>
      <c r="K19" s="48" t="s">
        <v>176</v>
      </c>
      <c r="L19" s="10"/>
      <c r="M19" s="3" t="s">
        <v>206</v>
      </c>
      <c r="N19" s="3" t="s">
        <v>15</v>
      </c>
      <c r="O19" s="4" t="s">
        <v>16</v>
      </c>
      <c r="P19" s="3">
        <v>2023</v>
      </c>
      <c r="Q19" s="59">
        <f>IF(COUNTBLANK(InputTable[[#This Row],[measurement.E.1]:[measurement.C.12]])=4*12,"",SUM(InputTable[[#This Row],[measurement.eui.E]:[measurement.eui.C]]))</f>
        <v>41.158432867644592</v>
      </c>
      <c r="R19" s="33" cm="1">
        <f t="array" ref="R1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15.064475782856997</v>
      </c>
      <c r="S19" s="33" cm="1">
        <f t="array" ref="S1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9" s="33" cm="1">
        <f t="array" ref="T1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21.980950784151883</v>
      </c>
      <c r="U19" s="33" cm="1">
        <f t="array" ref="U1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4.113006300635714</v>
      </c>
      <c r="V19" s="6">
        <v>34186.75</v>
      </c>
      <c r="W19" s="9">
        <v>23741.75</v>
      </c>
      <c r="X19" s="9">
        <v>23741.75</v>
      </c>
      <c r="Y19" s="9">
        <v>23741.75</v>
      </c>
      <c r="Z19" s="9"/>
      <c r="AA19" s="9">
        <v>19481.75</v>
      </c>
      <c r="AB19" s="9">
        <v>38486</v>
      </c>
      <c r="AC19" s="9">
        <v>31514.25</v>
      </c>
      <c r="AD19" s="9">
        <v>35742</v>
      </c>
      <c r="AE19" s="9">
        <v>39066.75</v>
      </c>
      <c r="AF19" s="9">
        <v>37266.25</v>
      </c>
      <c r="AG19" s="9">
        <v>35349.5</v>
      </c>
      <c r="AH19" s="6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6">
        <v>2894.3399999999929</v>
      </c>
      <c r="AU19" s="9">
        <v>1527.370000000001</v>
      </c>
      <c r="AV19" s="9">
        <v>1527.370000000001</v>
      </c>
      <c r="AW19" s="9">
        <v>1850.7099999999989</v>
      </c>
      <c r="AX19" s="9"/>
      <c r="AY19" s="9">
        <v>41.710000000002758</v>
      </c>
      <c r="AZ19" s="9">
        <v>63.260000000009313</v>
      </c>
      <c r="BA19" s="9">
        <v>323.58000000000169</v>
      </c>
      <c r="BB19" s="9">
        <v>689.14999999999054</v>
      </c>
      <c r="BC19" s="9">
        <v>2555.7899999999968</v>
      </c>
      <c r="BD19" s="9">
        <v>2913.7300000000141</v>
      </c>
      <c r="BE19" s="9">
        <v>2656.1399999999958</v>
      </c>
      <c r="BF19" s="6">
        <v>0</v>
      </c>
      <c r="BG19" s="9">
        <v>352.35991516112853</v>
      </c>
      <c r="BH19" s="9">
        <v>45.824319646608863</v>
      </c>
      <c r="BI19" s="9">
        <v>803.16398655236549</v>
      </c>
      <c r="BJ19" s="9">
        <v>1291.6487292103311</v>
      </c>
      <c r="BK19" s="9">
        <v>1776.288517113308</v>
      </c>
      <c r="BL19" s="9">
        <v>4120.9546346429252</v>
      </c>
      <c r="BM19" s="9">
        <v>9675.4469953175685</v>
      </c>
      <c r="BN19" s="9">
        <v>3793.885702421981</v>
      </c>
      <c r="BO19" s="9">
        <v>4008.552078973808</v>
      </c>
      <c r="BP19" s="9">
        <v>707.3798314675339</v>
      </c>
      <c r="BQ19" s="9">
        <v>0</v>
      </c>
      <c r="BR19" s="7"/>
      <c r="BS19" s="8"/>
      <c r="BT19" s="8"/>
      <c r="BU19" s="8"/>
      <c r="BX19" s="32" cm="1">
        <f t="array" ref="BX19">IFERROR(_xlfn.QUARTILE.INC(_xlfn._xlws.FILTER($Q$5:$Q$64,$C$5:$C$64=$C19,""),3),"")</f>
        <v>103.3358258738342</v>
      </c>
      <c r="BY19" s="32" cm="1">
        <f t="array" ref="BY19">IFERROR(_xlfn.QUARTILE.INC(_xlfn._xlws.FILTER($Q$5:$Q$64,$C$5:$C$64=$C19,""),2),"")</f>
        <v>63.763251345785051</v>
      </c>
      <c r="BZ19" s="32" cm="1">
        <f t="array" ref="BZ19">IFERROR(_xlfn.QUARTILE.INC(_xlfn._xlws.FILTER($Q$5:$Q$64,$C$5:$C$64=$C19,""),1),"")</f>
        <v>43.604372326614211</v>
      </c>
      <c r="CA19" s="32">
        <f t="shared" si="0"/>
        <v>59.731453547219985</v>
      </c>
      <c r="CB19" s="32">
        <f t="shared" si="1"/>
        <v>192.93300619466419</v>
      </c>
      <c r="CC19" s="32">
        <f t="shared" si="2"/>
        <v>-45.992807994215767</v>
      </c>
      <c r="CD19" s="32">
        <f t="shared" si="3"/>
        <v>0</v>
      </c>
      <c r="CE19" s="32">
        <f t="shared" si="4"/>
        <v>0</v>
      </c>
      <c r="CF19" s="32">
        <f t="shared" si="5"/>
        <v>0.5</v>
      </c>
      <c r="CG19" s="32">
        <f t="shared" si="6"/>
        <v>0</v>
      </c>
      <c r="CO1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9" s="32">
        <f>IF(AND(InputTable[[#This Row],[metadata.primary_cooling_system]]="District Cooling",InputTable[[#This Row],[measurement.eui.C]]&gt;=InputTable[[#This Row],[measurement.eui.total]]*0.6),1,0)*$CQ$2</f>
        <v>0</v>
      </c>
      <c r="CR19" s="32">
        <f>IF(AND(InputTable[[#This Row],[metadata.primary_cooling_system]]="District Cooling",InputTable[[#This Row],[measurement.eui.C]]&lt;=InputTable[[#This Row],[measurement.eui.total]]*0.1),1,0)*$CR$2</f>
        <v>0.8</v>
      </c>
      <c r="CS19" s="32">
        <f t="shared" si="7"/>
        <v>1.3</v>
      </c>
      <c r="CT19" s="32" t="s">
        <v>177</v>
      </c>
      <c r="CU19" s="32">
        <f t="shared" si="8"/>
        <v>5524.2</v>
      </c>
      <c r="CV19" s="32">
        <f t="shared" si="9"/>
        <v>11518.950000000004</v>
      </c>
      <c r="CW19" s="32">
        <f>SUM(InputTable[[#This Row],[measurement.E.1]],InputTable[[#This Row],[measurement.G.1]],InputTable[[#This Row],[measurement.S.1]],InputTable[[#This Row],[measurement.C.1]])</f>
        <v>37081.089999999997</v>
      </c>
      <c r="CX19" s="32">
        <f>SUM(InputTable[[#This Row],[measurement.E.2]],InputTable[[#This Row],[measurement.G.2]],InputTable[[#This Row],[measurement.S.2]],InputTable[[#This Row],[measurement.C.2]])</f>
        <v>25621.47991516113</v>
      </c>
      <c r="CY19" s="32">
        <f>SUM(InputTable[[#This Row],[measurement.E.3]],InputTable[[#This Row],[measurement.G.3]],InputTable[[#This Row],[measurement.S.3]],InputTable[[#This Row],[measurement.C.3]])</f>
        <v>25314.944319646613</v>
      </c>
      <c r="CZ19" s="32">
        <f>SUM(InputTable[[#This Row],[measurement.E.4]],InputTable[[#This Row],[measurement.G.4]],InputTable[[#This Row],[measurement.S.4]],InputTable[[#This Row],[measurement.C.4]])</f>
        <v>26395.623986552364</v>
      </c>
      <c r="DA19" s="32">
        <f>SUM(InputTable[[#This Row],[measurement.E.5]],InputTable[[#This Row],[measurement.G.5]],InputTable[[#This Row],[measurement.S.5]],InputTable[[#This Row],[measurement.C.5]])</f>
        <v>1291.6487292103311</v>
      </c>
      <c r="DB19" s="32">
        <f>SUM(InputTable[[#This Row],[measurement.E.6]],InputTable[[#This Row],[measurement.G.6]],InputTable[[#This Row],[measurement.S.6]],InputTable[[#This Row],[measurement.C.6]])</f>
        <v>21299.748517113312</v>
      </c>
      <c r="DC19" s="32">
        <f>SUM(InputTable[[#This Row],[measurement.E.7]],InputTable[[#This Row],[measurement.G.7]],InputTable[[#This Row],[measurement.S.7]],InputTable[[#This Row],[measurement.C.7]])</f>
        <v>42670.214634642936</v>
      </c>
      <c r="DD19" s="32">
        <f>SUM(InputTable[[#This Row],[measurement.E.8]],InputTable[[#This Row],[measurement.G.8]],InputTable[[#This Row],[measurement.S.8]],InputTable[[#This Row],[measurement.C.8]])</f>
        <v>41513.276995317574</v>
      </c>
      <c r="DE19" s="32">
        <f>SUM(InputTable[[#This Row],[measurement.E.9]],InputTable[[#This Row],[measurement.G.9]],InputTable[[#This Row],[measurement.S.9]],InputTable[[#This Row],[measurement.C.9]])</f>
        <v>40225.035702421977</v>
      </c>
      <c r="DF19" s="32">
        <f>SUM(InputTable[[#This Row],[measurement.E.10]],InputTable[[#This Row],[measurement.G.10]],InputTable[[#This Row],[measurement.S.10]],InputTable[[#This Row],[measurement.C.10]])</f>
        <v>45631.092078973801</v>
      </c>
      <c r="DG19" s="32">
        <f>SUM(InputTable[[#This Row],[measurement.E.11]],InputTable[[#This Row],[measurement.G.11]],InputTable[[#This Row],[measurement.S.11]],InputTable[[#This Row],[measurement.C.11]])</f>
        <v>40887.359831467547</v>
      </c>
      <c r="DH19" s="32">
        <f>SUM(InputTable[[#This Row],[measurement.E.12]],InputTable[[#This Row],[measurement.G.12]],InputTable[[#This Row],[measurement.S.12]],InputTable[[#This Row],[measurement.C.12]])</f>
        <v>38005.64</v>
      </c>
    </row>
    <row r="20" spans="1:112" s="32" customFormat="1" ht="30" customHeight="1" x14ac:dyDescent="0.3">
      <c r="A20" s="2" t="s">
        <v>207</v>
      </c>
      <c r="B20" s="3">
        <v>345715</v>
      </c>
      <c r="C20" s="3" t="s">
        <v>179</v>
      </c>
      <c r="D20" s="3" t="s">
        <v>172</v>
      </c>
      <c r="E20" s="4" t="s">
        <v>173</v>
      </c>
      <c r="F20" s="4" t="s">
        <v>174</v>
      </c>
      <c r="G20" s="4"/>
      <c r="H20" s="4" t="s">
        <v>175</v>
      </c>
      <c r="I20" s="5">
        <v>37.332654859999998</v>
      </c>
      <c r="J20" s="5">
        <v>-121.8820248</v>
      </c>
      <c r="K20" s="48" t="s">
        <v>176</v>
      </c>
      <c r="L20" s="10"/>
      <c r="M20" s="3"/>
      <c r="N20" s="3" t="s">
        <v>15</v>
      </c>
      <c r="O20" s="4" t="s">
        <v>16</v>
      </c>
      <c r="P20" s="3">
        <v>2023</v>
      </c>
      <c r="Q20" s="59">
        <f>IF(COUNTBLANK(InputTable[[#This Row],[measurement.E.1]:[measurement.C.12]])=4*12,"",SUM(InputTable[[#This Row],[measurement.eui.E]:[measurement.eui.C]]))</f>
        <v>123.42692609707021</v>
      </c>
      <c r="R20" s="33" cm="1">
        <f t="array" ref="R2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29.86632848592809</v>
      </c>
      <c r="S20" s="33" cm="1">
        <f t="array" ref="S2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7.5595472770094957E-2</v>
      </c>
      <c r="T20" s="33" cm="1">
        <f t="array" ref="T2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69.754309160375755</v>
      </c>
      <c r="U20" s="33" cm="1">
        <f t="array" ref="U2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23.730692977996267</v>
      </c>
      <c r="V20" s="6">
        <v>253251.36849468711</v>
      </c>
      <c r="W20" s="9">
        <v>252565.6866455072</v>
      </c>
      <c r="X20" s="9">
        <v>271737.5885890178</v>
      </c>
      <c r="Y20" s="9">
        <v>265099.57571762131</v>
      </c>
      <c r="Z20" s="9">
        <v>249774.10681152251</v>
      </c>
      <c r="AA20" s="9">
        <v>230638.97586495781</v>
      </c>
      <c r="AB20" s="9">
        <v>230248.279994421</v>
      </c>
      <c r="AC20" s="9">
        <v>223964.90889020389</v>
      </c>
      <c r="AD20" s="9">
        <v>237845.97429754399</v>
      </c>
      <c r="AE20" s="9">
        <v>261547.53642894639</v>
      </c>
      <c r="AF20" s="9">
        <v>268530.43747876008</v>
      </c>
      <c r="AG20" s="9">
        <v>280824.06807754817</v>
      </c>
      <c r="AH20" s="6">
        <v>10.00163471698761</v>
      </c>
      <c r="AI20" s="9">
        <v>31.060229539871219</v>
      </c>
      <c r="AJ20" s="9">
        <v>16.497585535049438</v>
      </c>
      <c r="AK20" s="9">
        <v>14.22719776630402</v>
      </c>
      <c r="AL20" s="9">
        <v>9.896208643913269</v>
      </c>
      <c r="AM20" s="9">
        <v>12.05052161216736</v>
      </c>
      <c r="AN20" s="9">
        <v>3.30228579044342</v>
      </c>
      <c r="AO20" s="9">
        <v>24.38430833816528</v>
      </c>
      <c r="AP20" s="9">
        <v>19.751950860023499</v>
      </c>
      <c r="AQ20" s="9">
        <v>25.142525434494019</v>
      </c>
      <c r="AR20" s="9">
        <v>8.7418460845947266</v>
      </c>
      <c r="AS20" s="9">
        <v>86.288594365119934</v>
      </c>
      <c r="AT20" s="6">
        <v>30776.551724137898</v>
      </c>
      <c r="AU20" s="9">
        <v>30749.9999999998</v>
      </c>
      <c r="AV20" s="9">
        <v>32716.42225031586</v>
      </c>
      <c r="AW20" s="9">
        <v>25953.89024968438</v>
      </c>
      <c r="AX20" s="9">
        <v>14236.250000000009</v>
      </c>
      <c r="AY20" s="9">
        <v>11494.553571428671</v>
      </c>
      <c r="AZ20" s="9">
        <v>10124.508928571429</v>
      </c>
      <c r="BA20" s="9">
        <v>8876.5178571428423</v>
      </c>
      <c r="BB20" s="9">
        <v>10843.898809523969</v>
      </c>
      <c r="BC20" s="9">
        <v>15682.708333333459</v>
      </c>
      <c r="BD20" s="9">
        <v>25116.519151954461</v>
      </c>
      <c r="BE20" s="9">
        <v>24579.289037700259</v>
      </c>
      <c r="BF20" s="6">
        <v>33783.131379309947</v>
      </c>
      <c r="BG20" s="9">
        <v>30563.230546874838</v>
      </c>
      <c r="BH20" s="9">
        <v>36002.666089700397</v>
      </c>
      <c r="BI20" s="9">
        <v>53678.642347800269</v>
      </c>
      <c r="BJ20" s="9">
        <v>41924.104218749613</v>
      </c>
      <c r="BK20" s="9">
        <v>58037.298950892313</v>
      </c>
      <c r="BL20" s="9">
        <v>80692.177689732634</v>
      </c>
      <c r="BM20" s="9">
        <v>94908.331491072386</v>
      </c>
      <c r="BN20" s="9">
        <v>72012.749886244696</v>
      </c>
      <c r="BO20" s="9">
        <v>84458.185966436737</v>
      </c>
      <c r="BP20" s="9">
        <v>56136.46162909823</v>
      </c>
      <c r="BQ20" s="9">
        <v>41474.396711419438</v>
      </c>
      <c r="BR20" s="7"/>
      <c r="BS20" s="8"/>
      <c r="BT20" s="8"/>
      <c r="BU20" s="8"/>
      <c r="BX20" s="32" cm="1">
        <f t="array" ref="BX20">IFERROR(_xlfn.QUARTILE.INC(_xlfn._xlws.FILTER($Q$5:$Q$64,$C$5:$C$64=$C20,""),3),"")</f>
        <v>123.42692609707021</v>
      </c>
      <c r="BY20" s="32" cm="1">
        <f t="array" ref="BY20">IFERROR(_xlfn.QUARTILE.INC(_xlfn._xlws.FILTER($Q$5:$Q$64,$C$5:$C$64=$C20,""),2),"")</f>
        <v>110.7023746240035</v>
      </c>
      <c r="BZ20" s="32" cm="1">
        <f t="array" ref="BZ20">IFERROR(_xlfn.QUARTILE.INC(_xlfn._xlws.FILTER($Q$5:$Q$64,$C$5:$C$64=$C20,""),1),"")</f>
        <v>105.94108912362468</v>
      </c>
      <c r="CA20" s="32">
        <f t="shared" si="0"/>
        <v>17.485836973445529</v>
      </c>
      <c r="CB20" s="32">
        <f t="shared" si="1"/>
        <v>149.65568155723849</v>
      </c>
      <c r="CC20" s="32">
        <f t="shared" si="2"/>
        <v>79.712333663456377</v>
      </c>
      <c r="CD20" s="32">
        <f t="shared" si="3"/>
        <v>0</v>
      </c>
      <c r="CE20" s="32">
        <f t="shared" si="4"/>
        <v>0</v>
      </c>
      <c r="CF20" s="32">
        <f t="shared" si="5"/>
        <v>0</v>
      </c>
      <c r="CG20" s="32">
        <f t="shared" si="6"/>
        <v>0</v>
      </c>
      <c r="CO2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0" s="32">
        <f>IF(AND(InputTable[[#This Row],[metadata.primary_cooling_system]]="District Cooling",InputTable[[#This Row],[measurement.eui.C]]&gt;=InputTable[[#This Row],[measurement.eui.total]]*0.6),1,0)*$CQ$2</f>
        <v>0</v>
      </c>
      <c r="CR20" s="32">
        <f>IF(AND(InputTable[[#This Row],[metadata.primary_cooling_system]]="District Cooling",InputTable[[#This Row],[measurement.eui.C]]&lt;=InputTable[[#This Row],[measurement.eui.total]]*0.1),1,0)*$CR$2</f>
        <v>0</v>
      </c>
      <c r="CS20" s="32">
        <f t="shared" si="7"/>
        <v>0</v>
      </c>
      <c r="CU20" s="32">
        <f t="shared" si="8"/>
        <v>97212.327749684773</v>
      </c>
      <c r="CV20" s="32">
        <f t="shared" si="9"/>
        <v>143938.78216410827</v>
      </c>
      <c r="CW20" s="32">
        <f>SUM(InputTable[[#This Row],[measurement.E.1]],InputTable[[#This Row],[measurement.G.1]],InputTable[[#This Row],[measurement.S.1]],InputTable[[#This Row],[measurement.C.1]])</f>
        <v>317821.0532328519</v>
      </c>
      <c r="CX20" s="32">
        <f>SUM(InputTable[[#This Row],[measurement.E.2]],InputTable[[#This Row],[measurement.G.2]],InputTable[[#This Row],[measurement.S.2]],InputTable[[#This Row],[measurement.C.2]])</f>
        <v>313909.97742192168</v>
      </c>
      <c r="CY20" s="32">
        <f>SUM(InputTable[[#This Row],[measurement.E.3]],InputTable[[#This Row],[measurement.G.3]],InputTable[[#This Row],[measurement.S.3]],InputTable[[#This Row],[measurement.C.3]])</f>
        <v>340473.17451456911</v>
      </c>
      <c r="CZ20" s="32">
        <f>SUM(InputTable[[#This Row],[measurement.E.4]],InputTable[[#This Row],[measurement.G.4]],InputTable[[#This Row],[measurement.S.4]],InputTable[[#This Row],[measurement.C.4]])</f>
        <v>344746.33551287226</v>
      </c>
      <c r="DA20" s="32">
        <f>SUM(InputTable[[#This Row],[measurement.E.5]],InputTable[[#This Row],[measurement.G.5]],InputTable[[#This Row],[measurement.S.5]],InputTable[[#This Row],[measurement.C.5]])</f>
        <v>305944.35723891604</v>
      </c>
      <c r="DB20" s="32">
        <f>SUM(InputTable[[#This Row],[measurement.E.6]],InputTable[[#This Row],[measurement.G.6]],InputTable[[#This Row],[measurement.S.6]],InputTable[[#This Row],[measurement.C.6]])</f>
        <v>300182.87890889094</v>
      </c>
      <c r="DC20" s="32">
        <f>SUM(InputTable[[#This Row],[measurement.E.7]],InputTable[[#This Row],[measurement.G.7]],InputTable[[#This Row],[measurement.S.7]],InputTable[[#This Row],[measurement.C.7]])</f>
        <v>321068.2688985155</v>
      </c>
      <c r="DD20" s="32">
        <f>SUM(InputTable[[#This Row],[measurement.E.8]],InputTable[[#This Row],[measurement.G.8]],InputTable[[#This Row],[measurement.S.8]],InputTable[[#This Row],[measurement.C.8]])</f>
        <v>327774.1425467573</v>
      </c>
      <c r="DE20" s="32">
        <f>SUM(InputTable[[#This Row],[measurement.E.9]],InputTable[[#This Row],[measurement.G.9]],InputTable[[#This Row],[measurement.S.9]],InputTable[[#This Row],[measurement.C.9]])</f>
        <v>320722.37494417268</v>
      </c>
      <c r="DF20" s="32">
        <f>SUM(InputTable[[#This Row],[measurement.E.10]],InputTable[[#This Row],[measurement.G.10]],InputTable[[#This Row],[measurement.S.10]],InputTable[[#This Row],[measurement.C.10]])</f>
        <v>361713.5732541511</v>
      </c>
      <c r="DG20" s="32">
        <f>SUM(InputTable[[#This Row],[measurement.E.11]],InputTable[[#This Row],[measurement.G.11]],InputTable[[#This Row],[measurement.S.11]],InputTable[[#This Row],[measurement.C.11]])</f>
        <v>349792.16010589735</v>
      </c>
      <c r="DH20" s="32">
        <f>SUM(InputTable[[#This Row],[measurement.E.12]],InputTable[[#This Row],[measurement.G.12]],InputTable[[#This Row],[measurement.S.12]],InputTable[[#This Row],[measurement.C.12]])</f>
        <v>346964.04242103302</v>
      </c>
    </row>
    <row r="21" spans="1:112" s="32" customFormat="1" ht="30" customHeight="1" x14ac:dyDescent="0.3">
      <c r="A21" s="2" t="s">
        <v>208</v>
      </c>
      <c r="B21" s="3">
        <v>36691</v>
      </c>
      <c r="C21" s="3" t="s">
        <v>187</v>
      </c>
      <c r="D21" s="3" t="s">
        <v>172</v>
      </c>
      <c r="E21" s="4" t="s">
        <v>173</v>
      </c>
      <c r="F21" s="4" t="s">
        <v>174</v>
      </c>
      <c r="G21" s="4"/>
      <c r="H21" s="4" t="s">
        <v>175</v>
      </c>
      <c r="I21" s="5">
        <v>37.335121319999999</v>
      </c>
      <c r="J21" s="5">
        <v>-121.88234869999999</v>
      </c>
      <c r="K21" s="48" t="s">
        <v>176</v>
      </c>
      <c r="L21" s="10"/>
      <c r="M21" s="3"/>
      <c r="N21" s="3" t="s">
        <v>15</v>
      </c>
      <c r="O21" s="4" t="s">
        <v>16</v>
      </c>
      <c r="P21" s="3">
        <v>2023</v>
      </c>
      <c r="Q21" s="59">
        <f>IF(COUNTBLANK(InputTable[[#This Row],[measurement.E.1]:[measurement.C.12]])=4*12,"",SUM(InputTable[[#This Row],[measurement.eui.E]:[measurement.eui.C]]))</f>
        <v>63.763251345785051</v>
      </c>
      <c r="R21" s="33" cm="1">
        <f t="array" ref="R2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19.064034706741701</v>
      </c>
      <c r="S21" s="33" cm="1">
        <f t="array" ref="S2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1" s="33" cm="1">
        <f t="array" ref="T2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40.780957555949456</v>
      </c>
      <c r="U21" s="33" cm="1">
        <f t="array" ref="U2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3.9182590830938935</v>
      </c>
      <c r="V21" s="6">
        <v>15064.655172413961</v>
      </c>
      <c r="W21" s="9">
        <v>16889.00000000016</v>
      </c>
      <c r="X21" s="9">
        <v>16249.719974715499</v>
      </c>
      <c r="Y21" s="9">
        <v>17378.780025284399</v>
      </c>
      <c r="Z21" s="9">
        <v>16966.999999999789</v>
      </c>
      <c r="AA21" s="9">
        <v>16645.28571428547</v>
      </c>
      <c r="AB21" s="9">
        <v>18801.529100529209</v>
      </c>
      <c r="AC21" s="9">
        <v>20676.729302832071</v>
      </c>
      <c r="AD21" s="9">
        <v>17616.279956427039</v>
      </c>
      <c r="AE21" s="9">
        <v>18687.9259259258</v>
      </c>
      <c r="AF21" s="9">
        <v>18976.256305169882</v>
      </c>
      <c r="AG21" s="9">
        <v>11043.752315519499</v>
      </c>
      <c r="AH21" s="6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6">
        <v>3065.9758890085918</v>
      </c>
      <c r="AU21" s="9">
        <v>2823.8085937499782</v>
      </c>
      <c r="AV21" s="9">
        <v>2383.9213120259301</v>
      </c>
      <c r="AW21" s="9">
        <v>1413.0904067240961</v>
      </c>
      <c r="AX21" s="9">
        <v>851.01562499999307</v>
      </c>
      <c r="AY21" s="9">
        <v>421.95870535714602</v>
      </c>
      <c r="AZ21" s="9">
        <v>161.78912450396851</v>
      </c>
      <c r="BA21" s="9">
        <v>3.5177951388888888</v>
      </c>
      <c r="BB21" s="9">
        <v>0</v>
      </c>
      <c r="BC21" s="9">
        <v>174.10156250000171</v>
      </c>
      <c r="BD21" s="9">
        <v>2543.8221646437669</v>
      </c>
      <c r="BE21" s="9">
        <v>1119.9399582010551</v>
      </c>
      <c r="BF21" s="6">
        <v>51.645593261719142</v>
      </c>
      <c r="BG21" s="9">
        <v>201.58966064452969</v>
      </c>
      <c r="BH21" s="9">
        <v>114.4434636808475</v>
      </c>
      <c r="BI21" s="9">
        <v>433.19810104212257</v>
      </c>
      <c r="BJ21" s="9">
        <v>440.43095081851328</v>
      </c>
      <c r="BK21" s="9">
        <v>650.93822982589995</v>
      </c>
      <c r="BL21" s="9">
        <v>1637.073522852618</v>
      </c>
      <c r="BM21" s="9">
        <v>4210.135059295224</v>
      </c>
      <c r="BN21" s="9">
        <v>2162.3318242639289</v>
      </c>
      <c r="BO21" s="9">
        <v>1760.874342760995</v>
      </c>
      <c r="BP21" s="9">
        <v>266.09732644172152</v>
      </c>
      <c r="BQ21" s="9">
        <v>51.645593261719142</v>
      </c>
      <c r="BR21" s="7"/>
      <c r="BS21" s="8"/>
      <c r="BT21" s="8"/>
      <c r="BU21" s="8"/>
      <c r="BX21" s="32" cm="1">
        <f t="array" ref="BX21">IFERROR(_xlfn.QUARTILE.INC(_xlfn._xlws.FILTER($Q$5:$Q$64,$C$5:$C$64=$C21,""),3),"")</f>
        <v>103.3358258738342</v>
      </c>
      <c r="BY21" s="32" cm="1">
        <f t="array" ref="BY21">IFERROR(_xlfn.QUARTILE.INC(_xlfn._xlws.FILTER($Q$5:$Q$64,$C$5:$C$64=$C21,""),2),"")</f>
        <v>63.763251345785051</v>
      </c>
      <c r="BZ21" s="32" cm="1">
        <f t="array" ref="BZ21">IFERROR(_xlfn.QUARTILE.INC(_xlfn._xlws.FILTER($Q$5:$Q$64,$C$5:$C$64=$C21,""),1),"")</f>
        <v>43.604372326614211</v>
      </c>
      <c r="CA21" s="32">
        <f t="shared" si="0"/>
        <v>59.731453547219985</v>
      </c>
      <c r="CB21" s="32">
        <f t="shared" si="1"/>
        <v>192.93300619466419</v>
      </c>
      <c r="CC21" s="32">
        <f t="shared" si="2"/>
        <v>-45.992807994215767</v>
      </c>
      <c r="CD21" s="32">
        <f t="shared" si="3"/>
        <v>0</v>
      </c>
      <c r="CE21" s="32">
        <f t="shared" si="4"/>
        <v>0</v>
      </c>
      <c r="CF21" s="32">
        <f t="shared" si="5"/>
        <v>0</v>
      </c>
      <c r="CG21" s="32">
        <f t="shared" si="6"/>
        <v>0</v>
      </c>
      <c r="CO2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1" s="32">
        <f>IF(AND(InputTable[[#This Row],[metadata.primary_cooling_system]]="District Cooling",InputTable[[#This Row],[measurement.eui.C]]&gt;=InputTable[[#This Row],[measurement.eui.total]]*0.6),1,0)*$CQ$2</f>
        <v>0</v>
      </c>
      <c r="CR21" s="32">
        <f>IF(AND(InputTable[[#This Row],[metadata.primary_cooling_system]]="District Cooling",InputTable[[#This Row],[measurement.eui.C]]&lt;=InputTable[[#This Row],[measurement.eui.total]]*0.1),1,0)*$CR$2</f>
        <v>0.8</v>
      </c>
      <c r="CS21" s="32">
        <f t="shared" si="7"/>
        <v>0.8</v>
      </c>
      <c r="CT21" s="32" t="s">
        <v>177</v>
      </c>
      <c r="CU21" s="32">
        <f t="shared" si="8"/>
        <v>3025.473219224094</v>
      </c>
      <c r="CV21" s="32">
        <f t="shared" si="9"/>
        <v>11937.467917629323</v>
      </c>
      <c r="CW21" s="32">
        <f>SUM(InputTable[[#This Row],[measurement.E.1]],InputTable[[#This Row],[measurement.G.1]],InputTable[[#This Row],[measurement.S.1]],InputTable[[#This Row],[measurement.C.1]])</f>
        <v>18182.276654684272</v>
      </c>
      <c r="CX21" s="32">
        <f>SUM(InputTable[[#This Row],[measurement.E.2]],InputTable[[#This Row],[measurement.G.2]],InputTable[[#This Row],[measurement.S.2]],InputTable[[#This Row],[measurement.C.2]])</f>
        <v>19914.398254394669</v>
      </c>
      <c r="CY21" s="32">
        <f>SUM(InputTable[[#This Row],[measurement.E.3]],InputTable[[#This Row],[measurement.G.3]],InputTable[[#This Row],[measurement.S.3]],InputTable[[#This Row],[measurement.C.3]])</f>
        <v>18748.084750422277</v>
      </c>
      <c r="CZ21" s="32">
        <f>SUM(InputTable[[#This Row],[measurement.E.4]],InputTable[[#This Row],[measurement.G.4]],InputTable[[#This Row],[measurement.S.4]],InputTable[[#This Row],[measurement.C.4]])</f>
        <v>19225.068533050617</v>
      </c>
      <c r="DA21" s="32">
        <f>SUM(InputTable[[#This Row],[measurement.E.5]],InputTable[[#This Row],[measurement.G.5]],InputTable[[#This Row],[measurement.S.5]],InputTable[[#This Row],[measurement.C.5]])</f>
        <v>18258.446575818296</v>
      </c>
      <c r="DB21" s="32">
        <f>SUM(InputTable[[#This Row],[measurement.E.6]],InputTable[[#This Row],[measurement.G.6]],InputTable[[#This Row],[measurement.S.6]],InputTable[[#This Row],[measurement.C.6]])</f>
        <v>17718.182649468516</v>
      </c>
      <c r="DC21" s="32">
        <f>SUM(InputTable[[#This Row],[measurement.E.7]],InputTable[[#This Row],[measurement.G.7]],InputTable[[#This Row],[measurement.S.7]],InputTable[[#This Row],[measurement.C.7]])</f>
        <v>20600.391747885795</v>
      </c>
      <c r="DD21" s="32">
        <f>SUM(InputTable[[#This Row],[measurement.E.8]],InputTable[[#This Row],[measurement.G.8]],InputTable[[#This Row],[measurement.S.8]],InputTable[[#This Row],[measurement.C.8]])</f>
        <v>24890.382157266184</v>
      </c>
      <c r="DE21" s="32">
        <f>SUM(InputTable[[#This Row],[measurement.E.9]],InputTable[[#This Row],[measurement.G.9]],InputTable[[#This Row],[measurement.S.9]],InputTable[[#This Row],[measurement.C.9]])</f>
        <v>19778.611780690968</v>
      </c>
      <c r="DF21" s="32">
        <f>SUM(InputTable[[#This Row],[measurement.E.10]],InputTable[[#This Row],[measurement.G.10]],InputTable[[#This Row],[measurement.S.10]],InputTable[[#This Row],[measurement.C.10]])</f>
        <v>20622.901831186795</v>
      </c>
      <c r="DG21" s="32">
        <f>SUM(InputTable[[#This Row],[measurement.E.11]],InputTable[[#This Row],[measurement.G.11]],InputTable[[#This Row],[measurement.S.11]],InputTable[[#This Row],[measurement.C.11]])</f>
        <v>21786.175796255371</v>
      </c>
      <c r="DH21" s="32">
        <f>SUM(InputTable[[#This Row],[measurement.E.12]],InputTable[[#This Row],[measurement.G.12]],InputTable[[#This Row],[measurement.S.12]],InputTable[[#This Row],[measurement.C.12]])</f>
        <v>12215.337866982274</v>
      </c>
    </row>
    <row r="22" spans="1:112" s="32" customFormat="1" ht="30" customHeight="1" x14ac:dyDescent="0.3">
      <c r="A22" s="2" t="s">
        <v>209</v>
      </c>
      <c r="B22" s="3">
        <v>341415</v>
      </c>
      <c r="C22" s="3" t="s">
        <v>187</v>
      </c>
      <c r="D22" s="3" t="s">
        <v>172</v>
      </c>
      <c r="E22" s="4" t="s">
        <v>173</v>
      </c>
      <c r="F22" s="4" t="s">
        <v>174</v>
      </c>
      <c r="G22" s="4"/>
      <c r="H22" s="4" t="s">
        <v>175</v>
      </c>
      <c r="I22" s="5">
        <v>37.337396730000002</v>
      </c>
      <c r="J22" s="5">
        <v>-121.8815678</v>
      </c>
      <c r="K22" s="48" t="s">
        <v>176</v>
      </c>
      <c r="L22" s="10"/>
      <c r="M22" s="3"/>
      <c r="N22" s="3" t="s">
        <v>15</v>
      </c>
      <c r="O22" s="4" t="s">
        <v>16</v>
      </c>
      <c r="P22" s="3">
        <v>2023</v>
      </c>
      <c r="Q22" s="59">
        <f>IF(COUNTBLANK(InputTable[[#This Row],[measurement.E.1]:[measurement.C.12]])=4*12,"",SUM(InputTable[[#This Row],[measurement.eui.E]:[measurement.eui.C]]))</f>
        <v>109.14373937057832</v>
      </c>
      <c r="R22" s="33" cm="1">
        <f t="array" ref="R2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36.387177230704822</v>
      </c>
      <c r="S22" s="33" cm="1">
        <f t="array" ref="S2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2" s="33" cm="1">
        <f t="array" ref="T2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35.777473327283431</v>
      </c>
      <c r="U22" s="33" cm="1">
        <f t="array" ref="U2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36.979088812590071</v>
      </c>
      <c r="V22" s="6">
        <v>286377.33798828127</v>
      </c>
      <c r="W22" s="9">
        <v>278527.37412109377</v>
      </c>
      <c r="X22" s="9">
        <v>312884.63037109381</v>
      </c>
      <c r="Y22" s="9">
        <v>314388.72756347648</v>
      </c>
      <c r="Z22" s="9">
        <v>320838.94467468263</v>
      </c>
      <c r="AA22" s="9">
        <v>275332.61118469242</v>
      </c>
      <c r="AB22" s="9">
        <v>302103.00898437499</v>
      </c>
      <c r="AC22" s="9">
        <v>285617.07622070308</v>
      </c>
      <c r="AD22" s="9">
        <v>323797.34433593752</v>
      </c>
      <c r="AE22" s="9">
        <v>322579.45195312501</v>
      </c>
      <c r="AF22" s="9">
        <v>306935.40078124998</v>
      </c>
      <c r="AG22" s="9">
        <v>311477.57849121088</v>
      </c>
      <c r="AH22" s="6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6">
        <v>14567.230603448121</v>
      </c>
      <c r="AU22" s="9">
        <v>14797.499999999911</v>
      </c>
      <c r="AV22" s="9">
        <v>16078.91099083446</v>
      </c>
      <c r="AW22" s="9">
        <v>12523.58900916572</v>
      </c>
      <c r="AX22" s="9">
        <v>12476.562499999971</v>
      </c>
      <c r="AY22" s="9">
        <v>3432.5076219511948</v>
      </c>
      <c r="AZ22" s="9">
        <v>4968.2736280487752</v>
      </c>
      <c r="BA22" s="9">
        <v>3959.5580357142239</v>
      </c>
      <c r="BB22" s="9">
        <v>4429.7185846560442</v>
      </c>
      <c r="BC22" s="9">
        <v>5037.1296296296596</v>
      </c>
      <c r="BD22" s="9">
        <v>12502.002482660761</v>
      </c>
      <c r="BE22" s="9">
        <v>17376.677474235908</v>
      </c>
      <c r="BF22" s="6">
        <v>19374.69642510793</v>
      </c>
      <c r="BG22" s="9">
        <v>19665.880000000081</v>
      </c>
      <c r="BH22" s="9">
        <v>22997.677559260799</v>
      </c>
      <c r="BI22" s="9">
        <v>71887.849784489328</v>
      </c>
      <c r="BJ22" s="9">
        <v>101593.5923437489</v>
      </c>
      <c r="BK22" s="9">
        <v>109602.6088605181</v>
      </c>
      <c r="BL22" s="9">
        <v>148445.0115301061</v>
      </c>
      <c r="BM22" s="9">
        <v>170042.2679776813</v>
      </c>
      <c r="BN22" s="9">
        <v>130659.2451473221</v>
      </c>
      <c r="BO22" s="9">
        <v>117834.4791406242</v>
      </c>
      <c r="BP22" s="9">
        <v>75735.686823771015</v>
      </c>
      <c r="BQ22" s="9">
        <v>64262.304986573647</v>
      </c>
      <c r="BR22" s="7"/>
      <c r="BS22" s="8"/>
      <c r="BT22" s="8"/>
      <c r="BU22" s="8"/>
      <c r="BX22" s="32" cm="1">
        <f t="array" ref="BX22">IFERROR(_xlfn.QUARTILE.INC(_xlfn._xlws.FILTER($Q$5:$Q$64,$C$5:$C$64=$C22,""),3),"")</f>
        <v>103.3358258738342</v>
      </c>
      <c r="BY22" s="32" cm="1">
        <f t="array" ref="BY22">IFERROR(_xlfn.QUARTILE.INC(_xlfn._xlws.FILTER($Q$5:$Q$64,$C$5:$C$64=$C22,""),2),"")</f>
        <v>63.763251345785051</v>
      </c>
      <c r="BZ22" s="32" cm="1">
        <f t="array" ref="BZ22">IFERROR(_xlfn.QUARTILE.INC(_xlfn._xlws.FILTER($Q$5:$Q$64,$C$5:$C$64=$C22,""),1),"")</f>
        <v>43.604372326614211</v>
      </c>
      <c r="CA22" s="32">
        <f t="shared" si="0"/>
        <v>59.731453547219985</v>
      </c>
      <c r="CB22" s="32">
        <f t="shared" si="1"/>
        <v>192.93300619466419</v>
      </c>
      <c r="CC22" s="32">
        <f t="shared" si="2"/>
        <v>-45.992807994215767</v>
      </c>
      <c r="CD22" s="32">
        <f t="shared" si="3"/>
        <v>0</v>
      </c>
      <c r="CE22" s="32">
        <f t="shared" si="4"/>
        <v>0</v>
      </c>
      <c r="CF22" s="32">
        <f t="shared" si="5"/>
        <v>0.5</v>
      </c>
      <c r="CG22" s="32">
        <f t="shared" si="6"/>
        <v>0</v>
      </c>
      <c r="CO2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2" s="32">
        <f>IF(AND(InputTable[[#This Row],[metadata.primary_cooling_system]]="District Cooling",InputTable[[#This Row],[measurement.eui.C]]&gt;=InputTable[[#This Row],[measurement.eui.total]]*0.6),1,0)*$CQ$2</f>
        <v>0</v>
      </c>
      <c r="CR22" s="32">
        <f>IF(AND(InputTable[[#This Row],[metadata.primary_cooling_system]]="District Cooling",InputTable[[#This Row],[measurement.eui.C]]&lt;=InputTable[[#This Row],[measurement.eui.total]]*0.1),1,0)*$CR$2</f>
        <v>0</v>
      </c>
      <c r="CS22" s="32">
        <f t="shared" si="7"/>
        <v>0.5</v>
      </c>
      <c r="CU22" s="32">
        <f t="shared" si="8"/>
        <v>46827.339009165589</v>
      </c>
      <c r="CV22" s="32">
        <f t="shared" si="9"/>
        <v>75322.321551179164</v>
      </c>
      <c r="CW22" s="32">
        <f>SUM(InputTable[[#This Row],[measurement.E.1]],InputTable[[#This Row],[measurement.G.1]],InputTable[[#This Row],[measurement.S.1]],InputTable[[#This Row],[measurement.C.1]])</f>
        <v>320319.26501683734</v>
      </c>
      <c r="CX22" s="32">
        <f>SUM(InputTable[[#This Row],[measurement.E.2]],InputTable[[#This Row],[measurement.G.2]],InputTable[[#This Row],[measurement.S.2]],InputTable[[#This Row],[measurement.C.2]])</f>
        <v>312990.75412109372</v>
      </c>
      <c r="CY22" s="32">
        <f>SUM(InputTable[[#This Row],[measurement.E.3]],InputTable[[#This Row],[measurement.G.3]],InputTable[[#This Row],[measurement.S.3]],InputTable[[#This Row],[measurement.C.3]])</f>
        <v>351961.21892118908</v>
      </c>
      <c r="CZ22" s="32">
        <f>SUM(InputTable[[#This Row],[measurement.E.4]],InputTable[[#This Row],[measurement.G.4]],InputTable[[#This Row],[measurement.S.4]],InputTable[[#This Row],[measurement.C.4]])</f>
        <v>398800.1663571315</v>
      </c>
      <c r="DA22" s="32">
        <f>SUM(InputTable[[#This Row],[measurement.E.5]],InputTable[[#This Row],[measurement.G.5]],InputTable[[#This Row],[measurement.S.5]],InputTable[[#This Row],[measurement.C.5]])</f>
        <v>434909.09951843147</v>
      </c>
      <c r="DB22" s="32">
        <f>SUM(InputTable[[#This Row],[measurement.E.6]],InputTable[[#This Row],[measurement.G.6]],InputTable[[#This Row],[measurement.S.6]],InputTable[[#This Row],[measurement.C.6]])</f>
        <v>388367.72766716167</v>
      </c>
      <c r="DC22" s="32">
        <f>SUM(InputTable[[#This Row],[measurement.E.7]],InputTable[[#This Row],[measurement.G.7]],InputTable[[#This Row],[measurement.S.7]],InputTable[[#This Row],[measurement.C.7]])</f>
        <v>455516.29414252983</v>
      </c>
      <c r="DD22" s="32">
        <f>SUM(InputTable[[#This Row],[measurement.E.8]],InputTable[[#This Row],[measurement.G.8]],InputTable[[#This Row],[measurement.S.8]],InputTable[[#This Row],[measurement.C.8]])</f>
        <v>459618.90223409858</v>
      </c>
      <c r="DE22" s="32">
        <f>SUM(InputTable[[#This Row],[measurement.E.9]],InputTable[[#This Row],[measurement.G.9]],InputTable[[#This Row],[measurement.S.9]],InputTable[[#This Row],[measurement.C.9]])</f>
        <v>458886.30806791561</v>
      </c>
      <c r="DF22" s="32">
        <f>SUM(InputTable[[#This Row],[measurement.E.10]],InputTable[[#This Row],[measurement.G.10]],InputTable[[#This Row],[measurement.S.10]],InputTable[[#This Row],[measurement.C.10]])</f>
        <v>445451.06072337891</v>
      </c>
      <c r="DG22" s="32">
        <f>SUM(InputTable[[#This Row],[measurement.E.11]],InputTable[[#This Row],[measurement.G.11]],InputTable[[#This Row],[measurement.S.11]],InputTable[[#This Row],[measurement.C.11]])</f>
        <v>395173.09008768178</v>
      </c>
      <c r="DH22" s="32">
        <f>SUM(InputTable[[#This Row],[measurement.E.12]],InputTable[[#This Row],[measurement.G.12]],InputTable[[#This Row],[measurement.S.12]],InputTable[[#This Row],[measurement.C.12]])</f>
        <v>393116.5609520204</v>
      </c>
    </row>
    <row r="23" spans="1:112" s="32" customFormat="1" ht="30" customHeight="1" x14ac:dyDescent="0.3">
      <c r="A23" s="2" t="s">
        <v>210</v>
      </c>
      <c r="B23" s="3">
        <v>15667</v>
      </c>
      <c r="C23" s="3" t="s">
        <v>211</v>
      </c>
      <c r="D23" s="3" t="s">
        <v>212</v>
      </c>
      <c r="E23" s="4" t="s">
        <v>173</v>
      </c>
      <c r="F23" s="4" t="s">
        <v>174</v>
      </c>
      <c r="G23" s="4"/>
      <c r="H23" s="4" t="s">
        <v>175</v>
      </c>
      <c r="I23" s="5">
        <v>37.322579660000002</v>
      </c>
      <c r="J23" s="5">
        <v>-121.86714929999999</v>
      </c>
      <c r="K23" s="48" t="s">
        <v>176</v>
      </c>
      <c r="L23" s="10"/>
      <c r="M23" s="3" t="s">
        <v>213</v>
      </c>
      <c r="N23" s="3" t="s">
        <v>182</v>
      </c>
      <c r="O23" s="4" t="s">
        <v>13</v>
      </c>
      <c r="P23" s="3">
        <v>2023</v>
      </c>
      <c r="Q23" s="59">
        <f>IF(COUNTBLANK(InputTable[[#This Row],[measurement.E.1]:[measurement.C.12]])=4*12,"",SUM(InputTable[[#This Row],[measurement.eui.E]:[measurement.eui.C]]))</f>
        <v>60.408437896270414</v>
      </c>
      <c r="R23" s="33" cm="1">
        <f t="array" ref="R2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27.0714876186167</v>
      </c>
      <c r="S23" s="33" cm="1">
        <f t="array" ref="S2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33.336950277653713</v>
      </c>
      <c r="T23" s="33" cm="1">
        <f t="array" ref="T2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3" s="33" cm="1">
        <f t="array" ref="U2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3" s="6">
        <v>8729.5697494863998</v>
      </c>
      <c r="W23" s="9">
        <v>8433.9137811330111</v>
      </c>
      <c r="X23" s="9">
        <v>9424.7612812277548</v>
      </c>
      <c r="Y23" s="9">
        <v>8591.9994595346252</v>
      </c>
      <c r="Z23" s="9">
        <v>8698.2222893617272</v>
      </c>
      <c r="AA23" s="9">
        <v>9406.7972167929638</v>
      </c>
      <c r="AB23" s="9">
        <v>9761.9302353145849</v>
      </c>
      <c r="AC23" s="9">
        <v>13076.258163412071</v>
      </c>
      <c r="AD23" s="9">
        <v>13072.97441137458</v>
      </c>
      <c r="AE23" s="9">
        <v>12980.485065015329</v>
      </c>
      <c r="AF23" s="9">
        <v>11499.55047591033</v>
      </c>
      <c r="AG23" s="9">
        <v>10623.47797968649</v>
      </c>
      <c r="AH23" s="6">
        <v>582.37096774193151</v>
      </c>
      <c r="AI23" s="9">
        <v>2035.062365591418</v>
      </c>
      <c r="AJ23" s="9">
        <v>1363.9371702637909</v>
      </c>
      <c r="AK23" s="9">
        <v>355.09824640287468</v>
      </c>
      <c r="AL23" s="9">
        <v>156.43124999999969</v>
      </c>
      <c r="AM23" s="9">
        <v>72.051612903224708</v>
      </c>
      <c r="AN23" s="9">
        <v>59.999999999999417</v>
      </c>
      <c r="AO23" s="9">
        <v>38.34838709677355</v>
      </c>
      <c r="AP23" s="9">
        <v>20.599999999999859</v>
      </c>
      <c r="AQ23" s="9">
        <v>64.80805369127556</v>
      </c>
      <c r="AR23" s="9">
        <v>257.11452695388249</v>
      </c>
      <c r="AS23" s="9">
        <v>217.07741935483659</v>
      </c>
      <c r="AT23" s="6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6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7"/>
      <c r="BS23" s="8"/>
      <c r="BT23" s="8"/>
      <c r="BU23" s="8"/>
      <c r="BX23" s="32" cm="1">
        <f t="array" ref="BX23">IFERROR(_xlfn.QUARTILE.INC(_xlfn._xlws.FILTER($Q$5:$Q$64,$C$5:$C$64=$C23,""),3),"")</f>
        <v>110.27378312085324</v>
      </c>
      <c r="BY23" s="32" cm="1">
        <f t="array" ref="BY23">IFERROR(_xlfn.QUARTILE.INC(_xlfn._xlws.FILTER($Q$5:$Q$64,$C$5:$C$64=$C23,""),2),"")</f>
        <v>50.945706184815123</v>
      </c>
      <c r="BZ23" s="32" cm="1">
        <f t="array" ref="BZ23">IFERROR(_xlfn.QUARTILE.INC(_xlfn._xlws.FILTER($Q$5:$Q$64,$C$5:$C$64=$C23,""),1),"")</f>
        <v>35.324923465665997</v>
      </c>
      <c r="CA23" s="32">
        <f t="shared" si="0"/>
        <v>74.948859655187249</v>
      </c>
      <c r="CB23" s="32">
        <f t="shared" si="1"/>
        <v>222.69707260363413</v>
      </c>
      <c r="CC23" s="32">
        <f t="shared" si="2"/>
        <v>-77.09836601711487</v>
      </c>
      <c r="CD23" s="32">
        <f t="shared" si="3"/>
        <v>0</v>
      </c>
      <c r="CE23" s="32">
        <f t="shared" si="4"/>
        <v>0</v>
      </c>
      <c r="CF23" s="32">
        <f t="shared" si="5"/>
        <v>0</v>
      </c>
      <c r="CG23" s="32">
        <f t="shared" si="6"/>
        <v>0</v>
      </c>
      <c r="CO2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3" s="32">
        <f>IF(AND(InputTable[[#This Row],[metadata.primary_cooling_system]]="District Cooling",InputTable[[#This Row],[measurement.eui.C]]&gt;=InputTable[[#This Row],[measurement.eui.total]]*0.6),1,0)*$CQ$2</f>
        <v>0</v>
      </c>
      <c r="CR23" s="32">
        <f>IF(AND(InputTable[[#This Row],[metadata.primary_cooling_system]]="District Cooling",InputTable[[#This Row],[measurement.eui.C]]&lt;=InputTable[[#This Row],[measurement.eui.total]]*0.1),1,0)*$CR$2</f>
        <v>0</v>
      </c>
      <c r="CS23" s="32">
        <f t="shared" si="7"/>
        <v>0.8</v>
      </c>
      <c r="CU23" s="32">
        <f t="shared" si="8"/>
        <v>0</v>
      </c>
      <c r="CV23" s="32">
        <f t="shared" si="9"/>
        <v>0</v>
      </c>
      <c r="CW23" s="32">
        <f>SUM(InputTable[[#This Row],[measurement.E.1]],InputTable[[#This Row],[measurement.G.1]],InputTable[[#This Row],[measurement.S.1]],InputTable[[#This Row],[measurement.C.1]])</f>
        <v>9311.9407172283318</v>
      </c>
      <c r="CX23" s="32">
        <f>SUM(InputTable[[#This Row],[measurement.E.2]],InputTable[[#This Row],[measurement.G.2]],InputTable[[#This Row],[measurement.S.2]],InputTable[[#This Row],[measurement.C.2]])</f>
        <v>10468.97614672443</v>
      </c>
      <c r="CY23" s="32">
        <f>SUM(InputTable[[#This Row],[measurement.E.3]],InputTable[[#This Row],[measurement.G.3]],InputTable[[#This Row],[measurement.S.3]],InputTable[[#This Row],[measurement.C.3]])</f>
        <v>10788.698451491546</v>
      </c>
      <c r="CZ23" s="32">
        <f>SUM(InputTable[[#This Row],[measurement.E.4]],InputTable[[#This Row],[measurement.G.4]],InputTable[[#This Row],[measurement.S.4]],InputTable[[#This Row],[measurement.C.4]])</f>
        <v>8947.0977059375</v>
      </c>
      <c r="DA23" s="32">
        <f>SUM(InputTable[[#This Row],[measurement.E.5]],InputTable[[#This Row],[measurement.G.5]],InputTable[[#This Row],[measurement.S.5]],InputTable[[#This Row],[measurement.C.5]])</f>
        <v>8854.6535393617269</v>
      </c>
      <c r="DB23" s="32">
        <f>SUM(InputTable[[#This Row],[measurement.E.6]],InputTable[[#This Row],[measurement.G.6]],InputTable[[#This Row],[measurement.S.6]],InputTable[[#This Row],[measurement.C.6]])</f>
        <v>9478.8488296961877</v>
      </c>
      <c r="DC23" s="32">
        <f>SUM(InputTable[[#This Row],[measurement.E.7]],InputTable[[#This Row],[measurement.G.7]],InputTable[[#This Row],[measurement.S.7]],InputTable[[#This Row],[measurement.C.7]])</f>
        <v>9821.9302353145849</v>
      </c>
      <c r="DD23" s="32">
        <f>SUM(InputTable[[#This Row],[measurement.E.8]],InputTable[[#This Row],[measurement.G.8]],InputTable[[#This Row],[measurement.S.8]],InputTable[[#This Row],[measurement.C.8]])</f>
        <v>13114.606550508845</v>
      </c>
      <c r="DE23" s="32">
        <f>SUM(InputTable[[#This Row],[measurement.E.9]],InputTable[[#This Row],[measurement.G.9]],InputTable[[#This Row],[measurement.S.9]],InputTable[[#This Row],[measurement.C.9]])</f>
        <v>13093.57441137458</v>
      </c>
      <c r="DF23" s="32">
        <f>SUM(InputTable[[#This Row],[measurement.E.10]],InputTable[[#This Row],[measurement.G.10]],InputTable[[#This Row],[measurement.S.10]],InputTable[[#This Row],[measurement.C.10]])</f>
        <v>13045.293118706604</v>
      </c>
      <c r="DG23" s="32">
        <f>SUM(InputTable[[#This Row],[measurement.E.11]],InputTable[[#This Row],[measurement.G.11]],InputTable[[#This Row],[measurement.S.11]],InputTable[[#This Row],[measurement.C.11]])</f>
        <v>11756.665002864213</v>
      </c>
      <c r="DH23" s="32">
        <f>SUM(InputTable[[#This Row],[measurement.E.12]],InputTable[[#This Row],[measurement.G.12]],InputTable[[#This Row],[measurement.S.12]],InputTable[[#This Row],[measurement.C.12]])</f>
        <v>10840.555399041326</v>
      </c>
    </row>
    <row r="24" spans="1:112" s="32" customFormat="1" ht="30" customHeight="1" x14ac:dyDescent="0.3">
      <c r="A24" s="2" t="s">
        <v>214</v>
      </c>
      <c r="B24" s="3">
        <v>52851</v>
      </c>
      <c r="C24" s="3" t="s">
        <v>215</v>
      </c>
      <c r="D24" s="3" t="s">
        <v>216</v>
      </c>
      <c r="E24" s="4" t="s">
        <v>173</v>
      </c>
      <c r="F24" s="4" t="s">
        <v>174</v>
      </c>
      <c r="G24" s="4"/>
      <c r="H24" s="4" t="s">
        <v>175</v>
      </c>
      <c r="I24" s="5">
        <v>37.333794179999998</v>
      </c>
      <c r="J24" s="5">
        <v>-121.8864809</v>
      </c>
      <c r="K24" s="48" t="s">
        <v>176</v>
      </c>
      <c r="L24" s="10"/>
      <c r="M24" s="3"/>
      <c r="N24" s="3" t="s">
        <v>182</v>
      </c>
      <c r="O24" s="4" t="s">
        <v>13</v>
      </c>
      <c r="P24" s="3">
        <v>2023</v>
      </c>
      <c r="Q24" s="59">
        <f>IF(COUNTBLANK(InputTable[[#This Row],[measurement.E.1]:[measurement.C.12]])=4*12,"",SUM(InputTable[[#This Row],[measurement.eui.E]:[measurement.eui.C]]))</f>
        <v>86.694615616135991</v>
      </c>
      <c r="R24" s="33" cm="1">
        <f t="array" ref="R2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68.14630111504853</v>
      </c>
      <c r="S24" s="33" cm="1">
        <f t="array" ref="S2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18.548314501087454</v>
      </c>
      <c r="T24" s="33" cm="1">
        <f t="array" ref="T2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4" s="33" cm="1">
        <f t="array" ref="U2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4" s="6">
        <v>72853.939799999469</v>
      </c>
      <c r="W24" s="9">
        <v>67513.498392230424</v>
      </c>
      <c r="X24" s="9">
        <v>81000.505907769446</v>
      </c>
      <c r="Y24" s="9">
        <v>88848.629375861448</v>
      </c>
      <c r="Z24" s="9">
        <v>99004.489491879998</v>
      </c>
      <c r="AA24" s="9">
        <v>87662.431332258915</v>
      </c>
      <c r="AB24" s="9">
        <v>96533.125258620421</v>
      </c>
      <c r="AC24" s="9">
        <v>99021.607401380155</v>
      </c>
      <c r="AD24" s="9">
        <v>91521.54243999999</v>
      </c>
      <c r="AE24" s="9">
        <v>97234.527413774587</v>
      </c>
      <c r="AF24" s="9">
        <v>88614.279386225477</v>
      </c>
      <c r="AG24" s="9">
        <v>85716.247339394933</v>
      </c>
      <c r="AH24" s="6">
        <v>1539.5393939394</v>
      </c>
      <c r="AI24" s="9">
        <v>1948.6292565947381</v>
      </c>
      <c r="AJ24" s="9">
        <v>1661.9374100719649</v>
      </c>
      <c r="AK24" s="9">
        <v>873.46551724138158</v>
      </c>
      <c r="AL24" s="9">
        <v>589.38932146829018</v>
      </c>
      <c r="AM24" s="9">
        <v>543.41935483870486</v>
      </c>
      <c r="AN24" s="9">
        <v>100.77753058954519</v>
      </c>
      <c r="AO24" s="9">
        <v>35.738598442714178</v>
      </c>
      <c r="AP24" s="9">
        <v>89.459677419355501</v>
      </c>
      <c r="AQ24" s="9">
        <v>253.80236728838071</v>
      </c>
      <c r="AR24" s="9">
        <v>740.7142993782893</v>
      </c>
      <c r="AS24" s="9">
        <v>1426.0969696969671</v>
      </c>
      <c r="AT24" s="6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6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7"/>
      <c r="BS24" s="8"/>
      <c r="BT24" s="8"/>
      <c r="BU24" s="8"/>
      <c r="BX24" s="32" cm="1">
        <f t="array" ref="BX24">IFERROR(_xlfn.QUARTILE.INC(_xlfn._xlws.FILTER($Q$5:$Q$64,$C$5:$C$64=$C24,""),3),"")</f>
        <v>76.058783809279603</v>
      </c>
      <c r="BY24" s="32" cm="1">
        <f t="array" ref="BY24">IFERROR(_xlfn.QUARTILE.INC(_xlfn._xlws.FILTER($Q$5:$Q$64,$C$5:$C$64=$C24,""),2),"")</f>
        <v>72.513506540327469</v>
      </c>
      <c r="BZ24" s="32" cm="1">
        <f t="array" ref="BZ24">IFERROR(_xlfn.QUARTILE.INC(_xlfn._xlws.FILTER($Q$5:$Q$64,$C$5:$C$64=$C24,""),1),"")</f>
        <v>71.420993941063003</v>
      </c>
      <c r="CA24" s="32">
        <f t="shared" si="0"/>
        <v>4.6377898682166006</v>
      </c>
      <c r="CB24" s="32">
        <f t="shared" si="1"/>
        <v>83.015468611604504</v>
      </c>
      <c r="CC24" s="32">
        <f t="shared" si="2"/>
        <v>64.464309138738102</v>
      </c>
      <c r="CD24" s="32">
        <f t="shared" si="3"/>
        <v>0.8</v>
      </c>
      <c r="CE24" s="32">
        <f t="shared" si="4"/>
        <v>0</v>
      </c>
      <c r="CF24" s="32">
        <f t="shared" si="5"/>
        <v>0</v>
      </c>
      <c r="CG24" s="32">
        <f t="shared" si="6"/>
        <v>0</v>
      </c>
      <c r="CO2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4" s="32">
        <f>IF(AND(InputTable[[#This Row],[metadata.primary_cooling_system]]="District Cooling",InputTable[[#This Row],[measurement.eui.C]]&gt;=InputTable[[#This Row],[measurement.eui.total]]*0.6),1,0)*$CQ$2</f>
        <v>0</v>
      </c>
      <c r="CR24" s="32">
        <f>IF(AND(InputTable[[#This Row],[metadata.primary_cooling_system]]="District Cooling",InputTable[[#This Row],[measurement.eui.C]]&lt;=InputTable[[#This Row],[measurement.eui.total]]*0.1),1,0)*$CR$2</f>
        <v>0</v>
      </c>
      <c r="CS24" s="32">
        <f t="shared" si="7"/>
        <v>1.6</v>
      </c>
      <c r="CU24" s="32">
        <f t="shared" si="8"/>
        <v>0</v>
      </c>
      <c r="CV24" s="32">
        <f t="shared" si="9"/>
        <v>0</v>
      </c>
      <c r="CW24" s="32">
        <f>SUM(InputTable[[#This Row],[measurement.E.1]],InputTable[[#This Row],[measurement.G.1]],InputTable[[#This Row],[measurement.S.1]],InputTable[[#This Row],[measurement.C.1]])</f>
        <v>74393.479193938867</v>
      </c>
      <c r="CX24" s="32">
        <f>SUM(InputTable[[#This Row],[measurement.E.2]],InputTable[[#This Row],[measurement.G.2]],InputTable[[#This Row],[measurement.S.2]],InputTable[[#This Row],[measurement.C.2]])</f>
        <v>69462.127648825161</v>
      </c>
      <c r="CY24" s="32">
        <f>SUM(InputTable[[#This Row],[measurement.E.3]],InputTable[[#This Row],[measurement.G.3]],InputTable[[#This Row],[measurement.S.3]],InputTable[[#This Row],[measurement.C.3]])</f>
        <v>82662.443317841404</v>
      </c>
      <c r="CZ24" s="32">
        <f>SUM(InputTable[[#This Row],[measurement.E.4]],InputTable[[#This Row],[measurement.G.4]],InputTable[[#This Row],[measurement.S.4]],InputTable[[#This Row],[measurement.C.4]])</f>
        <v>89722.094893102825</v>
      </c>
      <c r="DA24" s="32">
        <f>SUM(InputTable[[#This Row],[measurement.E.5]],InputTable[[#This Row],[measurement.G.5]],InputTable[[#This Row],[measurement.S.5]],InputTable[[#This Row],[measurement.C.5]])</f>
        <v>99593.878813348289</v>
      </c>
      <c r="DB24" s="32">
        <f>SUM(InputTable[[#This Row],[measurement.E.6]],InputTable[[#This Row],[measurement.G.6]],InputTable[[#This Row],[measurement.S.6]],InputTable[[#This Row],[measurement.C.6]])</f>
        <v>88205.850687097627</v>
      </c>
      <c r="DC24" s="32">
        <f>SUM(InputTable[[#This Row],[measurement.E.7]],InputTable[[#This Row],[measurement.G.7]],InputTable[[#This Row],[measurement.S.7]],InputTable[[#This Row],[measurement.C.7]])</f>
        <v>96633.902789209969</v>
      </c>
      <c r="DD24" s="32">
        <f>SUM(InputTable[[#This Row],[measurement.E.8]],InputTable[[#This Row],[measurement.G.8]],InputTable[[#This Row],[measurement.S.8]],InputTable[[#This Row],[measurement.C.8]])</f>
        <v>99057.345999822865</v>
      </c>
      <c r="DE24" s="32">
        <f>SUM(InputTable[[#This Row],[measurement.E.9]],InputTable[[#This Row],[measurement.G.9]],InputTable[[#This Row],[measurement.S.9]],InputTable[[#This Row],[measurement.C.9]])</f>
        <v>91611.002117419339</v>
      </c>
      <c r="DF24" s="32">
        <f>SUM(InputTable[[#This Row],[measurement.E.10]],InputTable[[#This Row],[measurement.G.10]],InputTable[[#This Row],[measurement.S.10]],InputTable[[#This Row],[measurement.C.10]])</f>
        <v>97488.329781062974</v>
      </c>
      <c r="DG24" s="32">
        <f>SUM(InputTable[[#This Row],[measurement.E.11]],InputTable[[#This Row],[measurement.G.11]],InputTable[[#This Row],[measurement.S.11]],InputTable[[#This Row],[measurement.C.11]])</f>
        <v>89354.993685603768</v>
      </c>
      <c r="DH24" s="32">
        <f>SUM(InputTable[[#This Row],[measurement.E.12]],InputTable[[#This Row],[measurement.G.12]],InputTable[[#This Row],[measurement.S.12]],InputTable[[#This Row],[measurement.C.12]])</f>
        <v>87142.344309091903</v>
      </c>
    </row>
    <row r="25" spans="1:112" s="32" customFormat="1" ht="30" customHeight="1" x14ac:dyDescent="0.3">
      <c r="A25" s="2" t="s">
        <v>217</v>
      </c>
      <c r="B25" s="3">
        <v>42445</v>
      </c>
      <c r="C25" s="3" t="s">
        <v>187</v>
      </c>
      <c r="D25" s="3" t="s">
        <v>172</v>
      </c>
      <c r="E25" s="4" t="s">
        <v>173</v>
      </c>
      <c r="F25" s="4" t="s">
        <v>174</v>
      </c>
      <c r="G25" s="4"/>
      <c r="H25" s="4" t="s">
        <v>175</v>
      </c>
      <c r="I25" s="5">
        <v>37.335731359999997</v>
      </c>
      <c r="J25" s="5">
        <v>-121.8791365</v>
      </c>
      <c r="K25" s="48" t="s">
        <v>176</v>
      </c>
      <c r="L25" s="10"/>
      <c r="M25" s="3"/>
      <c r="N25" s="3" t="s">
        <v>15</v>
      </c>
      <c r="O25" s="4" t="s">
        <v>16</v>
      </c>
      <c r="P25" s="3">
        <v>2023</v>
      </c>
      <c r="Q25" s="59">
        <f>IF(COUNTBLANK(InputTable[[#This Row],[measurement.E.1]:[measurement.C.12]])=4*12,"",SUM(InputTable[[#This Row],[measurement.eui.E]:[measurement.eui.C]]))</f>
        <v>99.765554547696979</v>
      </c>
      <c r="R25" s="33" cm="1">
        <f t="array" ref="R2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28.431930488325886</v>
      </c>
      <c r="S25" s="33" cm="1">
        <f t="array" ref="S2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5" s="33" cm="1">
        <f t="array" ref="T2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36.537840450725355</v>
      </c>
      <c r="U25" s="33" cm="1">
        <f t="array" ref="U2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34.795783608645742</v>
      </c>
      <c r="V25" s="6">
        <v>28607.202990301339</v>
      </c>
      <c r="W25" s="9">
        <v>27489.990234374789</v>
      </c>
      <c r="X25" s="9">
        <v>29663.657013595559</v>
      </c>
      <c r="Y25" s="9">
        <v>28106.362517654779</v>
      </c>
      <c r="Z25" s="9">
        <v>30470.031738280672</v>
      </c>
      <c r="AA25" s="9">
        <v>29117.11774553539</v>
      </c>
      <c r="AB25" s="9">
        <v>29932.87004743324</v>
      </c>
      <c r="AC25" s="9">
        <v>26739.716448103001</v>
      </c>
      <c r="AD25" s="9">
        <v>30128.124999999789</v>
      </c>
      <c r="AE25" s="9">
        <v>32052.141462053729</v>
      </c>
      <c r="AF25" s="9">
        <v>29549.180327868511</v>
      </c>
      <c r="AG25" s="9">
        <v>31819.80876157089</v>
      </c>
      <c r="AH25" s="6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6">
        <v>2920.491034482789</v>
      </c>
      <c r="AU25" s="9">
        <v>2547.239999999998</v>
      </c>
      <c r="AV25" s="9">
        <v>2671.672073324894</v>
      </c>
      <c r="AW25" s="9">
        <v>1990.152926675102</v>
      </c>
      <c r="AX25" s="9">
        <v>1572.8850000000159</v>
      </c>
      <c r="AY25" s="9">
        <v>976.00714285713502</v>
      </c>
      <c r="AZ25" s="9">
        <v>709.47035714284664</v>
      </c>
      <c r="BA25" s="9">
        <v>166.538642857144</v>
      </c>
      <c r="BB25" s="9">
        <v>73.614214285713416</v>
      </c>
      <c r="BC25" s="9">
        <v>219.08464285714109</v>
      </c>
      <c r="BD25" s="9">
        <v>680.44943253467693</v>
      </c>
      <c r="BE25" s="9">
        <v>980.88091229291877</v>
      </c>
      <c r="BF25" s="6">
        <v>3871.7983620690188</v>
      </c>
      <c r="BG25" s="9">
        <v>3255.1141000000321</v>
      </c>
      <c r="BH25" s="9">
        <v>5646.1296561947966</v>
      </c>
      <c r="BI25" s="9">
        <v>11236.98939380549</v>
      </c>
      <c r="BJ25" s="9">
        <v>14028.76124999986</v>
      </c>
      <c r="BK25" s="9">
        <v>16709.759849999758</v>
      </c>
      <c r="BL25" s="9">
        <v>19793.3205750001</v>
      </c>
      <c r="BM25" s="9">
        <v>13280.898015000061</v>
      </c>
      <c r="BN25" s="9">
        <v>11969.82949749991</v>
      </c>
      <c r="BO25" s="9">
        <v>12346.040262500161</v>
      </c>
      <c r="BP25" s="9">
        <v>7059.5806703657036</v>
      </c>
      <c r="BQ25" s="9">
        <v>3877.3646399791551</v>
      </c>
      <c r="BR25" s="7"/>
      <c r="BS25" s="8"/>
      <c r="BT25" s="8"/>
      <c r="BU25" s="8"/>
      <c r="BX25" s="32" cm="1">
        <f t="array" ref="BX25">IFERROR(_xlfn.QUARTILE.INC(_xlfn._xlws.FILTER($Q$5:$Q$64,$C$5:$C$64=$C25,""),3),"")</f>
        <v>103.3358258738342</v>
      </c>
      <c r="BY25" s="32" cm="1">
        <f t="array" ref="BY25">IFERROR(_xlfn.QUARTILE.INC(_xlfn._xlws.FILTER($Q$5:$Q$64,$C$5:$C$64=$C25,""),2),"")</f>
        <v>63.763251345785051</v>
      </c>
      <c r="BZ25" s="32" cm="1">
        <f t="array" ref="BZ25">IFERROR(_xlfn.QUARTILE.INC(_xlfn._xlws.FILTER($Q$5:$Q$64,$C$5:$C$64=$C25,""),1),"")</f>
        <v>43.604372326614211</v>
      </c>
      <c r="CA25" s="32">
        <f t="shared" si="0"/>
        <v>59.731453547219985</v>
      </c>
      <c r="CB25" s="32">
        <f t="shared" si="1"/>
        <v>192.93300619466419</v>
      </c>
      <c r="CC25" s="32">
        <f t="shared" si="2"/>
        <v>-45.992807994215767</v>
      </c>
      <c r="CD25" s="32">
        <f t="shared" si="3"/>
        <v>0</v>
      </c>
      <c r="CE25" s="32">
        <f t="shared" si="4"/>
        <v>0</v>
      </c>
      <c r="CF25" s="32">
        <f t="shared" si="5"/>
        <v>0</v>
      </c>
      <c r="CG25" s="32">
        <f t="shared" si="6"/>
        <v>0</v>
      </c>
      <c r="CO2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5" s="32">
        <f>IF(AND(InputTable[[#This Row],[metadata.primary_cooling_system]]="District Cooling",InputTable[[#This Row],[measurement.eui.C]]&gt;=InputTable[[#This Row],[measurement.eui.total]]*0.6),1,0)*$CQ$2</f>
        <v>0</v>
      </c>
      <c r="CR25" s="32">
        <f>IF(AND(InputTable[[#This Row],[metadata.primary_cooling_system]]="District Cooling",InputTable[[#This Row],[measurement.eui.C]]&lt;=InputTable[[#This Row],[measurement.eui.total]]*0.1),1,0)*$CR$2</f>
        <v>0</v>
      </c>
      <c r="CS25" s="32">
        <f t="shared" si="7"/>
        <v>0</v>
      </c>
      <c r="CU25" s="32">
        <f t="shared" si="8"/>
        <v>5707.7529266750971</v>
      </c>
      <c r="CV25" s="32">
        <f t="shared" si="9"/>
        <v>9800.7334526352788</v>
      </c>
      <c r="CW25" s="32">
        <f>SUM(InputTable[[#This Row],[measurement.E.1]],InputTable[[#This Row],[measurement.G.1]],InputTable[[#This Row],[measurement.S.1]],InputTable[[#This Row],[measurement.C.1]])</f>
        <v>35399.492386853148</v>
      </c>
      <c r="CX25" s="32">
        <f>SUM(InputTable[[#This Row],[measurement.E.2]],InputTable[[#This Row],[measurement.G.2]],InputTable[[#This Row],[measurement.S.2]],InputTable[[#This Row],[measurement.C.2]])</f>
        <v>33292.344334374822</v>
      </c>
      <c r="CY25" s="32">
        <f>SUM(InputTable[[#This Row],[measurement.E.3]],InputTable[[#This Row],[measurement.G.3]],InputTable[[#This Row],[measurement.S.3]],InputTable[[#This Row],[measurement.C.3]])</f>
        <v>37981.458743115247</v>
      </c>
      <c r="CZ25" s="32">
        <f>SUM(InputTable[[#This Row],[measurement.E.4]],InputTable[[#This Row],[measurement.G.4]],InputTable[[#This Row],[measurement.S.4]],InputTable[[#This Row],[measurement.C.4]])</f>
        <v>41333.50483813537</v>
      </c>
      <c r="DA25" s="32">
        <f>SUM(InputTable[[#This Row],[measurement.E.5]],InputTable[[#This Row],[measurement.G.5]],InputTable[[#This Row],[measurement.S.5]],InputTable[[#This Row],[measurement.C.5]])</f>
        <v>46071.677988280549</v>
      </c>
      <c r="DB25" s="32">
        <f>SUM(InputTable[[#This Row],[measurement.E.6]],InputTable[[#This Row],[measurement.G.6]],InputTable[[#This Row],[measurement.S.6]],InputTable[[#This Row],[measurement.C.6]])</f>
        <v>46802.884738392284</v>
      </c>
      <c r="DC25" s="32">
        <f>SUM(InputTable[[#This Row],[measurement.E.7]],InputTable[[#This Row],[measurement.G.7]],InputTable[[#This Row],[measurement.S.7]],InputTable[[#This Row],[measurement.C.7]])</f>
        <v>50435.660979576191</v>
      </c>
      <c r="DD25" s="32">
        <f>SUM(InputTable[[#This Row],[measurement.E.8]],InputTable[[#This Row],[measurement.G.8]],InputTable[[#This Row],[measurement.S.8]],InputTable[[#This Row],[measurement.C.8]])</f>
        <v>40187.153105960206</v>
      </c>
      <c r="DE25" s="32">
        <f>SUM(InputTable[[#This Row],[measurement.E.9]],InputTable[[#This Row],[measurement.G.9]],InputTable[[#This Row],[measurement.S.9]],InputTable[[#This Row],[measurement.C.9]])</f>
        <v>42171.56871178541</v>
      </c>
      <c r="DF25" s="32">
        <f>SUM(InputTable[[#This Row],[measurement.E.10]],InputTable[[#This Row],[measurement.G.10]],InputTable[[#This Row],[measurement.S.10]],InputTable[[#This Row],[measurement.C.10]])</f>
        <v>44617.26636741103</v>
      </c>
      <c r="DG25" s="32">
        <f>SUM(InputTable[[#This Row],[measurement.E.11]],InputTable[[#This Row],[measurement.G.11]],InputTable[[#This Row],[measurement.S.11]],InputTable[[#This Row],[measurement.C.11]])</f>
        <v>37289.210430768893</v>
      </c>
      <c r="DH25" s="32">
        <f>SUM(InputTable[[#This Row],[measurement.E.12]],InputTable[[#This Row],[measurement.G.12]],InputTable[[#This Row],[measurement.S.12]],InputTable[[#This Row],[measurement.C.12]])</f>
        <v>36678.054313842964</v>
      </c>
    </row>
    <row r="26" spans="1:112" s="32" customFormat="1" ht="30" customHeight="1" x14ac:dyDescent="0.3">
      <c r="A26" s="2" t="s">
        <v>218</v>
      </c>
      <c r="B26" s="3">
        <v>73315</v>
      </c>
      <c r="C26" s="3" t="s">
        <v>187</v>
      </c>
      <c r="D26" s="3" t="s">
        <v>172</v>
      </c>
      <c r="E26" s="4" t="s">
        <v>173</v>
      </c>
      <c r="F26" s="4" t="s">
        <v>174</v>
      </c>
      <c r="G26" s="4"/>
      <c r="H26" s="4" t="s">
        <v>175</v>
      </c>
      <c r="I26" s="5">
        <v>37.336044719999997</v>
      </c>
      <c r="J26" s="5">
        <v>-121.8845113</v>
      </c>
      <c r="K26" s="48" t="s">
        <v>176</v>
      </c>
      <c r="L26" s="10"/>
      <c r="M26" s="3" t="s">
        <v>219</v>
      </c>
      <c r="N26" s="3" t="s">
        <v>15</v>
      </c>
      <c r="O26" s="4" t="s">
        <v>16</v>
      </c>
      <c r="P26" s="3">
        <v>2023</v>
      </c>
      <c r="Q26" s="59">
        <f>IF(COUNTBLANK(InputTable[[#This Row],[measurement.E.1]:[measurement.C.12]])=4*12,"",SUM(InputTable[[#This Row],[measurement.eui.E]:[measurement.eui.C]]))</f>
        <v>72.357812471584552</v>
      </c>
      <c r="R26" s="33" cm="1">
        <f t="array" ref="R2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27.032396445576566</v>
      </c>
      <c r="S26" s="33" cm="1">
        <f t="array" ref="S2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6" s="33" cm="1">
        <f t="array" ref="T2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29.075300325970115</v>
      </c>
      <c r="U26" s="33" cm="1">
        <f t="array" ref="U2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16.250115700037863</v>
      </c>
      <c r="V26" s="6">
        <v>41521.352833714918</v>
      </c>
      <c r="W26" s="9">
        <v>41570.007324219303</v>
      </c>
      <c r="X26" s="9">
        <v>47980.287419257802</v>
      </c>
      <c r="Y26" s="9">
        <v>45639.707697929647</v>
      </c>
      <c r="Z26" s="9">
        <v>44350.03662109431</v>
      </c>
      <c r="AA26" s="9">
        <v>42468.231945503197</v>
      </c>
      <c r="AB26" s="9">
        <v>44341.765613090778</v>
      </c>
      <c r="AC26" s="9">
        <v>48935.687255858698</v>
      </c>
      <c r="AD26" s="9">
        <v>54626.117621527374</v>
      </c>
      <c r="AE26" s="9">
        <v>59338.097466362269</v>
      </c>
      <c r="AF26" s="9">
        <v>53488.6057061174</v>
      </c>
      <c r="AG26" s="9">
        <v>56571.843302167108</v>
      </c>
      <c r="AH26" s="6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6">
        <v>3280.4860030216332</v>
      </c>
      <c r="AU26" s="9">
        <v>2280.9483165102438</v>
      </c>
      <c r="AV26" s="9">
        <v>3101.0817363219089</v>
      </c>
      <c r="AW26" s="9">
        <v>2102.7320722370459</v>
      </c>
      <c r="AX26" s="9">
        <v>1750.461158253027</v>
      </c>
      <c r="AY26" s="9">
        <v>790.1194897932254</v>
      </c>
      <c r="AZ26" s="9">
        <v>658.17112481852291</v>
      </c>
      <c r="BA26" s="9">
        <v>296.81288865680989</v>
      </c>
      <c r="BB26" s="9">
        <v>562.965495904862</v>
      </c>
      <c r="BC26" s="9">
        <v>1398.20380413868</v>
      </c>
      <c r="BD26" s="9">
        <v>2719.8860312393399</v>
      </c>
      <c r="BE26" s="9">
        <v>2374.6883130896899</v>
      </c>
      <c r="BF26" s="6">
        <v>4237.287165517153</v>
      </c>
      <c r="BG26" s="9">
        <v>5228.9075999999386</v>
      </c>
      <c r="BH26" s="9">
        <v>7140.0639756638011</v>
      </c>
      <c r="BI26" s="9">
        <v>7214.275324336234</v>
      </c>
      <c r="BJ26" s="9">
        <v>7305.4099999999771</v>
      </c>
      <c r="BK26" s="9">
        <v>9466.6234207316393</v>
      </c>
      <c r="BL26" s="9">
        <v>11782.31110426844</v>
      </c>
      <c r="BM26" s="9">
        <v>13633.455744999799</v>
      </c>
      <c r="BN26" s="9">
        <v>10639.797889259429</v>
      </c>
      <c r="BO26" s="9">
        <v>9489.2151407408255</v>
      </c>
      <c r="BP26" s="9">
        <v>6660.0878674968944</v>
      </c>
      <c r="BQ26" s="9">
        <v>6484.0008126755301</v>
      </c>
      <c r="BR26" s="7"/>
      <c r="BS26" s="8"/>
      <c r="BT26" s="8"/>
      <c r="BU26" s="8"/>
      <c r="BX26" s="32" cm="1">
        <f t="array" ref="BX26">IFERROR(_xlfn.QUARTILE.INC(_xlfn._xlws.FILTER($Q$5:$Q$64,$C$5:$C$64=$C26,""),3),"")</f>
        <v>103.3358258738342</v>
      </c>
      <c r="BY26" s="32" cm="1">
        <f t="array" ref="BY26">IFERROR(_xlfn.QUARTILE.INC(_xlfn._xlws.FILTER($Q$5:$Q$64,$C$5:$C$64=$C26,""),2),"")</f>
        <v>63.763251345785051</v>
      </c>
      <c r="BZ26" s="32" cm="1">
        <f t="array" ref="BZ26">IFERROR(_xlfn.QUARTILE.INC(_xlfn._xlws.FILTER($Q$5:$Q$64,$C$5:$C$64=$C26,""),1),"")</f>
        <v>43.604372326614211</v>
      </c>
      <c r="CA26" s="32">
        <f t="shared" si="0"/>
        <v>59.731453547219985</v>
      </c>
      <c r="CB26" s="32">
        <f t="shared" si="1"/>
        <v>192.93300619466419</v>
      </c>
      <c r="CC26" s="32">
        <f t="shared" si="2"/>
        <v>-45.992807994215767</v>
      </c>
      <c r="CD26" s="32">
        <f t="shared" si="3"/>
        <v>0</v>
      </c>
      <c r="CE26" s="32">
        <f t="shared" si="4"/>
        <v>0</v>
      </c>
      <c r="CF26" s="32">
        <f t="shared" si="5"/>
        <v>0</v>
      </c>
      <c r="CG26" s="32">
        <f t="shared" si="6"/>
        <v>0</v>
      </c>
      <c r="CO2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6" s="32">
        <f>IF(AND(InputTable[[#This Row],[metadata.primary_cooling_system]]="District Cooling",InputTable[[#This Row],[measurement.eui.C]]&gt;=InputTable[[#This Row],[measurement.eui.total]]*0.6),1,0)*$CQ$2</f>
        <v>0</v>
      </c>
      <c r="CR26" s="32">
        <f>IF(AND(InputTable[[#This Row],[metadata.primary_cooling_system]]="District Cooling",InputTable[[#This Row],[measurement.eui.C]]&lt;=InputTable[[#This Row],[measurement.eui.total]]*0.1),1,0)*$CR$2</f>
        <v>0</v>
      </c>
      <c r="CS26" s="32">
        <f t="shared" si="7"/>
        <v>0</v>
      </c>
      <c r="CU26" s="32">
        <f t="shared" si="8"/>
        <v>7559.4660338021731</v>
      </c>
      <c r="CV26" s="32">
        <f t="shared" si="9"/>
        <v>13757.090400182817</v>
      </c>
      <c r="CW26" s="32">
        <f>SUM(InputTable[[#This Row],[measurement.E.1]],InputTable[[#This Row],[measurement.G.1]],InputTable[[#This Row],[measurement.S.1]],InputTable[[#This Row],[measurement.C.1]])</f>
        <v>49039.12600225371</v>
      </c>
      <c r="CX26" s="32">
        <f>SUM(InputTable[[#This Row],[measurement.E.2]],InputTable[[#This Row],[measurement.G.2]],InputTable[[#This Row],[measurement.S.2]],InputTable[[#This Row],[measurement.C.2]])</f>
        <v>49079.863240729486</v>
      </c>
      <c r="CY26" s="32">
        <f>SUM(InputTable[[#This Row],[measurement.E.3]],InputTable[[#This Row],[measurement.G.3]],InputTable[[#This Row],[measurement.S.3]],InputTable[[#This Row],[measurement.C.3]])</f>
        <v>58221.43313124351</v>
      </c>
      <c r="CZ26" s="32">
        <f>SUM(InputTable[[#This Row],[measurement.E.4]],InputTable[[#This Row],[measurement.G.4]],InputTable[[#This Row],[measurement.S.4]],InputTable[[#This Row],[measurement.C.4]])</f>
        <v>54956.715094502921</v>
      </c>
      <c r="DA26" s="32">
        <f>SUM(InputTable[[#This Row],[measurement.E.5]],InputTable[[#This Row],[measurement.G.5]],InputTable[[#This Row],[measurement.S.5]],InputTable[[#This Row],[measurement.C.5]])</f>
        <v>53405.907779347312</v>
      </c>
      <c r="DB26" s="32">
        <f>SUM(InputTable[[#This Row],[measurement.E.6]],InputTable[[#This Row],[measurement.G.6]],InputTable[[#This Row],[measurement.S.6]],InputTable[[#This Row],[measurement.C.6]])</f>
        <v>52724.974856028057</v>
      </c>
      <c r="DC26" s="32">
        <f>SUM(InputTable[[#This Row],[measurement.E.7]],InputTable[[#This Row],[measurement.G.7]],InputTable[[#This Row],[measurement.S.7]],InputTable[[#This Row],[measurement.C.7]])</f>
        <v>56782.247842177741</v>
      </c>
      <c r="DD26" s="32">
        <f>SUM(InputTable[[#This Row],[measurement.E.8]],InputTable[[#This Row],[measurement.G.8]],InputTable[[#This Row],[measurement.S.8]],InputTable[[#This Row],[measurement.C.8]])</f>
        <v>62865.955889515302</v>
      </c>
      <c r="DE26" s="32">
        <f>SUM(InputTable[[#This Row],[measurement.E.9]],InputTable[[#This Row],[measurement.G.9]],InputTable[[#This Row],[measurement.S.9]],InputTable[[#This Row],[measurement.C.9]])</f>
        <v>65828.881006691663</v>
      </c>
      <c r="DF26" s="32">
        <f>SUM(InputTable[[#This Row],[measurement.E.10]],InputTable[[#This Row],[measurement.G.10]],InputTable[[#This Row],[measurement.S.10]],InputTable[[#This Row],[measurement.C.10]])</f>
        <v>70225.51641124177</v>
      </c>
      <c r="DG26" s="32">
        <f>SUM(InputTable[[#This Row],[measurement.E.11]],InputTable[[#This Row],[measurement.G.11]],InputTable[[#This Row],[measurement.S.11]],InputTable[[#This Row],[measurement.C.11]])</f>
        <v>62868.579604853629</v>
      </c>
      <c r="DH26" s="32">
        <f>SUM(InputTable[[#This Row],[measurement.E.12]],InputTable[[#This Row],[measurement.G.12]],InputTable[[#This Row],[measurement.S.12]],InputTable[[#This Row],[measurement.C.12]])</f>
        <v>65430.532427932325</v>
      </c>
    </row>
    <row r="27" spans="1:112" s="32" customFormat="1" ht="30" customHeight="1" x14ac:dyDescent="0.3">
      <c r="A27" s="2" t="s">
        <v>220</v>
      </c>
      <c r="B27" s="3">
        <v>113302</v>
      </c>
      <c r="C27" s="3" t="s">
        <v>179</v>
      </c>
      <c r="D27" s="3" t="s">
        <v>172</v>
      </c>
      <c r="E27" s="4" t="s">
        <v>173</v>
      </c>
      <c r="F27" s="4" t="s">
        <v>174</v>
      </c>
      <c r="G27" s="4"/>
      <c r="H27" s="4" t="s">
        <v>175</v>
      </c>
      <c r="I27" s="5">
        <v>37.337621749999997</v>
      </c>
      <c r="J27" s="5">
        <v>-121.88062429999999</v>
      </c>
      <c r="K27" s="48" t="s">
        <v>176</v>
      </c>
      <c r="L27" s="10"/>
      <c r="M27" s="3"/>
      <c r="N27" s="3" t="s">
        <v>15</v>
      </c>
      <c r="O27" s="4" t="s">
        <v>13</v>
      </c>
      <c r="P27" s="3">
        <v>2023</v>
      </c>
      <c r="Q27" s="59">
        <f>IF(COUNTBLANK(InputTable[[#This Row],[measurement.E.1]:[measurement.C.12]])=4*12,"",SUM(InputTable[[#This Row],[measurement.eui.E]:[measurement.eui.C]]))</f>
        <v>27.156782645008501</v>
      </c>
      <c r="R27" s="33" cm="1">
        <f t="array" ref="R2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11.982786233935871</v>
      </c>
      <c r="S27" s="33" cm="1">
        <f t="array" ref="S2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12.481936200004153</v>
      </c>
      <c r="T27" s="33" cm="1">
        <f t="array" ref="T2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2.6920602110684775</v>
      </c>
      <c r="U27" s="33" cm="1">
        <f t="array" ref="U2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7" s="6">
        <v>28101.72245420282</v>
      </c>
      <c r="W27" s="9">
        <v>33390.014648437689</v>
      </c>
      <c r="X27" s="9">
        <v>33956.286713688503</v>
      </c>
      <c r="Y27" s="9">
        <v>36440.603860799783</v>
      </c>
      <c r="Z27" s="9">
        <v>34013.082570043392</v>
      </c>
      <c r="AA27" s="9">
        <v>23341.436618711919</v>
      </c>
      <c r="AB27" s="9">
        <v>28939.50239263515</v>
      </c>
      <c r="AC27" s="9">
        <v>34460.246794030019</v>
      </c>
      <c r="AD27" s="9">
        <v>36044.058606515253</v>
      </c>
      <c r="AE27" s="9">
        <v>39814.79220920118</v>
      </c>
      <c r="AF27" s="9">
        <v>37459.224205450111</v>
      </c>
      <c r="AG27" s="9">
        <v>31933.901131295221</v>
      </c>
      <c r="AH27" s="6">
        <v>764.46232032775879</v>
      </c>
      <c r="AI27" s="9">
        <v>1681.5710754394529</v>
      </c>
      <c r="AJ27" s="9">
        <v>1994.6699886322019</v>
      </c>
      <c r="AK27" s="9">
        <v>1807.988876342773</v>
      </c>
      <c r="AL27" s="9">
        <v>1229.109680175781</v>
      </c>
      <c r="AM27" s="9">
        <v>244.41685247421259</v>
      </c>
      <c r="AN27" s="9">
        <v>230.68647813797</v>
      </c>
      <c r="AO27" s="9">
        <v>929.17710161209106</v>
      </c>
      <c r="AP27" s="9">
        <v>1212.44359588623</v>
      </c>
      <c r="AQ27" s="9">
        <v>1574.900089263916</v>
      </c>
      <c r="AR27" s="9">
        <v>1598.289367675781</v>
      </c>
      <c r="AS27" s="9">
        <v>874.56792736053467</v>
      </c>
      <c r="AT27" s="6">
        <v>230.14780172413461</v>
      </c>
      <c r="AU27" s="9">
        <v>937.90999999999656</v>
      </c>
      <c r="AV27" s="9">
        <v>1180.2856755688849</v>
      </c>
      <c r="AW27" s="9">
        <v>269.48012184489272</v>
      </c>
      <c r="AX27" s="9">
        <v>55.47170258620578</v>
      </c>
      <c r="AY27" s="9">
        <v>57.364481707316187</v>
      </c>
      <c r="AZ27" s="9">
        <v>38.580071864111048</v>
      </c>
      <c r="BA27" s="9">
        <v>0.8795273109243682</v>
      </c>
      <c r="BB27" s="9">
        <v>7.2730718954247804</v>
      </c>
      <c r="BC27" s="9">
        <v>13.52409722222237</v>
      </c>
      <c r="BD27" s="9">
        <v>120.1162815258519</v>
      </c>
      <c r="BE27" s="9">
        <v>139.1252270948404</v>
      </c>
      <c r="BF27" s="6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7"/>
      <c r="BS27" s="8"/>
      <c r="BT27" s="8"/>
      <c r="BU27" s="8"/>
      <c r="BX27" s="32" cm="1">
        <f t="array" ref="BX27">IFERROR(_xlfn.QUARTILE.INC(_xlfn._xlws.FILTER($Q$5:$Q$64,$C$5:$C$64=$C27,""),3),"")</f>
        <v>123.42692609707021</v>
      </c>
      <c r="BY27" s="32" cm="1">
        <f t="array" ref="BY27">IFERROR(_xlfn.QUARTILE.INC(_xlfn._xlws.FILTER($Q$5:$Q$64,$C$5:$C$64=$C27,""),2),"")</f>
        <v>110.7023746240035</v>
      </c>
      <c r="BZ27" s="32" cm="1">
        <f t="array" ref="BZ27">IFERROR(_xlfn.QUARTILE.INC(_xlfn._xlws.FILTER($Q$5:$Q$64,$C$5:$C$64=$C27,""),1),"")</f>
        <v>105.94108912362468</v>
      </c>
      <c r="CA27" s="32">
        <f t="shared" si="0"/>
        <v>17.485836973445529</v>
      </c>
      <c r="CB27" s="32">
        <f t="shared" si="1"/>
        <v>149.65568155723849</v>
      </c>
      <c r="CC27" s="32">
        <f t="shared" si="2"/>
        <v>79.712333663456377</v>
      </c>
      <c r="CD27" s="32">
        <f t="shared" si="3"/>
        <v>0</v>
      </c>
      <c r="CE27" s="32">
        <f t="shared" si="4"/>
        <v>0.8</v>
      </c>
      <c r="CF27" s="32">
        <f t="shared" si="5"/>
        <v>0</v>
      </c>
      <c r="CG27" s="32">
        <f t="shared" si="6"/>
        <v>0</v>
      </c>
      <c r="CO2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27" s="32">
        <f>IF(AND(InputTable[[#This Row],[metadata.primary_cooling_system]]="District Cooling",InputTable[[#This Row],[measurement.eui.C]]&gt;=InputTable[[#This Row],[measurement.eui.total]]*0.6),1,0)*$CQ$2</f>
        <v>0</v>
      </c>
      <c r="CR27" s="32">
        <f>IF(AND(InputTable[[#This Row],[metadata.primary_cooling_system]]="District Cooling",InputTable[[#This Row],[measurement.eui.C]]&lt;=InputTable[[#This Row],[measurement.eui.total]]*0.1),1,0)*$CR$2</f>
        <v>0</v>
      </c>
      <c r="CS27" s="32">
        <f t="shared" si="7"/>
        <v>1.3</v>
      </c>
      <c r="CT27" s="32" t="s">
        <v>177</v>
      </c>
      <c r="CU27" s="32">
        <f t="shared" si="8"/>
        <v>442.57307443109727</v>
      </c>
      <c r="CV27" s="32">
        <f t="shared" si="9"/>
        <v>2607.5849859137079</v>
      </c>
      <c r="CW27" s="32">
        <f>SUM(InputTable[[#This Row],[measurement.E.1]],InputTable[[#This Row],[measurement.G.1]],InputTable[[#This Row],[measurement.S.1]],InputTable[[#This Row],[measurement.C.1]])</f>
        <v>29096.332576254714</v>
      </c>
      <c r="CX27" s="32">
        <f>SUM(InputTable[[#This Row],[measurement.E.2]],InputTable[[#This Row],[measurement.G.2]],InputTable[[#This Row],[measurement.S.2]],InputTable[[#This Row],[measurement.C.2]])</f>
        <v>36009.495723877139</v>
      </c>
      <c r="CY27" s="32">
        <f>SUM(InputTable[[#This Row],[measurement.E.3]],InputTable[[#This Row],[measurement.G.3]],InputTable[[#This Row],[measurement.S.3]],InputTable[[#This Row],[measurement.C.3]])</f>
        <v>37131.24237788959</v>
      </c>
      <c r="CZ27" s="32">
        <f>SUM(InputTable[[#This Row],[measurement.E.4]],InputTable[[#This Row],[measurement.G.4]],InputTable[[#This Row],[measurement.S.4]],InputTable[[#This Row],[measurement.C.4]])</f>
        <v>38518.072858987449</v>
      </c>
      <c r="DA27" s="32">
        <f>SUM(InputTable[[#This Row],[measurement.E.5]],InputTable[[#This Row],[measurement.G.5]],InputTable[[#This Row],[measurement.S.5]],InputTable[[#This Row],[measurement.C.5]])</f>
        <v>35297.663952805378</v>
      </c>
      <c r="DB27" s="32">
        <f>SUM(InputTable[[#This Row],[measurement.E.6]],InputTable[[#This Row],[measurement.G.6]],InputTable[[#This Row],[measurement.S.6]],InputTable[[#This Row],[measurement.C.6]])</f>
        <v>23643.217952893447</v>
      </c>
      <c r="DC27" s="32">
        <f>SUM(InputTable[[#This Row],[measurement.E.7]],InputTable[[#This Row],[measurement.G.7]],InputTable[[#This Row],[measurement.S.7]],InputTable[[#This Row],[measurement.C.7]])</f>
        <v>29208.768942637231</v>
      </c>
      <c r="DD27" s="32">
        <f>SUM(InputTable[[#This Row],[measurement.E.8]],InputTable[[#This Row],[measurement.G.8]],InputTable[[#This Row],[measurement.S.8]],InputTable[[#This Row],[measurement.C.8]])</f>
        <v>35390.303422953031</v>
      </c>
      <c r="DE27" s="32">
        <f>SUM(InputTable[[#This Row],[measurement.E.9]],InputTable[[#This Row],[measurement.G.9]],InputTable[[#This Row],[measurement.S.9]],InputTable[[#This Row],[measurement.C.9]])</f>
        <v>37263.77527429691</v>
      </c>
      <c r="DF27" s="32">
        <f>SUM(InputTable[[#This Row],[measurement.E.10]],InputTable[[#This Row],[measurement.G.10]],InputTable[[#This Row],[measurement.S.10]],InputTable[[#This Row],[measurement.C.10]])</f>
        <v>41403.216395687319</v>
      </c>
      <c r="DG27" s="32">
        <f>SUM(InputTable[[#This Row],[measurement.E.11]],InputTable[[#This Row],[measurement.G.11]],InputTable[[#This Row],[measurement.S.11]],InputTable[[#This Row],[measurement.C.11]])</f>
        <v>39177.629854651743</v>
      </c>
      <c r="DH27" s="32">
        <f>SUM(InputTable[[#This Row],[measurement.E.12]],InputTable[[#This Row],[measurement.G.12]],InputTable[[#This Row],[measurement.S.12]],InputTable[[#This Row],[measurement.C.12]])</f>
        <v>32947.594285750594</v>
      </c>
    </row>
    <row r="28" spans="1:112" s="32" customFormat="1" ht="30" customHeight="1" x14ac:dyDescent="0.3">
      <c r="A28" s="55" t="s">
        <v>221</v>
      </c>
      <c r="B28" s="3">
        <v>163476</v>
      </c>
      <c r="C28" s="3" t="s">
        <v>179</v>
      </c>
      <c r="D28" s="3" t="s">
        <v>172</v>
      </c>
      <c r="E28" s="4" t="s">
        <v>173</v>
      </c>
      <c r="F28" s="4" t="s">
        <v>174</v>
      </c>
      <c r="G28" s="4"/>
      <c r="H28" s="4" t="s">
        <v>175</v>
      </c>
      <c r="I28" s="5">
        <v>37.333036210000003</v>
      </c>
      <c r="J28" s="5">
        <v>-121.88281240000001</v>
      </c>
      <c r="K28" s="48" t="s">
        <v>176</v>
      </c>
      <c r="L28" s="10"/>
      <c r="M28" s="3" t="s">
        <v>222</v>
      </c>
      <c r="N28" s="3" t="s">
        <v>15</v>
      </c>
      <c r="O28" s="4" t="s">
        <v>16</v>
      </c>
      <c r="P28" s="3">
        <v>2023</v>
      </c>
      <c r="Q28" s="59">
        <f>IF(COUNTBLANK(InputTable[[#This Row],[measurement.E.1]:[measurement.C.12]])=4*12,"",SUM(InputTable[[#This Row],[measurement.eui.E]:[measurement.eui.C]]))</f>
        <v>145.42786188014739</v>
      </c>
      <c r="R28" s="33" cm="1">
        <f t="array" ref="R2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45.127008345847038</v>
      </c>
      <c r="S28" s="33" cm="1">
        <f t="array" ref="S2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8" s="33" cm="1">
        <f t="array" ref="T2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42.162151223013502</v>
      </c>
      <c r="U28" s="33" cm="1">
        <f t="array" ref="U2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58.138702311286849</v>
      </c>
      <c r="V28" s="6">
        <v>55682.318485144802</v>
      </c>
      <c r="W28" s="9">
        <v>58473.327636718219</v>
      </c>
      <c r="X28" s="9">
        <v>183932.668267726</v>
      </c>
      <c r="Y28" s="9">
        <v>192719.17637220881</v>
      </c>
      <c r="Z28" s="9">
        <v>199647.72026659449</v>
      </c>
      <c r="AA28" s="9">
        <v>191985.83548409501</v>
      </c>
      <c r="AB28" s="9">
        <v>198248.61078676631</v>
      </c>
      <c r="AC28" s="9">
        <v>190209.90287770721</v>
      </c>
      <c r="AD28" s="9">
        <v>204257.98594670941</v>
      </c>
      <c r="AE28" s="9">
        <v>230914.81752749201</v>
      </c>
      <c r="AF28" s="9">
        <v>234665.81889630159</v>
      </c>
      <c r="AG28" s="9">
        <v>221300.7012859887</v>
      </c>
      <c r="AH28" s="6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6"/>
      <c r="AU28" s="9"/>
      <c r="AV28" s="9"/>
      <c r="AW28" s="9">
        <v>4292.6021341463602</v>
      </c>
      <c r="AX28" s="9">
        <v>8595.9559015679006</v>
      </c>
      <c r="AY28" s="9">
        <v>10371.750167410761</v>
      </c>
      <c r="AZ28" s="9">
        <v>9616.2626664403251</v>
      </c>
      <c r="BA28" s="9">
        <v>8927.2127667984569</v>
      </c>
      <c r="BB28" s="9">
        <v>9264.0637710438295</v>
      </c>
      <c r="BC28" s="9">
        <v>6662.6025925925278</v>
      </c>
      <c r="BD28" s="9">
        <v>5034.8302837326773</v>
      </c>
      <c r="BE28" s="9">
        <v>6159.7180496007113</v>
      </c>
      <c r="BF28" s="6"/>
      <c r="BG28" s="9"/>
      <c r="BH28" s="9"/>
      <c r="BI28" s="9">
        <v>22277.17550304878</v>
      </c>
      <c r="BJ28" s="9">
        <v>67825.853684450616</v>
      </c>
      <c r="BK28" s="9">
        <v>104291.5054507798</v>
      </c>
      <c r="BL28" s="9">
        <v>153533.27477910771</v>
      </c>
      <c r="BM28" s="9">
        <v>195080.35368412259</v>
      </c>
      <c r="BN28" s="9">
        <v>131362.26319292889</v>
      </c>
      <c r="BO28" s="9">
        <v>86088.268505555796</v>
      </c>
      <c r="BP28" s="9">
        <v>22466.116514754089</v>
      </c>
      <c r="BQ28" s="9">
        <v>9098.7302719125364</v>
      </c>
      <c r="BR28" s="7"/>
      <c r="BS28" s="8"/>
      <c r="BT28" s="8"/>
      <c r="BU28" s="8"/>
      <c r="BX28" s="32" cm="1">
        <f t="array" ref="BX28">IFERROR(_xlfn.QUARTILE.INC(_xlfn._xlws.FILTER($Q$5:$Q$64,$C$5:$C$64=$C28,""),3),"")</f>
        <v>123.42692609707021</v>
      </c>
      <c r="BY28" s="32" cm="1">
        <f t="array" ref="BY28">IFERROR(_xlfn.QUARTILE.INC(_xlfn._xlws.FILTER($Q$5:$Q$64,$C$5:$C$64=$C28,""),2),"")</f>
        <v>110.7023746240035</v>
      </c>
      <c r="BZ28" s="32" cm="1">
        <f t="array" ref="BZ28">IFERROR(_xlfn.QUARTILE.INC(_xlfn._xlws.FILTER($Q$5:$Q$64,$C$5:$C$64=$C28,""),1),"")</f>
        <v>105.94108912362468</v>
      </c>
      <c r="CA28" s="32">
        <f t="shared" si="0"/>
        <v>17.485836973445529</v>
      </c>
      <c r="CB28" s="32">
        <f t="shared" si="1"/>
        <v>149.65568155723849</v>
      </c>
      <c r="CC28" s="32">
        <f t="shared" si="2"/>
        <v>79.712333663456377</v>
      </c>
      <c r="CD28" s="32">
        <f t="shared" si="3"/>
        <v>0</v>
      </c>
      <c r="CE28" s="32">
        <f t="shared" si="4"/>
        <v>0</v>
      </c>
      <c r="CF28" s="32">
        <f t="shared" si="5"/>
        <v>0.5</v>
      </c>
      <c r="CG28" s="32">
        <f t="shared" si="6"/>
        <v>0.8</v>
      </c>
      <c r="CO2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8" s="32">
        <f>IF(AND(InputTable[[#This Row],[metadata.primary_cooling_system]]="District Cooling",InputTable[[#This Row],[measurement.eui.C]]&gt;=InputTable[[#This Row],[measurement.eui.total]]*0.6),1,0)*$CQ$2</f>
        <v>0</v>
      </c>
      <c r="CR28" s="32">
        <f>IF(AND(InputTable[[#This Row],[metadata.primary_cooling_system]]="District Cooling",InputTable[[#This Row],[measurement.eui.C]]&lt;=InputTable[[#This Row],[measurement.eui.total]]*0.1),1,0)*$CR$2</f>
        <v>0</v>
      </c>
      <c r="CS28" s="32">
        <f t="shared" si="7"/>
        <v>1.3</v>
      </c>
      <c r="CU28" s="32">
        <f t="shared" si="8"/>
        <v>57730.450000000164</v>
      </c>
      <c r="CV28" s="32">
        <f t="shared" si="9"/>
        <v>11194.548333333389</v>
      </c>
      <c r="CW28" s="32">
        <f>SUM(InputTable[[#This Row],[measurement.E.1]],InputTable[[#This Row],[measurement.G.1]],InputTable[[#This Row],[measurement.S.1]],InputTable[[#This Row],[measurement.C.1]])</f>
        <v>55682.318485144802</v>
      </c>
      <c r="CX28" s="32">
        <f>SUM(InputTable[[#This Row],[measurement.E.2]],InputTable[[#This Row],[measurement.G.2]],InputTable[[#This Row],[measurement.S.2]],InputTable[[#This Row],[measurement.C.2]])</f>
        <v>58473.327636718219</v>
      </c>
      <c r="CY28" s="32">
        <f>SUM(InputTable[[#This Row],[measurement.E.3]],InputTable[[#This Row],[measurement.G.3]],InputTable[[#This Row],[measurement.S.3]],InputTable[[#This Row],[measurement.C.3]])</f>
        <v>183932.668267726</v>
      </c>
      <c r="CZ28" s="32">
        <f>SUM(InputTable[[#This Row],[measurement.E.4]],InputTable[[#This Row],[measurement.G.4]],InputTable[[#This Row],[measurement.S.4]],InputTable[[#This Row],[measurement.C.4]])</f>
        <v>219288.95400940394</v>
      </c>
      <c r="DA28" s="32">
        <f>SUM(InputTable[[#This Row],[measurement.E.5]],InputTable[[#This Row],[measurement.G.5]],InputTable[[#This Row],[measurement.S.5]],InputTable[[#This Row],[measurement.C.5]])</f>
        <v>276069.52985261299</v>
      </c>
      <c r="DB28" s="32">
        <f>SUM(InputTable[[#This Row],[measurement.E.6]],InputTable[[#This Row],[measurement.G.6]],InputTable[[#This Row],[measurement.S.6]],InputTable[[#This Row],[measurement.C.6]])</f>
        <v>306649.09110228554</v>
      </c>
      <c r="DC28" s="32">
        <f>SUM(InputTable[[#This Row],[measurement.E.7]],InputTable[[#This Row],[measurement.G.7]],InputTable[[#This Row],[measurement.S.7]],InputTable[[#This Row],[measurement.C.7]])</f>
        <v>361398.14823231439</v>
      </c>
      <c r="DD28" s="32">
        <f>SUM(InputTable[[#This Row],[measurement.E.8]],InputTable[[#This Row],[measurement.G.8]],InputTable[[#This Row],[measurement.S.8]],InputTable[[#This Row],[measurement.C.8]])</f>
        <v>394217.46932862827</v>
      </c>
      <c r="DE28" s="32">
        <f>SUM(InputTable[[#This Row],[measurement.E.9]],InputTable[[#This Row],[measurement.G.9]],InputTable[[#This Row],[measurement.S.9]],InputTable[[#This Row],[measurement.C.9]])</f>
        <v>344884.31291068211</v>
      </c>
      <c r="DF28" s="32">
        <f>SUM(InputTable[[#This Row],[measurement.E.10]],InputTable[[#This Row],[measurement.G.10]],InputTable[[#This Row],[measurement.S.10]],InputTable[[#This Row],[measurement.C.10]])</f>
        <v>323665.68862564035</v>
      </c>
      <c r="DG28" s="32">
        <f>SUM(InputTable[[#This Row],[measurement.E.11]],InputTable[[#This Row],[measurement.G.11]],InputTable[[#This Row],[measurement.S.11]],InputTable[[#This Row],[measurement.C.11]])</f>
        <v>262166.76569478837</v>
      </c>
      <c r="DH28" s="32">
        <f>SUM(InputTable[[#This Row],[measurement.E.12]],InputTable[[#This Row],[measurement.G.12]],InputTable[[#This Row],[measurement.S.12]],InputTable[[#This Row],[measurement.C.12]])</f>
        <v>236559.14960750195</v>
      </c>
    </row>
    <row r="29" spans="1:112" s="32" customFormat="1" ht="30" customHeight="1" x14ac:dyDescent="0.3">
      <c r="A29" s="2" t="s">
        <v>223</v>
      </c>
      <c r="B29" s="3">
        <v>25320</v>
      </c>
      <c r="C29" s="3" t="s">
        <v>190</v>
      </c>
      <c r="D29" s="3" t="s">
        <v>224</v>
      </c>
      <c r="E29" s="4" t="s">
        <v>173</v>
      </c>
      <c r="F29" s="4" t="s">
        <v>174</v>
      </c>
      <c r="G29" s="4"/>
      <c r="H29" s="4" t="s">
        <v>175</v>
      </c>
      <c r="I29" s="5">
        <v>37.335886010000003</v>
      </c>
      <c r="J29" s="5">
        <v>-121.8754735</v>
      </c>
      <c r="K29" s="48" t="s">
        <v>191</v>
      </c>
      <c r="L29" s="10"/>
      <c r="M29" s="3"/>
      <c r="N29" s="3" t="s">
        <v>182</v>
      </c>
      <c r="O29" s="4" t="s">
        <v>13</v>
      </c>
      <c r="P29" s="3">
        <v>2023</v>
      </c>
      <c r="Q29" s="59">
        <f>IF(COUNTBLANK(InputTable[[#This Row],[measurement.E.1]:[measurement.C.12]])=4*12,"",SUM(InputTable[[#This Row],[measurement.eui.E]:[measurement.eui.C]]))</f>
        <v>48.535590366185595</v>
      </c>
      <c r="R29" s="33" cm="1">
        <f t="array" ref="R2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15.090882625269428</v>
      </c>
      <c r="S29" s="33" cm="1">
        <f t="array" ref="S2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29" s="33" cm="1">
        <f t="array" ref="T2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9" s="33" cm="1">
        <f t="array" ref="U2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9" s="6">
        <v>8470.6003440859131</v>
      </c>
      <c r="W29" s="9">
        <v>8602.3079225807869</v>
      </c>
      <c r="X29" s="9">
        <v>9671.6720460430515</v>
      </c>
      <c r="Y29" s="9">
        <v>9632.5277539568287</v>
      </c>
      <c r="Z29" s="9">
        <v>9385.8527333333222</v>
      </c>
      <c r="AA29" s="9">
        <v>8647.2546666666403</v>
      </c>
      <c r="AB29" s="9">
        <v>9297.2929032259217</v>
      </c>
      <c r="AC29" s="9">
        <v>10461.907096774219</v>
      </c>
      <c r="AD29" s="9">
        <v>10509.32666666671</v>
      </c>
      <c r="AE29" s="9">
        <v>10329.280119910531</v>
      </c>
      <c r="AF29" s="9">
        <v>9081.9204392292613</v>
      </c>
      <c r="AG29" s="9">
        <v>7892.8507741936073</v>
      </c>
      <c r="AH29" s="6">
        <v>948.54838709676017</v>
      </c>
      <c r="AI29" s="9">
        <v>1038.884946236569</v>
      </c>
      <c r="AJ29" s="9">
        <v>964.3580335731308</v>
      </c>
      <c r="AK29" s="9">
        <v>753.80238309352001</v>
      </c>
      <c r="AL29" s="9">
        <v>620.00625000000559</v>
      </c>
      <c r="AM29" s="9">
        <v>471.62580645161341</v>
      </c>
      <c r="AN29" s="9">
        <v>400.51612903225191</v>
      </c>
      <c r="AO29" s="9">
        <v>408.6580645161273</v>
      </c>
      <c r="AP29" s="9">
        <v>566.99999999999488</v>
      </c>
      <c r="AQ29" s="9">
        <v>662.80805369127324</v>
      </c>
      <c r="AR29" s="9">
        <v>791.95323663129693</v>
      </c>
      <c r="AS29" s="9">
        <v>840.03870967742944</v>
      </c>
      <c r="AT29" s="6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6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7"/>
      <c r="BS29" s="8"/>
      <c r="BT29" s="8"/>
      <c r="BU29" s="8"/>
      <c r="BX29" s="32" cm="1">
        <f t="array" ref="BX29">IFERROR(_xlfn.QUARTILE.INC(_xlfn._xlws.FILTER($Q$5:$Q$64,$C$5:$C$64=$C29,""),3),"")</f>
        <v>57.783535949070853</v>
      </c>
      <c r="BY29" s="32" cm="1">
        <f t="array" ref="BY29">IFERROR(_xlfn.QUARTILE.INC(_xlfn._xlws.FILTER($Q$5:$Q$64,$C$5:$C$64=$C29,""),2),"")</f>
        <v>50.214307152072422</v>
      </c>
      <c r="BZ29" s="32" cm="1">
        <f t="array" ref="BZ29">IFERROR(_xlfn.QUARTILE.INC(_xlfn._xlws.FILTER($Q$5:$Q$64,$C$5:$C$64=$C29,""),1),"")</f>
        <v>48.922252420624055</v>
      </c>
      <c r="CA29" s="32">
        <f t="shared" si="0"/>
        <v>8.8612835284467977</v>
      </c>
      <c r="CB29" s="32">
        <f t="shared" si="1"/>
        <v>71.075461241741053</v>
      </c>
      <c r="CC29" s="32">
        <f t="shared" si="2"/>
        <v>35.630327127953862</v>
      </c>
      <c r="CD29" s="32">
        <f t="shared" si="3"/>
        <v>0</v>
      </c>
      <c r="CE29" s="32">
        <f t="shared" si="4"/>
        <v>0</v>
      </c>
      <c r="CF29" s="32">
        <f t="shared" si="5"/>
        <v>0.5</v>
      </c>
      <c r="CG29" s="32">
        <f t="shared" si="6"/>
        <v>0</v>
      </c>
      <c r="CO2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9" s="32">
        <f>IF(AND(InputTable[[#This Row],[metadata.primary_cooling_system]]="District Cooling",InputTable[[#This Row],[measurement.eui.C]]&gt;=InputTable[[#This Row],[measurement.eui.total]]*0.6),1,0)*$CQ$2</f>
        <v>0</v>
      </c>
      <c r="CR29" s="32">
        <f>IF(AND(InputTable[[#This Row],[metadata.primary_cooling_system]]="District Cooling",InputTable[[#This Row],[measurement.eui.C]]&lt;=InputTable[[#This Row],[measurement.eui.total]]*0.1),1,0)*$CR$2</f>
        <v>0</v>
      </c>
      <c r="CS29" s="32">
        <f t="shared" si="7"/>
        <v>1.3</v>
      </c>
      <c r="CU29" s="32">
        <f t="shared" si="8"/>
        <v>0</v>
      </c>
      <c r="CV29" s="32">
        <f t="shared" si="9"/>
        <v>0</v>
      </c>
      <c r="CW29" s="32">
        <f>SUM(InputTable[[#This Row],[measurement.E.1]],InputTable[[#This Row],[measurement.G.1]],InputTable[[#This Row],[measurement.S.1]],InputTable[[#This Row],[measurement.C.1]])</f>
        <v>9419.1487311826731</v>
      </c>
      <c r="CX29" s="32">
        <f>SUM(InputTable[[#This Row],[measurement.E.2]],InputTable[[#This Row],[measurement.G.2]],InputTable[[#This Row],[measurement.S.2]],InputTable[[#This Row],[measurement.C.2]])</f>
        <v>9641.1928688173557</v>
      </c>
      <c r="CY29" s="32">
        <f>SUM(InputTable[[#This Row],[measurement.E.3]],InputTable[[#This Row],[measurement.G.3]],InputTable[[#This Row],[measurement.S.3]],InputTable[[#This Row],[measurement.C.3]])</f>
        <v>10636.030079616183</v>
      </c>
      <c r="CZ29" s="32">
        <f>SUM(InputTable[[#This Row],[measurement.E.4]],InputTable[[#This Row],[measurement.G.4]],InputTable[[#This Row],[measurement.S.4]],InputTable[[#This Row],[measurement.C.4]])</f>
        <v>10386.330137050349</v>
      </c>
      <c r="DA29" s="32">
        <f>SUM(InputTable[[#This Row],[measurement.E.5]],InputTable[[#This Row],[measurement.G.5]],InputTable[[#This Row],[measurement.S.5]],InputTable[[#This Row],[measurement.C.5]])</f>
        <v>10005.858983333328</v>
      </c>
      <c r="DB29" s="32">
        <f>SUM(InputTable[[#This Row],[measurement.E.6]],InputTable[[#This Row],[measurement.G.6]],InputTable[[#This Row],[measurement.S.6]],InputTable[[#This Row],[measurement.C.6]])</f>
        <v>9118.8804731182536</v>
      </c>
      <c r="DC29" s="32">
        <f>SUM(InputTable[[#This Row],[measurement.E.7]],InputTable[[#This Row],[measurement.G.7]],InputTable[[#This Row],[measurement.S.7]],InputTable[[#This Row],[measurement.C.7]])</f>
        <v>9697.8090322581738</v>
      </c>
      <c r="DD29" s="32">
        <f>SUM(InputTable[[#This Row],[measurement.E.8]],InputTable[[#This Row],[measurement.G.8]],InputTable[[#This Row],[measurement.S.8]],InputTable[[#This Row],[measurement.C.8]])</f>
        <v>10870.565161290346</v>
      </c>
      <c r="DE29" s="32">
        <f>SUM(InputTable[[#This Row],[measurement.E.9]],InputTable[[#This Row],[measurement.G.9]],InputTable[[#This Row],[measurement.S.9]],InputTable[[#This Row],[measurement.C.9]])</f>
        <v>11076.326666666704</v>
      </c>
      <c r="DF29" s="32">
        <f>SUM(InputTable[[#This Row],[measurement.E.10]],InputTable[[#This Row],[measurement.G.10]],InputTable[[#This Row],[measurement.S.10]],InputTable[[#This Row],[measurement.C.10]])</f>
        <v>10992.088173601804</v>
      </c>
      <c r="DG29" s="32">
        <f>SUM(InputTable[[#This Row],[measurement.E.11]],InputTable[[#This Row],[measurement.G.11]],InputTable[[#This Row],[measurement.S.11]],InputTable[[#This Row],[measurement.C.11]])</f>
        <v>9873.8736758605592</v>
      </c>
      <c r="DH29" s="32">
        <f>SUM(InputTable[[#This Row],[measurement.E.12]],InputTable[[#This Row],[measurement.G.12]],InputTable[[#This Row],[measurement.S.12]],InputTable[[#This Row],[measurement.C.12]])</f>
        <v>8732.8894838710366</v>
      </c>
    </row>
    <row r="30" spans="1:112" s="32" customFormat="1" ht="30" customHeight="1" x14ac:dyDescent="0.3">
      <c r="A30" s="2" t="s">
        <v>225</v>
      </c>
      <c r="B30" s="3">
        <v>130000</v>
      </c>
      <c r="C30" s="3" t="s">
        <v>190</v>
      </c>
      <c r="D30" s="3" t="s">
        <v>172</v>
      </c>
      <c r="E30" s="4" t="s">
        <v>173</v>
      </c>
      <c r="F30" s="4" t="s">
        <v>174</v>
      </c>
      <c r="G30" s="4"/>
      <c r="H30" s="4" t="s">
        <v>175</v>
      </c>
      <c r="I30" s="5"/>
      <c r="J30" s="5"/>
      <c r="K30" s="48" t="s">
        <v>191</v>
      </c>
      <c r="L30" s="10"/>
      <c r="M30" s="3"/>
      <c r="N30" s="3" t="s">
        <v>182</v>
      </c>
      <c r="O30" s="4" t="s">
        <v>13</v>
      </c>
      <c r="P30" s="3">
        <v>2019</v>
      </c>
      <c r="Q30" s="59">
        <f>IF(COUNTBLANK(InputTable[[#This Row],[measurement.E.1]:[measurement.C.12]])=4*12,"",SUM(InputTable[[#This Row],[measurement.eui.E]:[measurement.eui.C]]))</f>
        <v>50.346375720205401</v>
      </c>
      <c r="R30" s="33" cm="1">
        <f t="array" ref="R3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18.699979561913654</v>
      </c>
      <c r="S30" s="33" cm="1">
        <f t="array" ref="S3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31.646396158291743</v>
      </c>
      <c r="T30" s="33" cm="1">
        <f t="array" ref="T3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0" s="33" cm="1">
        <f t="array" ref="U3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0" s="6">
        <v>49745.400012016296</v>
      </c>
      <c r="W30" s="9">
        <v>67316.0999584198</v>
      </c>
      <c r="X30" s="9">
        <v>68645.099959373474</v>
      </c>
      <c r="Y30" s="9">
        <v>63880.499975204468</v>
      </c>
      <c r="Z30" s="9">
        <v>59289.599984169014</v>
      </c>
      <c r="AA30" s="9">
        <v>39449.249979972839</v>
      </c>
      <c r="AB30" s="9">
        <v>42106.499981880188</v>
      </c>
      <c r="AC30" s="9">
        <v>59153.700042724609</v>
      </c>
      <c r="AD30" s="9">
        <v>74686.799945831299</v>
      </c>
      <c r="AE30" s="9">
        <v>70525.350023269653</v>
      </c>
      <c r="AF30" s="9">
        <v>63027.750016212463</v>
      </c>
      <c r="AG30" s="9">
        <v>54628.949951171882</v>
      </c>
      <c r="AH30" s="6">
        <v>4265.6994552612296</v>
      </c>
      <c r="AI30" s="9">
        <v>6382.6745300292969</v>
      </c>
      <c r="AJ30" s="9">
        <v>5266.6689529418954</v>
      </c>
      <c r="AK30" s="9">
        <v>3307.636596679688</v>
      </c>
      <c r="AL30" s="9">
        <v>2967.1136226654048</v>
      </c>
      <c r="AM30" s="9">
        <v>1402.440955638885</v>
      </c>
      <c r="AN30" s="9">
        <v>1506.715084075928</v>
      </c>
      <c r="AO30" s="9">
        <v>1522.900796890259</v>
      </c>
      <c r="AP30" s="9">
        <v>2198.041633605957</v>
      </c>
      <c r="AQ30" s="9">
        <v>3221.429695129395</v>
      </c>
      <c r="AR30" s="9">
        <v>4157.9168548583984</v>
      </c>
      <c r="AS30" s="9">
        <v>4941.0768280029297</v>
      </c>
      <c r="AT30" s="6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6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7"/>
      <c r="BS30" s="8"/>
      <c r="BT30" s="8"/>
      <c r="BU30" s="8"/>
      <c r="BX30" s="32" cm="1">
        <f t="array" ref="BX30">IFERROR(_xlfn.QUARTILE.INC(_xlfn._xlws.FILTER($Q$5:$Q$64,$C$5:$C$64=$C30,""),3),"")</f>
        <v>57.783535949070853</v>
      </c>
      <c r="BY30" s="32" cm="1">
        <f t="array" ref="BY30">IFERROR(_xlfn.QUARTILE.INC(_xlfn._xlws.FILTER($Q$5:$Q$64,$C$5:$C$64=$C30,""),2),"")</f>
        <v>50.214307152072422</v>
      </c>
      <c r="BZ30" s="32" cm="1">
        <f t="array" ref="BZ30">IFERROR(_xlfn.QUARTILE.INC(_xlfn._xlws.FILTER($Q$5:$Q$64,$C$5:$C$64=$C30,""),1),"")</f>
        <v>48.922252420624055</v>
      </c>
      <c r="CA30" s="32">
        <f t="shared" si="0"/>
        <v>8.8612835284467977</v>
      </c>
      <c r="CB30" s="32">
        <f t="shared" si="1"/>
        <v>71.075461241741053</v>
      </c>
      <c r="CC30" s="32">
        <f t="shared" si="2"/>
        <v>35.630327127953862</v>
      </c>
      <c r="CD30" s="32">
        <f t="shared" si="3"/>
        <v>0</v>
      </c>
      <c r="CE30" s="32">
        <f t="shared" si="4"/>
        <v>0</v>
      </c>
      <c r="CF30" s="32">
        <f t="shared" si="5"/>
        <v>0</v>
      </c>
      <c r="CG30" s="32">
        <f t="shared" si="6"/>
        <v>0</v>
      </c>
      <c r="CO3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0" s="32">
        <f>IF(AND(InputTable[[#This Row],[metadata.primary_cooling_system]]="District Cooling",InputTable[[#This Row],[measurement.eui.C]]&gt;=InputTable[[#This Row],[measurement.eui.total]]*0.6),1,0)*$CQ$2</f>
        <v>0</v>
      </c>
      <c r="CR30" s="32">
        <f>IF(AND(InputTable[[#This Row],[metadata.primary_cooling_system]]="District Cooling",InputTable[[#This Row],[measurement.eui.C]]&lt;=InputTable[[#This Row],[measurement.eui.total]]*0.1),1,0)*$CR$2</f>
        <v>0</v>
      </c>
      <c r="CS30" s="32">
        <f t="shared" si="7"/>
        <v>0.8</v>
      </c>
      <c r="CU30" s="32">
        <f t="shared" si="8"/>
        <v>0</v>
      </c>
      <c r="CV30" s="32">
        <f t="shared" si="9"/>
        <v>0</v>
      </c>
      <c r="CW30" s="32">
        <f>SUM(InputTable[[#This Row],[measurement.E.1]],InputTable[[#This Row],[measurement.G.1]],InputTable[[#This Row],[measurement.S.1]],InputTable[[#This Row],[measurement.C.1]])</f>
        <v>54011.099467277527</v>
      </c>
      <c r="CX30" s="32">
        <f>SUM(InputTable[[#This Row],[measurement.E.2]],InputTable[[#This Row],[measurement.G.2]],InputTable[[#This Row],[measurement.S.2]],InputTable[[#This Row],[measurement.C.2]])</f>
        <v>73698.774488449097</v>
      </c>
      <c r="CY30" s="32">
        <f>SUM(InputTable[[#This Row],[measurement.E.3]],InputTable[[#This Row],[measurement.G.3]],InputTable[[#This Row],[measurement.S.3]],InputTable[[#This Row],[measurement.C.3]])</f>
        <v>73911.768912315369</v>
      </c>
      <c r="CZ30" s="32">
        <f>SUM(InputTable[[#This Row],[measurement.E.4]],InputTable[[#This Row],[measurement.G.4]],InputTable[[#This Row],[measurement.S.4]],InputTable[[#This Row],[measurement.C.4]])</f>
        <v>67188.136571884155</v>
      </c>
      <c r="DA30" s="32">
        <f>SUM(InputTable[[#This Row],[measurement.E.5]],InputTable[[#This Row],[measurement.G.5]],InputTable[[#This Row],[measurement.S.5]],InputTable[[#This Row],[measurement.C.5]])</f>
        <v>62256.713606834419</v>
      </c>
      <c r="DB30" s="32">
        <f>SUM(InputTable[[#This Row],[measurement.E.6]],InputTable[[#This Row],[measurement.G.6]],InputTable[[#This Row],[measurement.S.6]],InputTable[[#This Row],[measurement.C.6]])</f>
        <v>40851.690935611725</v>
      </c>
      <c r="DC30" s="32">
        <f>SUM(InputTable[[#This Row],[measurement.E.7]],InputTable[[#This Row],[measurement.G.7]],InputTable[[#This Row],[measurement.S.7]],InputTable[[#This Row],[measurement.C.7]])</f>
        <v>43613.215065956116</v>
      </c>
      <c r="DD30" s="32">
        <f>SUM(InputTable[[#This Row],[measurement.E.8]],InputTable[[#This Row],[measurement.G.8]],InputTable[[#This Row],[measurement.S.8]],InputTable[[#This Row],[measurement.C.8]])</f>
        <v>60676.600839614868</v>
      </c>
      <c r="DE30" s="32">
        <f>SUM(InputTable[[#This Row],[measurement.E.9]],InputTable[[#This Row],[measurement.G.9]],InputTable[[#This Row],[measurement.S.9]],InputTable[[#This Row],[measurement.C.9]])</f>
        <v>76884.841579437256</v>
      </c>
      <c r="DF30" s="32">
        <f>SUM(InputTable[[#This Row],[measurement.E.10]],InputTable[[#This Row],[measurement.G.10]],InputTable[[#This Row],[measurement.S.10]],InputTable[[#This Row],[measurement.C.10]])</f>
        <v>73746.779718399048</v>
      </c>
      <c r="DG30" s="32">
        <f>SUM(InputTable[[#This Row],[measurement.E.11]],InputTable[[#This Row],[measurement.G.11]],InputTable[[#This Row],[measurement.S.11]],InputTable[[#This Row],[measurement.C.11]])</f>
        <v>67185.666871070862</v>
      </c>
      <c r="DH30" s="32">
        <f>SUM(InputTable[[#This Row],[measurement.E.12]],InputTable[[#This Row],[measurement.G.12]],InputTable[[#This Row],[measurement.S.12]],InputTable[[#This Row],[measurement.C.12]])</f>
        <v>59570.026779174812</v>
      </c>
    </row>
    <row r="31" spans="1:112" s="32" customFormat="1" ht="30" customHeight="1" x14ac:dyDescent="0.3">
      <c r="A31" s="2" t="s">
        <v>226</v>
      </c>
      <c r="B31" s="3">
        <v>15358</v>
      </c>
      <c r="C31" s="3" t="s">
        <v>211</v>
      </c>
      <c r="D31" s="3" t="s">
        <v>212</v>
      </c>
      <c r="E31" s="4" t="s">
        <v>173</v>
      </c>
      <c r="F31" s="4" t="s">
        <v>174</v>
      </c>
      <c r="G31" s="4"/>
      <c r="H31" s="4" t="s">
        <v>175</v>
      </c>
      <c r="I31" s="5">
        <v>37.32111518</v>
      </c>
      <c r="J31" s="5">
        <v>-121.8701976</v>
      </c>
      <c r="K31" s="48" t="s">
        <v>176</v>
      </c>
      <c r="L31" s="10"/>
      <c r="M31" s="3" t="s">
        <v>213</v>
      </c>
      <c r="N31" s="3" t="s">
        <v>182</v>
      </c>
      <c r="O31" s="4" t="s">
        <v>13</v>
      </c>
      <c r="P31" s="3">
        <v>2023</v>
      </c>
      <c r="Q31" s="59">
        <f>IF(COUNTBLANK(InputTable[[#This Row],[measurement.E.1]:[measurement.C.12]])=4*12,"",SUM(InputTable[[#This Row],[measurement.eui.E]:[measurement.eui.C]]))</f>
        <v>90.610411480432887</v>
      </c>
      <c r="R31" s="33" cm="1">
        <f t="array" ref="R3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47.274585663058922</v>
      </c>
      <c r="S31" s="33" cm="1">
        <f t="array" ref="S3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43.335825817373966</v>
      </c>
      <c r="T31" s="33" cm="1">
        <f t="array" ref="T3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1" s="33" cm="1">
        <f t="array" ref="U3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1" s="6">
        <v>36004.670127718797</v>
      </c>
      <c r="W31" s="9">
        <v>17368.139964280821</v>
      </c>
      <c r="X31" s="9">
        <v>13117.375386141101</v>
      </c>
      <c r="Y31" s="9">
        <v>15397.671152439911</v>
      </c>
      <c r="Z31" s="9">
        <v>15741.82756533421</v>
      </c>
      <c r="AA31" s="9">
        <v>17024.188943748719</v>
      </c>
      <c r="AB31" s="9">
        <v>17666.89989713069</v>
      </c>
      <c r="AC31" s="9">
        <v>21088.366467977401</v>
      </c>
      <c r="AD31" s="9">
        <v>18999.694552598841</v>
      </c>
      <c r="AE31" s="9">
        <v>17594.78179161972</v>
      </c>
      <c r="AF31" s="9">
        <v>12940.691916587841</v>
      </c>
      <c r="AG31" s="9">
        <v>9837.9186851820159</v>
      </c>
      <c r="AH31" s="6">
        <v>1599.916129032275</v>
      </c>
      <c r="AI31" s="9">
        <v>1722.8000000000179</v>
      </c>
      <c r="AJ31" s="9">
        <v>1344.417266187048</v>
      </c>
      <c r="AK31" s="9">
        <v>690.88273381295016</v>
      </c>
      <c r="AL31" s="9">
        <v>296.26666666666671</v>
      </c>
      <c r="AM31" s="9">
        <v>104.2636363636388</v>
      </c>
      <c r="AN31" s="9">
        <v>71.142110762801252</v>
      </c>
      <c r="AO31" s="9">
        <v>67.427586206896976</v>
      </c>
      <c r="AP31" s="9">
        <v>151.96249999999989</v>
      </c>
      <c r="AQ31" s="9">
        <v>295.84782998565299</v>
      </c>
      <c r="AR31" s="9">
        <v>165.13805711112019</v>
      </c>
      <c r="AS31" s="9">
        <v>145.45161290322559</v>
      </c>
      <c r="AT31" s="6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6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7"/>
      <c r="BS31" s="8"/>
      <c r="BT31" s="8"/>
      <c r="BU31" s="8"/>
      <c r="BX31" s="32" cm="1">
        <f t="array" ref="BX31">IFERROR(_xlfn.QUARTILE.INC(_xlfn._xlws.FILTER($Q$5:$Q$64,$C$5:$C$64=$C31,""),3),"")</f>
        <v>110.27378312085324</v>
      </c>
      <c r="BY31" s="32" cm="1">
        <f t="array" ref="BY31">IFERROR(_xlfn.QUARTILE.INC(_xlfn._xlws.FILTER($Q$5:$Q$64,$C$5:$C$64=$C31,""),2),"")</f>
        <v>50.945706184815123</v>
      </c>
      <c r="BZ31" s="32" cm="1">
        <f t="array" ref="BZ31">IFERROR(_xlfn.QUARTILE.INC(_xlfn._xlws.FILTER($Q$5:$Q$64,$C$5:$C$64=$C31,""),1),"")</f>
        <v>35.324923465665997</v>
      </c>
      <c r="CA31" s="32">
        <f t="shared" si="0"/>
        <v>74.948859655187249</v>
      </c>
      <c r="CB31" s="32">
        <f t="shared" si="1"/>
        <v>222.69707260363413</v>
      </c>
      <c r="CC31" s="32">
        <f t="shared" si="2"/>
        <v>-77.09836601711487</v>
      </c>
      <c r="CD31" s="32">
        <f t="shared" si="3"/>
        <v>0</v>
      </c>
      <c r="CE31" s="32">
        <f t="shared" si="4"/>
        <v>0</v>
      </c>
      <c r="CF31" s="32">
        <f t="shared" si="5"/>
        <v>0</v>
      </c>
      <c r="CG31" s="32">
        <f t="shared" si="6"/>
        <v>0</v>
      </c>
      <c r="CO3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1" s="32">
        <f>IF(AND(InputTable[[#This Row],[metadata.primary_cooling_system]]="District Cooling",InputTable[[#This Row],[measurement.eui.C]]&gt;=InputTable[[#This Row],[measurement.eui.total]]*0.6),1,0)*$CQ$2</f>
        <v>0</v>
      </c>
      <c r="CR31" s="32">
        <f>IF(AND(InputTable[[#This Row],[metadata.primary_cooling_system]]="District Cooling",InputTable[[#This Row],[measurement.eui.C]]&lt;=InputTable[[#This Row],[measurement.eui.total]]*0.1),1,0)*$CR$2</f>
        <v>0</v>
      </c>
      <c r="CS31" s="32">
        <f t="shared" si="7"/>
        <v>0.8</v>
      </c>
      <c r="CU31" s="32">
        <f t="shared" si="8"/>
        <v>0</v>
      </c>
      <c r="CV31" s="32">
        <f t="shared" si="9"/>
        <v>0</v>
      </c>
      <c r="CW31" s="32">
        <f>SUM(InputTable[[#This Row],[measurement.E.1]],InputTable[[#This Row],[measurement.G.1]],InputTable[[#This Row],[measurement.S.1]],InputTable[[#This Row],[measurement.C.1]])</f>
        <v>37604.58625675107</v>
      </c>
      <c r="CX31" s="32">
        <f>SUM(InputTable[[#This Row],[measurement.E.2]],InputTable[[#This Row],[measurement.G.2]],InputTable[[#This Row],[measurement.S.2]],InputTable[[#This Row],[measurement.C.2]])</f>
        <v>19090.939964280838</v>
      </c>
      <c r="CY31" s="32">
        <f>SUM(InputTable[[#This Row],[measurement.E.3]],InputTable[[#This Row],[measurement.G.3]],InputTable[[#This Row],[measurement.S.3]],InputTable[[#This Row],[measurement.C.3]])</f>
        <v>14461.792652328149</v>
      </c>
      <c r="CZ31" s="32">
        <f>SUM(InputTable[[#This Row],[measurement.E.4]],InputTable[[#This Row],[measurement.G.4]],InputTable[[#This Row],[measurement.S.4]],InputTable[[#This Row],[measurement.C.4]])</f>
        <v>16088.553886252861</v>
      </c>
      <c r="DA31" s="32">
        <f>SUM(InputTable[[#This Row],[measurement.E.5]],InputTable[[#This Row],[measurement.G.5]],InputTable[[#This Row],[measurement.S.5]],InputTable[[#This Row],[measurement.C.5]])</f>
        <v>16038.094232000876</v>
      </c>
      <c r="DB31" s="32">
        <f>SUM(InputTable[[#This Row],[measurement.E.6]],InputTable[[#This Row],[measurement.G.6]],InputTable[[#This Row],[measurement.S.6]],InputTable[[#This Row],[measurement.C.6]])</f>
        <v>17128.452580112356</v>
      </c>
      <c r="DC31" s="32">
        <f>SUM(InputTable[[#This Row],[measurement.E.7]],InputTable[[#This Row],[measurement.G.7]],InputTable[[#This Row],[measurement.S.7]],InputTable[[#This Row],[measurement.C.7]])</f>
        <v>17738.042007893491</v>
      </c>
      <c r="DD31" s="32">
        <f>SUM(InputTable[[#This Row],[measurement.E.8]],InputTable[[#This Row],[measurement.G.8]],InputTable[[#This Row],[measurement.S.8]],InputTable[[#This Row],[measurement.C.8]])</f>
        <v>21155.794054184298</v>
      </c>
      <c r="DE31" s="32">
        <f>SUM(InputTable[[#This Row],[measurement.E.9]],InputTable[[#This Row],[measurement.G.9]],InputTable[[#This Row],[measurement.S.9]],InputTable[[#This Row],[measurement.C.9]])</f>
        <v>19151.657052598843</v>
      </c>
      <c r="DF31" s="32">
        <f>SUM(InputTable[[#This Row],[measurement.E.10]],InputTable[[#This Row],[measurement.G.10]],InputTable[[#This Row],[measurement.S.10]],InputTable[[#This Row],[measurement.C.10]])</f>
        <v>17890.629621605374</v>
      </c>
      <c r="DG31" s="32">
        <f>SUM(InputTable[[#This Row],[measurement.E.11]],InputTable[[#This Row],[measurement.G.11]],InputTable[[#This Row],[measurement.S.11]],InputTable[[#This Row],[measurement.C.11]])</f>
        <v>13105.829973698961</v>
      </c>
      <c r="DH31" s="32">
        <f>SUM(InputTable[[#This Row],[measurement.E.12]],InputTable[[#This Row],[measurement.G.12]],InputTable[[#This Row],[measurement.S.12]],InputTable[[#This Row],[measurement.C.12]])</f>
        <v>9983.3702980852413</v>
      </c>
    </row>
    <row r="32" spans="1:112" s="32" customFormat="1" ht="30" customHeight="1" x14ac:dyDescent="0.3">
      <c r="A32" s="2" t="s">
        <v>227</v>
      </c>
      <c r="B32">
        <v>107302</v>
      </c>
      <c r="C32" s="3" t="s">
        <v>187</v>
      </c>
      <c r="D32" s="3" t="s">
        <v>172</v>
      </c>
      <c r="E32" s="4" t="s">
        <v>173</v>
      </c>
      <c r="F32" s="4" t="s">
        <v>174</v>
      </c>
      <c r="G32" s="4"/>
      <c r="H32" s="4" t="s">
        <v>175</v>
      </c>
      <c r="I32" s="5">
        <v>37.333550580000001</v>
      </c>
      <c r="J32" s="5">
        <v>-121.8817932</v>
      </c>
      <c r="K32" s="48" t="s">
        <v>176</v>
      </c>
      <c r="L32" s="10"/>
      <c r="M32" s="3" t="s">
        <v>228</v>
      </c>
      <c r="N32" s="3" t="s">
        <v>15</v>
      </c>
      <c r="O32" s="4" t="s">
        <v>16</v>
      </c>
      <c r="P32" s="3">
        <v>2023</v>
      </c>
      <c r="Q32" s="59">
        <f>IF(COUNTBLANK(InputTable[[#This Row],[measurement.E.1]:[measurement.C.12]])=4*12,"",SUM(InputTable[[#This Row],[measurement.eui.E]:[measurement.eui.C]]))</f>
        <v>57.285770297243005</v>
      </c>
      <c r="R32" s="33" cm="1">
        <f t="array" ref="R3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30.964983253077996</v>
      </c>
      <c r="S32" s="33" cm="1">
        <f t="array" ref="S3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2" s="33" cm="1">
        <f t="array" ref="T3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17.908307566313894</v>
      </c>
      <c r="U32" s="33" cm="1">
        <f t="array" ref="U3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8.4124794778511127</v>
      </c>
      <c r="V32" s="6">
        <v>75903.498138713752</v>
      </c>
      <c r="W32" s="9">
        <v>69008.187499999447</v>
      </c>
      <c r="X32" s="9">
        <v>74379.665850188278</v>
      </c>
      <c r="Y32" s="9">
        <v>68192.646649810675</v>
      </c>
      <c r="Z32" s="9">
        <v>68133.49999999885</v>
      </c>
      <c r="AA32" s="9">
        <v>65876.517857141604</v>
      </c>
      <c r="AB32" s="9">
        <v>71457.232142858091</v>
      </c>
      <c r="AC32" s="9">
        <v>101125.6828042164</v>
      </c>
      <c r="AD32" s="9">
        <v>98261.269829231605</v>
      </c>
      <c r="AE32" s="9">
        <v>102981.0033602019</v>
      </c>
      <c r="AF32" s="9">
        <v>93665.257284195803</v>
      </c>
      <c r="AG32" s="9">
        <v>84774.843596393737</v>
      </c>
      <c r="AH32" s="6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6">
        <v>2243.770541487082</v>
      </c>
      <c r="AU32" s="9">
        <v>2246.1425781250382</v>
      </c>
      <c r="AV32" s="9">
        <v>3244.68088258534</v>
      </c>
      <c r="AW32" s="9">
        <v>2151.3640392896809</v>
      </c>
      <c r="AX32" s="9">
        <v>1720.498046875002</v>
      </c>
      <c r="AY32" s="9">
        <v>790.82310267858077</v>
      </c>
      <c r="AZ32" s="9">
        <v>465.06556919642031</v>
      </c>
      <c r="BA32" s="9">
        <v>339.7198660714256</v>
      </c>
      <c r="BB32" s="9">
        <v>719.77859933035029</v>
      </c>
      <c r="BC32" s="9">
        <v>971.03864397321695</v>
      </c>
      <c r="BD32" s="9">
        <v>1922.9075824598101</v>
      </c>
      <c r="BE32" s="9">
        <v>2400.1827327341839</v>
      </c>
      <c r="BF32" s="6">
        <v>24.298035762392718</v>
      </c>
      <c r="BG32" s="9">
        <v>43.536669921874847</v>
      </c>
      <c r="BH32" s="9">
        <v>1326.2892979243991</v>
      </c>
      <c r="BI32" s="9">
        <v>5109.3256630131327</v>
      </c>
      <c r="BJ32" s="9">
        <v>5744.8873828124724</v>
      </c>
      <c r="BK32" s="9">
        <v>8364.0627455357171</v>
      </c>
      <c r="BL32" s="9">
        <v>11513.80421735498</v>
      </c>
      <c r="BM32" s="9">
        <v>15554.08623800201</v>
      </c>
      <c r="BN32" s="9">
        <v>12823.70810630592</v>
      </c>
      <c r="BO32" s="9">
        <v>10158.343184988789</v>
      </c>
      <c r="BP32" s="9">
        <v>3231.8863090740019</v>
      </c>
      <c r="BQ32" s="9">
        <v>1328.761560335987</v>
      </c>
      <c r="BR32" s="7"/>
      <c r="BS32" s="8"/>
      <c r="BT32" s="8"/>
      <c r="BU32" s="8"/>
      <c r="BX32" s="32" cm="1">
        <f t="array" ref="BX32">IFERROR(_xlfn.QUARTILE.INC(_xlfn._xlws.FILTER($Q$5:$Q$64,$C$5:$C$64=$C32,""),3),"")</f>
        <v>103.3358258738342</v>
      </c>
      <c r="BY32" s="32" cm="1">
        <f t="array" ref="BY32">IFERROR(_xlfn.QUARTILE.INC(_xlfn._xlws.FILTER($Q$5:$Q$64,$C$5:$C$64=$C32,""),2),"")</f>
        <v>63.763251345785051</v>
      </c>
      <c r="BZ32" s="32" cm="1">
        <f t="array" ref="BZ32">IFERROR(_xlfn.QUARTILE.INC(_xlfn._xlws.FILTER($Q$5:$Q$64,$C$5:$C$64=$C32,""),1),"")</f>
        <v>43.604372326614211</v>
      </c>
      <c r="CA32" s="32">
        <f t="shared" si="0"/>
        <v>59.731453547219985</v>
      </c>
      <c r="CB32" s="32">
        <f t="shared" si="1"/>
        <v>192.93300619466419</v>
      </c>
      <c r="CC32" s="32">
        <f t="shared" si="2"/>
        <v>-45.992807994215767</v>
      </c>
      <c r="CD32" s="32">
        <f t="shared" si="3"/>
        <v>0</v>
      </c>
      <c r="CE32" s="32">
        <f t="shared" si="4"/>
        <v>0</v>
      </c>
      <c r="CF32" s="32">
        <f t="shared" si="5"/>
        <v>0</v>
      </c>
      <c r="CG32" s="32">
        <f t="shared" si="6"/>
        <v>0</v>
      </c>
      <c r="CO3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2" s="32">
        <f>IF(AND(InputTable[[#This Row],[metadata.primary_cooling_system]]="District Cooling",InputTable[[#This Row],[measurement.eui.C]]&gt;=InputTable[[#This Row],[measurement.eui.total]]*0.6),1,0)*$CQ$2</f>
        <v>0</v>
      </c>
      <c r="CR32" s="32">
        <f>IF(AND(InputTable[[#This Row],[metadata.primary_cooling_system]]="District Cooling",InputTable[[#This Row],[measurement.eui.C]]&lt;=InputTable[[#This Row],[measurement.eui.total]]*0.1),1,0)*$CR$2</f>
        <v>0</v>
      </c>
      <c r="CS32" s="32">
        <f t="shared" si="7"/>
        <v>0</v>
      </c>
      <c r="CU32" s="32">
        <f t="shared" si="8"/>
        <v>7158.2878674146777</v>
      </c>
      <c r="CV32" s="32">
        <f t="shared" si="9"/>
        <v>12057.684317391453</v>
      </c>
      <c r="CW32" s="32">
        <f>SUM(InputTable[[#This Row],[measurement.E.1]],InputTable[[#This Row],[measurement.G.1]],InputTable[[#This Row],[measurement.S.1]],InputTable[[#This Row],[measurement.C.1]])</f>
        <v>78171.566715963228</v>
      </c>
      <c r="CX32" s="32">
        <f>SUM(InputTable[[#This Row],[measurement.E.2]],InputTable[[#This Row],[measurement.G.2]],InputTable[[#This Row],[measurement.S.2]],InputTable[[#This Row],[measurement.C.2]])</f>
        <v>71297.866748046363</v>
      </c>
      <c r="CY32" s="32">
        <f>SUM(InputTable[[#This Row],[measurement.E.3]],InputTable[[#This Row],[measurement.G.3]],InputTable[[#This Row],[measurement.S.3]],InputTable[[#This Row],[measurement.C.3]])</f>
        <v>78950.63603069802</v>
      </c>
      <c r="CZ32" s="32">
        <f>SUM(InputTable[[#This Row],[measurement.E.4]],InputTable[[#This Row],[measurement.G.4]],InputTable[[#This Row],[measurement.S.4]],InputTable[[#This Row],[measurement.C.4]])</f>
        <v>75453.336352113489</v>
      </c>
      <c r="DA32" s="32">
        <f>SUM(InputTable[[#This Row],[measurement.E.5]],InputTable[[#This Row],[measurement.G.5]],InputTable[[#This Row],[measurement.S.5]],InputTable[[#This Row],[measurement.C.5]])</f>
        <v>75598.885429686328</v>
      </c>
      <c r="DB32" s="32">
        <f>SUM(InputTable[[#This Row],[measurement.E.6]],InputTable[[#This Row],[measurement.G.6]],InputTable[[#This Row],[measurement.S.6]],InputTable[[#This Row],[measurement.C.6]])</f>
        <v>75031.4037053559</v>
      </c>
      <c r="DC32" s="32">
        <f>SUM(InputTable[[#This Row],[measurement.E.7]],InputTable[[#This Row],[measurement.G.7]],InputTable[[#This Row],[measurement.S.7]],InputTable[[#This Row],[measurement.C.7]])</f>
        <v>83436.101929409488</v>
      </c>
      <c r="DD32" s="32">
        <f>SUM(InputTable[[#This Row],[measurement.E.8]],InputTable[[#This Row],[measurement.G.8]],InputTable[[#This Row],[measurement.S.8]],InputTable[[#This Row],[measurement.C.8]])</f>
        <v>117019.48890828983</v>
      </c>
      <c r="DE32" s="32">
        <f>SUM(InputTable[[#This Row],[measurement.E.9]],InputTable[[#This Row],[measurement.G.9]],InputTable[[#This Row],[measurement.S.9]],InputTable[[#This Row],[measurement.C.9]])</f>
        <v>111804.75653486788</v>
      </c>
      <c r="DF32" s="32">
        <f>SUM(InputTable[[#This Row],[measurement.E.10]],InputTable[[#This Row],[measurement.G.10]],InputTable[[#This Row],[measurement.S.10]],InputTable[[#This Row],[measurement.C.10]])</f>
        <v>114110.38518916389</v>
      </c>
      <c r="DG32" s="32">
        <f>SUM(InputTable[[#This Row],[measurement.E.11]],InputTable[[#This Row],[measurement.G.11]],InputTable[[#This Row],[measurement.S.11]],InputTable[[#This Row],[measurement.C.11]])</f>
        <v>98820.051175729619</v>
      </c>
      <c r="DH32" s="32">
        <f>SUM(InputTable[[#This Row],[measurement.E.12]],InputTable[[#This Row],[measurement.G.12]],InputTable[[#This Row],[measurement.S.12]],InputTable[[#This Row],[measurement.C.12]])</f>
        <v>88503.787889463914</v>
      </c>
    </row>
    <row r="33" spans="1:112" s="32" customFormat="1" ht="30" customHeight="1" x14ac:dyDescent="0.3">
      <c r="A33" s="2" t="s">
        <v>229</v>
      </c>
      <c r="B33" s="3">
        <v>6451</v>
      </c>
      <c r="C33" s="3" t="s">
        <v>171</v>
      </c>
      <c r="D33" s="3" t="s">
        <v>172</v>
      </c>
      <c r="E33" s="4" t="s">
        <v>173</v>
      </c>
      <c r="F33" s="4" t="s">
        <v>174</v>
      </c>
      <c r="G33" s="4"/>
      <c r="H33" s="4" t="s">
        <v>175</v>
      </c>
      <c r="I33" s="5"/>
      <c r="J33" s="5"/>
      <c r="K33" s="48" t="s">
        <v>176</v>
      </c>
      <c r="L33" s="10"/>
      <c r="M33" s="3" t="s">
        <v>230</v>
      </c>
      <c r="N33" s="3" t="s">
        <v>231</v>
      </c>
      <c r="O33" s="4" t="s">
        <v>13</v>
      </c>
      <c r="P33" s="3">
        <v>2023</v>
      </c>
      <c r="Q33" s="59">
        <f>IF(COUNTBLANK(InputTable[[#This Row],[measurement.E.1]:[measurement.C.12]])=4*12,"",SUM(InputTable[[#This Row],[measurement.eui.E]:[measurement.eui.C]]))</f>
        <v>39.725763352573587</v>
      </c>
      <c r="R33" s="33" cm="1">
        <f t="array" ref="R3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39.725763352573587</v>
      </c>
      <c r="S33" s="33" cm="1">
        <f t="array" ref="S3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3" s="33" cm="1">
        <f t="array" ref="T3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3" s="33" cm="1">
        <f t="array" ref="U3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3" s="6">
        <v>6799.4327225806783</v>
      </c>
      <c r="W33" s="9">
        <v>7317.3944774193578</v>
      </c>
      <c r="X33" s="9">
        <v>7572.5787280576506</v>
      </c>
      <c r="Y33" s="9">
        <v>6446.9296719424992</v>
      </c>
      <c r="Z33" s="9">
        <v>5945.5358666666461</v>
      </c>
      <c r="AA33" s="9">
        <v>5593.1733333333623</v>
      </c>
      <c r="AB33" s="9">
        <v>6015.1655000000192</v>
      </c>
      <c r="AC33" s="9">
        <v>6428.5878333332976</v>
      </c>
      <c r="AD33" s="9">
        <v>5866.7433333333192</v>
      </c>
      <c r="AE33" s="9">
        <v>5715.5019319909679</v>
      </c>
      <c r="AF33" s="9">
        <v>5548.9721110196242</v>
      </c>
      <c r="AG33" s="9">
        <v>5855.5719569893281</v>
      </c>
      <c r="AH33" s="6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6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6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7"/>
      <c r="BS33" s="8"/>
      <c r="BT33" s="8"/>
      <c r="BU33" s="8"/>
      <c r="BX33" s="32" cm="1">
        <f t="array" ref="BX33">IFERROR(_xlfn.QUARTILE.INC(_xlfn._xlws.FILTER($Q$5:$Q$64,$C$5:$C$64=$C33,""),3),"")</f>
        <v>64.112055304293477</v>
      </c>
      <c r="BY33" s="32" cm="1">
        <f t="array" ref="BY33">IFERROR(_xlfn.QUARTILE.INC(_xlfn._xlws.FILTER($Q$5:$Q$64,$C$5:$C$64=$C33,""),2),"")</f>
        <v>39.725763352573587</v>
      </c>
      <c r="BZ33" s="32" cm="1">
        <f t="array" ref="BZ33">IFERROR(_xlfn.QUARTILE.INC(_xlfn._xlws.FILTER($Q$5:$Q$64,$C$5:$C$64=$C33,""),1),"")</f>
        <v>32.115150872687749</v>
      </c>
      <c r="CA33" s="32">
        <f t="shared" si="0"/>
        <v>31.996904431605728</v>
      </c>
      <c r="CB33" s="32">
        <f t="shared" si="1"/>
        <v>112.10741195170206</v>
      </c>
      <c r="CC33" s="32">
        <f t="shared" si="2"/>
        <v>-15.880205774720842</v>
      </c>
      <c r="CD33" s="32">
        <f t="shared" si="3"/>
        <v>0</v>
      </c>
      <c r="CE33" s="32">
        <f t="shared" si="4"/>
        <v>0</v>
      </c>
      <c r="CF33" s="32">
        <f t="shared" si="5"/>
        <v>0</v>
      </c>
      <c r="CG33" s="32">
        <f t="shared" si="6"/>
        <v>0</v>
      </c>
      <c r="CO3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3" s="32">
        <f>IF(AND(InputTable[[#This Row],[metadata.primary_cooling_system]]="District Cooling",InputTable[[#This Row],[measurement.eui.C]]&gt;=InputTable[[#This Row],[measurement.eui.total]]*0.6),1,0)*$CQ$2</f>
        <v>0</v>
      </c>
      <c r="CR33" s="32">
        <f>IF(AND(InputTable[[#This Row],[metadata.primary_cooling_system]]="District Cooling",InputTable[[#This Row],[measurement.eui.C]]&lt;=InputTable[[#This Row],[measurement.eui.total]]*0.1),1,0)*$CR$2</f>
        <v>0</v>
      </c>
      <c r="CS33" s="32">
        <f t="shared" si="7"/>
        <v>0.8</v>
      </c>
      <c r="CU33" s="32">
        <f t="shared" si="8"/>
        <v>0</v>
      </c>
      <c r="CV33" s="32">
        <f t="shared" si="9"/>
        <v>0</v>
      </c>
      <c r="CW33" s="32">
        <f>SUM(InputTable[[#This Row],[measurement.E.1]],InputTable[[#This Row],[measurement.G.1]],InputTable[[#This Row],[measurement.S.1]],InputTable[[#This Row],[measurement.C.1]])</f>
        <v>6799.4327225806783</v>
      </c>
      <c r="CX33" s="32">
        <f>SUM(InputTable[[#This Row],[measurement.E.2]],InputTable[[#This Row],[measurement.G.2]],InputTable[[#This Row],[measurement.S.2]],InputTable[[#This Row],[measurement.C.2]])</f>
        <v>7317.3944774193578</v>
      </c>
      <c r="CY33" s="32">
        <f>SUM(InputTable[[#This Row],[measurement.E.3]],InputTable[[#This Row],[measurement.G.3]],InputTable[[#This Row],[measurement.S.3]],InputTable[[#This Row],[measurement.C.3]])</f>
        <v>7572.5787280576506</v>
      </c>
      <c r="CZ33" s="32">
        <f>SUM(InputTable[[#This Row],[measurement.E.4]],InputTable[[#This Row],[measurement.G.4]],InputTable[[#This Row],[measurement.S.4]],InputTable[[#This Row],[measurement.C.4]])</f>
        <v>6446.9296719424992</v>
      </c>
      <c r="DA33" s="32">
        <f>SUM(InputTable[[#This Row],[measurement.E.5]],InputTable[[#This Row],[measurement.G.5]],InputTable[[#This Row],[measurement.S.5]],InputTable[[#This Row],[measurement.C.5]])</f>
        <v>5945.5358666666461</v>
      </c>
      <c r="DB33" s="32">
        <f>SUM(InputTable[[#This Row],[measurement.E.6]],InputTable[[#This Row],[measurement.G.6]],InputTable[[#This Row],[measurement.S.6]],InputTable[[#This Row],[measurement.C.6]])</f>
        <v>5593.1733333333623</v>
      </c>
      <c r="DC33" s="32">
        <f>SUM(InputTable[[#This Row],[measurement.E.7]],InputTable[[#This Row],[measurement.G.7]],InputTable[[#This Row],[measurement.S.7]],InputTable[[#This Row],[measurement.C.7]])</f>
        <v>6015.1655000000192</v>
      </c>
      <c r="DD33" s="32">
        <f>SUM(InputTable[[#This Row],[measurement.E.8]],InputTable[[#This Row],[measurement.G.8]],InputTable[[#This Row],[measurement.S.8]],InputTable[[#This Row],[measurement.C.8]])</f>
        <v>6428.5878333332976</v>
      </c>
      <c r="DE33" s="32">
        <f>SUM(InputTable[[#This Row],[measurement.E.9]],InputTable[[#This Row],[measurement.G.9]],InputTable[[#This Row],[measurement.S.9]],InputTable[[#This Row],[measurement.C.9]])</f>
        <v>5866.7433333333192</v>
      </c>
      <c r="DF33" s="32">
        <f>SUM(InputTable[[#This Row],[measurement.E.10]],InputTable[[#This Row],[measurement.G.10]],InputTable[[#This Row],[measurement.S.10]],InputTable[[#This Row],[measurement.C.10]])</f>
        <v>5715.5019319909679</v>
      </c>
      <c r="DG33" s="32">
        <f>SUM(InputTable[[#This Row],[measurement.E.11]],InputTable[[#This Row],[measurement.G.11]],InputTable[[#This Row],[measurement.S.11]],InputTable[[#This Row],[measurement.C.11]])</f>
        <v>5548.9721110196242</v>
      </c>
      <c r="DH33" s="32">
        <f>SUM(InputTable[[#This Row],[measurement.E.12]],InputTable[[#This Row],[measurement.G.12]],InputTable[[#This Row],[measurement.S.12]],InputTable[[#This Row],[measurement.C.12]])</f>
        <v>5855.5719569893281</v>
      </c>
    </row>
    <row r="34" spans="1:112" s="32" customFormat="1" ht="30" customHeight="1" x14ac:dyDescent="0.3">
      <c r="A34" s="2" t="s">
        <v>232</v>
      </c>
      <c r="B34" s="50">
        <v>61062</v>
      </c>
      <c r="C34" s="3" t="s">
        <v>179</v>
      </c>
      <c r="D34" s="3" t="s">
        <v>233</v>
      </c>
      <c r="E34" s="4" t="s">
        <v>173</v>
      </c>
      <c r="F34" s="4" t="s">
        <v>174</v>
      </c>
      <c r="G34" s="4"/>
      <c r="H34" s="4" t="s">
        <v>175</v>
      </c>
      <c r="I34" s="5">
        <v>36.794847740000002</v>
      </c>
      <c r="J34" s="5">
        <v>-121.7875324</v>
      </c>
      <c r="K34" s="48" t="s">
        <v>176</v>
      </c>
      <c r="L34" s="10"/>
      <c r="M34" s="51" t="s">
        <v>234</v>
      </c>
      <c r="N34" s="3" t="s">
        <v>182</v>
      </c>
      <c r="O34" s="4" t="s">
        <v>13</v>
      </c>
      <c r="P34" s="3">
        <v>2023</v>
      </c>
      <c r="Q34" s="59">
        <f>IF(COUNTBLANK(InputTable[[#This Row],[measurement.E.1]:[measurement.C.12]])=4*12,"",SUM(InputTable[[#This Row],[measurement.eui.E]:[measurement.eui.C]]))</f>
        <v>110.7023746240035</v>
      </c>
      <c r="R34" s="33" cm="1">
        <f t="array" ref="R3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46.695785868629301</v>
      </c>
      <c r="S34" s="33" cm="1">
        <f t="array" ref="S3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64.006588755374196</v>
      </c>
      <c r="T34" s="33" cm="1">
        <f t="array" ref="T3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4" s="33" cm="1">
        <f t="array" ref="U3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4" s="6">
        <v>69646.445161290234</v>
      </c>
      <c r="W34" s="9">
        <v>66994.000000001019</v>
      </c>
      <c r="X34" s="9">
        <v>73143.622611036044</v>
      </c>
      <c r="Y34" s="9">
        <v>69803.577388964084</v>
      </c>
      <c r="Z34" s="9">
        <v>69574.580645162292</v>
      </c>
      <c r="AA34" s="9">
        <v>67851.919354838639</v>
      </c>
      <c r="AB34" s="9">
        <v>69741.465517240547</v>
      </c>
      <c r="AC34" s="9">
        <v>70459.834482757738</v>
      </c>
      <c r="AD34" s="9">
        <v>69127.762500000463</v>
      </c>
      <c r="AE34" s="9">
        <v>71846.355720946085</v>
      </c>
      <c r="AF34" s="9">
        <v>70198.436617761676</v>
      </c>
      <c r="AG34" s="9">
        <v>67256.709677419567</v>
      </c>
      <c r="AH34" s="6">
        <v>4720.193548387073</v>
      </c>
      <c r="AI34" s="9">
        <v>4739.2763440860681</v>
      </c>
      <c r="AJ34" s="9">
        <v>4919.2248610649895</v>
      </c>
      <c r="AK34" s="9">
        <v>4257.1147222683867</v>
      </c>
      <c r="AL34" s="9">
        <v>3241.24213709678</v>
      </c>
      <c r="AM34" s="9">
        <v>2128.1096774193129</v>
      </c>
      <c r="AN34" s="9">
        <v>1871.4115684093349</v>
      </c>
      <c r="AO34" s="9">
        <v>1693.78036707455</v>
      </c>
      <c r="AP34" s="9">
        <v>1199.9346153846191</v>
      </c>
      <c r="AQ34" s="9">
        <v>2005.47351930645</v>
      </c>
      <c r="AR34" s="9">
        <v>3940.012833050871</v>
      </c>
      <c r="AS34" s="9">
        <v>4367.9290322581473</v>
      </c>
      <c r="AT34" s="6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6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7"/>
      <c r="BS34" s="8"/>
      <c r="BT34" s="8"/>
      <c r="BU34" s="8"/>
      <c r="BX34" s="32" cm="1">
        <f t="array" ref="BX34">IFERROR(_xlfn.QUARTILE.INC(_xlfn._xlws.FILTER($Q$5:$Q$64,$C$5:$C$64=$C34,""),3),"")</f>
        <v>123.42692609707021</v>
      </c>
      <c r="BY34" s="32" cm="1">
        <f t="array" ref="BY34">IFERROR(_xlfn.QUARTILE.INC(_xlfn._xlws.FILTER($Q$5:$Q$64,$C$5:$C$64=$C34,""),2),"")</f>
        <v>110.7023746240035</v>
      </c>
      <c r="BZ34" s="32" cm="1">
        <f t="array" ref="BZ34">IFERROR(_xlfn.QUARTILE.INC(_xlfn._xlws.FILTER($Q$5:$Q$64,$C$5:$C$64=$C34,""),1),"")</f>
        <v>105.94108912362468</v>
      </c>
      <c r="CA34" s="32">
        <f t="shared" si="0"/>
        <v>17.485836973445529</v>
      </c>
      <c r="CB34" s="32">
        <f t="shared" si="1"/>
        <v>149.65568155723849</v>
      </c>
      <c r="CC34" s="32">
        <f t="shared" si="2"/>
        <v>79.712333663456377</v>
      </c>
      <c r="CD34" s="32">
        <f t="shared" si="3"/>
        <v>0</v>
      </c>
      <c r="CE34" s="32">
        <f t="shared" si="4"/>
        <v>0</v>
      </c>
      <c r="CF34" s="32">
        <f t="shared" si="5"/>
        <v>0</v>
      </c>
      <c r="CG34" s="32">
        <f t="shared" si="6"/>
        <v>0</v>
      </c>
      <c r="CO3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4" s="32">
        <f>IF(AND(InputTable[[#This Row],[metadata.primary_cooling_system]]="District Cooling",InputTable[[#This Row],[measurement.eui.C]]&gt;=InputTable[[#This Row],[measurement.eui.total]]*0.6),1,0)*$CQ$2</f>
        <v>0</v>
      </c>
      <c r="CR34" s="32">
        <f>IF(AND(InputTable[[#This Row],[metadata.primary_cooling_system]]="District Cooling",InputTable[[#This Row],[measurement.eui.C]]&lt;=InputTable[[#This Row],[measurement.eui.total]]*0.1),1,0)*$CR$2</f>
        <v>0</v>
      </c>
      <c r="CS34" s="32">
        <f t="shared" si="7"/>
        <v>0.8</v>
      </c>
      <c r="CU34" s="32">
        <f t="shared" si="8"/>
        <v>0</v>
      </c>
      <c r="CV34" s="32">
        <f t="shared" si="9"/>
        <v>0</v>
      </c>
      <c r="CW34" s="32">
        <f>SUM(InputTable[[#This Row],[measurement.E.1]],InputTable[[#This Row],[measurement.G.1]],InputTable[[#This Row],[measurement.S.1]],InputTable[[#This Row],[measurement.C.1]])</f>
        <v>74366.638709677311</v>
      </c>
      <c r="CX34" s="32">
        <f>SUM(InputTable[[#This Row],[measurement.E.2]],InputTable[[#This Row],[measurement.G.2]],InputTable[[#This Row],[measurement.S.2]],InputTable[[#This Row],[measurement.C.2]])</f>
        <v>71733.276344087091</v>
      </c>
      <c r="CY34" s="32">
        <f>SUM(InputTable[[#This Row],[measurement.E.3]],InputTable[[#This Row],[measurement.G.3]],InputTable[[#This Row],[measurement.S.3]],InputTable[[#This Row],[measurement.C.3]])</f>
        <v>78062.847472101028</v>
      </c>
      <c r="CZ34" s="32">
        <f>SUM(InputTable[[#This Row],[measurement.E.4]],InputTable[[#This Row],[measurement.G.4]],InputTable[[#This Row],[measurement.S.4]],InputTable[[#This Row],[measurement.C.4]])</f>
        <v>74060.692111232464</v>
      </c>
      <c r="DA34" s="32">
        <f>SUM(InputTable[[#This Row],[measurement.E.5]],InputTable[[#This Row],[measurement.G.5]],InputTable[[#This Row],[measurement.S.5]],InputTable[[#This Row],[measurement.C.5]])</f>
        <v>72815.822782259071</v>
      </c>
      <c r="DB34" s="32">
        <f>SUM(InputTable[[#This Row],[measurement.E.6]],InputTable[[#This Row],[measurement.G.6]],InputTable[[#This Row],[measurement.S.6]],InputTable[[#This Row],[measurement.C.6]])</f>
        <v>69980.029032257953</v>
      </c>
      <c r="DC34" s="32">
        <f>SUM(InputTable[[#This Row],[measurement.E.7]],InputTable[[#This Row],[measurement.G.7]],InputTable[[#This Row],[measurement.S.7]],InputTable[[#This Row],[measurement.C.7]])</f>
        <v>71612.877085649889</v>
      </c>
      <c r="DD34" s="32">
        <f>SUM(InputTable[[#This Row],[measurement.E.8]],InputTable[[#This Row],[measurement.G.8]],InputTable[[#This Row],[measurement.S.8]],InputTable[[#This Row],[measurement.C.8]])</f>
        <v>72153.614849832287</v>
      </c>
      <c r="DE34" s="32">
        <f>SUM(InputTable[[#This Row],[measurement.E.9]],InputTable[[#This Row],[measurement.G.9]],InputTable[[#This Row],[measurement.S.9]],InputTable[[#This Row],[measurement.C.9]])</f>
        <v>70327.697115385075</v>
      </c>
      <c r="DF34" s="32">
        <f>SUM(InputTable[[#This Row],[measurement.E.10]],InputTable[[#This Row],[measurement.G.10]],InputTable[[#This Row],[measurement.S.10]],InputTable[[#This Row],[measurement.C.10]])</f>
        <v>73851.82924025254</v>
      </c>
      <c r="DG34" s="32">
        <f>SUM(InputTable[[#This Row],[measurement.E.11]],InputTable[[#This Row],[measurement.G.11]],InputTable[[#This Row],[measurement.S.11]],InputTable[[#This Row],[measurement.C.11]])</f>
        <v>74138.44945081255</v>
      </c>
      <c r="DH34" s="32">
        <f>SUM(InputTable[[#This Row],[measurement.E.12]],InputTable[[#This Row],[measurement.G.12]],InputTable[[#This Row],[measurement.S.12]],InputTable[[#This Row],[measurement.C.12]])</f>
        <v>71624.638709677718</v>
      </c>
    </row>
    <row r="35" spans="1:112" s="32" customFormat="1" ht="30" customHeight="1" x14ac:dyDescent="0.3">
      <c r="A35" s="2" t="s">
        <v>235</v>
      </c>
      <c r="B35" s="3">
        <v>64072</v>
      </c>
      <c r="C35" s="3" t="s">
        <v>187</v>
      </c>
      <c r="D35" s="3" t="s">
        <v>172</v>
      </c>
      <c r="E35" s="4" t="s">
        <v>173</v>
      </c>
      <c r="F35" s="4" t="s">
        <v>174</v>
      </c>
      <c r="G35" s="4"/>
      <c r="H35" s="4" t="s">
        <v>175</v>
      </c>
      <c r="I35" s="5">
        <v>37.335661330000001</v>
      </c>
      <c r="J35" s="5">
        <v>-121.8807417</v>
      </c>
      <c r="K35" s="48" t="s">
        <v>176</v>
      </c>
      <c r="L35" s="10"/>
      <c r="M35" s="3"/>
      <c r="N35" s="3" t="s">
        <v>15</v>
      </c>
      <c r="O35" s="4" t="s">
        <v>16</v>
      </c>
      <c r="P35" s="3">
        <v>2023</v>
      </c>
      <c r="Q35" s="59">
        <f>IF(COUNTBLANK(InputTable[[#This Row],[measurement.E.1]:[measurement.C.12]])=4*12,"",SUM(InputTable[[#This Row],[measurement.eui.E]:[measurement.eui.C]]))</f>
        <v>144.68764800475856</v>
      </c>
      <c r="R35" s="33" cm="1">
        <f t="array" ref="R3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17.244862183149767</v>
      </c>
      <c r="S35" s="33" cm="1">
        <f t="array" ref="S3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5" s="33" cm="1">
        <f t="array" ref="T3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80.780547118529967</v>
      </c>
      <c r="U35" s="33" cm="1">
        <f t="array" ref="U3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46.662238703078842</v>
      </c>
      <c r="V35" s="6">
        <v>23269.103448275971</v>
      </c>
      <c r="W35" s="9">
        <v>23880.99999999992</v>
      </c>
      <c r="X35" s="9">
        <v>26970.201011377929</v>
      </c>
      <c r="Y35" s="9">
        <v>30375.7989886219</v>
      </c>
      <c r="Z35" s="9">
        <v>29585.499999999891</v>
      </c>
      <c r="AA35" s="9">
        <v>28948.109756097641</v>
      </c>
      <c r="AB35" s="9">
        <v>30926.89024390233</v>
      </c>
      <c r="AC35" s="9">
        <v>29393.350000000071</v>
      </c>
      <c r="AD35" s="9">
        <v>26233.06071428569</v>
      </c>
      <c r="AE35" s="9">
        <v>26451.33928571409</v>
      </c>
      <c r="AF35" s="9">
        <v>25691.78089533417</v>
      </c>
      <c r="AG35" s="9">
        <v>22091.848415010882</v>
      </c>
      <c r="AH35" s="6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6">
        <v>6544.5800781250764</v>
      </c>
      <c r="AU35" s="9">
        <v>5881.35742187504</v>
      </c>
      <c r="AV35" s="9">
        <v>6260.1004587745756</v>
      </c>
      <c r="AW35" s="9">
        <v>5573.4151662254999</v>
      </c>
      <c r="AX35" s="9">
        <v>3726.20117187497</v>
      </c>
      <c r="AY35" s="9">
        <v>2906.5072408536689</v>
      </c>
      <c r="AZ35" s="9">
        <v>2558.1704935213288</v>
      </c>
      <c r="BA35" s="9">
        <v>2110.646763392871</v>
      </c>
      <c r="BB35" s="9">
        <v>2042.7663225446211</v>
      </c>
      <c r="BC35" s="9">
        <v>2289.3603515624691</v>
      </c>
      <c r="BD35" s="9">
        <v>5600.2799889659564</v>
      </c>
      <c r="BE35" s="9">
        <v>6264.3266920684327</v>
      </c>
      <c r="BF35" s="6">
        <v>9734.426611328161</v>
      </c>
      <c r="BG35" s="9">
        <v>11382.12338867188</v>
      </c>
      <c r="BH35" s="9">
        <v>13785.38205345228</v>
      </c>
      <c r="BI35" s="9">
        <v>19761.128552900718</v>
      </c>
      <c r="BJ35" s="9">
        <v>22531.83555220014</v>
      </c>
      <c r="BK35" s="9">
        <v>21646.8594923241</v>
      </c>
      <c r="BL35" s="9">
        <v>27252.45375985112</v>
      </c>
      <c r="BM35" s="9">
        <v>50984.500428374362</v>
      </c>
      <c r="BN35" s="9">
        <v>28118.78469541041</v>
      </c>
      <c r="BO35" s="9">
        <v>26369.646301344888</v>
      </c>
      <c r="BP35" s="9">
        <v>10590.730772369099</v>
      </c>
      <c r="BQ35" s="9">
        <v>6987.3749070784797</v>
      </c>
      <c r="BR35" s="7"/>
      <c r="BS35" s="8"/>
      <c r="BT35" s="8"/>
      <c r="BU35" s="8"/>
      <c r="BX35" s="32" cm="1">
        <f t="array" ref="BX35">IFERROR(_xlfn.QUARTILE.INC(_xlfn._xlws.FILTER($Q$5:$Q$64,$C$5:$C$64=$C35,""),3),"")</f>
        <v>103.3358258738342</v>
      </c>
      <c r="BY35" s="32" cm="1">
        <f t="array" ref="BY35">IFERROR(_xlfn.QUARTILE.INC(_xlfn._xlws.FILTER($Q$5:$Q$64,$C$5:$C$64=$C35,""),2),"")</f>
        <v>63.763251345785051</v>
      </c>
      <c r="BZ35" s="32" cm="1">
        <f t="array" ref="BZ35">IFERROR(_xlfn.QUARTILE.INC(_xlfn._xlws.FILTER($Q$5:$Q$64,$C$5:$C$64=$C35,""),1),"")</f>
        <v>43.604372326614211</v>
      </c>
      <c r="CA35" s="32">
        <f t="shared" si="0"/>
        <v>59.731453547219985</v>
      </c>
      <c r="CB35" s="32">
        <f t="shared" si="1"/>
        <v>192.93300619466419</v>
      </c>
      <c r="CC35" s="32">
        <f t="shared" si="2"/>
        <v>-45.992807994215767</v>
      </c>
      <c r="CD35" s="32">
        <f t="shared" si="3"/>
        <v>0</v>
      </c>
      <c r="CE35" s="32">
        <f t="shared" si="4"/>
        <v>0</v>
      </c>
      <c r="CF35" s="32">
        <f t="shared" si="5"/>
        <v>0.5</v>
      </c>
      <c r="CG35" s="32">
        <f t="shared" si="6"/>
        <v>0</v>
      </c>
      <c r="CO3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5" s="32">
        <f>IF(AND(InputTable[[#This Row],[metadata.primary_cooling_system]]="District Cooling",InputTable[[#This Row],[measurement.eui.C]]&gt;=InputTable[[#This Row],[measurement.eui.total]]*0.6),1,0)*$CQ$2</f>
        <v>0</v>
      </c>
      <c r="CR35" s="32">
        <f>IF(AND(InputTable[[#This Row],[metadata.primary_cooling_system]]="District Cooling",InputTable[[#This Row],[measurement.eui.C]]&lt;=InputTable[[#This Row],[measurement.eui.total]]*0.1),1,0)*$CR$2</f>
        <v>0</v>
      </c>
      <c r="CS35" s="32">
        <f t="shared" si="7"/>
        <v>0.5</v>
      </c>
      <c r="CU35" s="32">
        <f t="shared" si="8"/>
        <v>21207.06750997543</v>
      </c>
      <c r="CV35" s="32">
        <f t="shared" si="9"/>
        <v>30550.644639809085</v>
      </c>
      <c r="CW35" s="32">
        <f>SUM(InputTable[[#This Row],[measurement.E.1]],InputTable[[#This Row],[measurement.G.1]],InputTable[[#This Row],[measurement.S.1]],InputTable[[#This Row],[measurement.C.1]])</f>
        <v>39548.110137729207</v>
      </c>
      <c r="CX35" s="32">
        <f>SUM(InputTable[[#This Row],[measurement.E.2]],InputTable[[#This Row],[measurement.G.2]],InputTable[[#This Row],[measurement.S.2]],InputTable[[#This Row],[measurement.C.2]])</f>
        <v>41144.48081054684</v>
      </c>
      <c r="CY35" s="32">
        <f>SUM(InputTable[[#This Row],[measurement.E.3]],InputTable[[#This Row],[measurement.G.3]],InputTable[[#This Row],[measurement.S.3]],InputTable[[#This Row],[measurement.C.3]])</f>
        <v>47015.683523604785</v>
      </c>
      <c r="CZ35" s="32">
        <f>SUM(InputTable[[#This Row],[measurement.E.4]],InputTable[[#This Row],[measurement.G.4]],InputTable[[#This Row],[measurement.S.4]],InputTable[[#This Row],[measurement.C.4]])</f>
        <v>55710.342707748117</v>
      </c>
      <c r="DA35" s="32">
        <f>SUM(InputTable[[#This Row],[measurement.E.5]],InputTable[[#This Row],[measurement.G.5]],InputTable[[#This Row],[measurement.S.5]],InputTable[[#This Row],[measurement.C.5]])</f>
        <v>55843.536724075006</v>
      </c>
      <c r="DB35" s="32">
        <f>SUM(InputTable[[#This Row],[measurement.E.6]],InputTable[[#This Row],[measurement.G.6]],InputTable[[#This Row],[measurement.S.6]],InputTable[[#This Row],[measurement.C.6]])</f>
        <v>53501.47648927541</v>
      </c>
      <c r="DC35" s="32">
        <f>SUM(InputTable[[#This Row],[measurement.E.7]],InputTable[[#This Row],[measurement.G.7]],InputTable[[#This Row],[measurement.S.7]],InputTable[[#This Row],[measurement.C.7]])</f>
        <v>60737.51449727478</v>
      </c>
      <c r="DD35" s="32">
        <f>SUM(InputTable[[#This Row],[measurement.E.8]],InputTable[[#This Row],[measurement.G.8]],InputTable[[#This Row],[measurement.S.8]],InputTable[[#This Row],[measurement.C.8]])</f>
        <v>82488.497191767296</v>
      </c>
      <c r="DE35" s="32">
        <f>SUM(InputTable[[#This Row],[measurement.E.9]],InputTable[[#This Row],[measurement.G.9]],InputTable[[#This Row],[measurement.S.9]],InputTable[[#This Row],[measurement.C.9]])</f>
        <v>56394.611732240723</v>
      </c>
      <c r="DF35" s="32">
        <f>SUM(InputTable[[#This Row],[measurement.E.10]],InputTable[[#This Row],[measurement.G.10]],InputTable[[#This Row],[measurement.S.10]],InputTable[[#This Row],[measurement.C.10]])</f>
        <v>55110.345938621445</v>
      </c>
      <c r="DG35" s="32">
        <f>SUM(InputTable[[#This Row],[measurement.E.11]],InputTable[[#This Row],[measurement.G.11]],InputTable[[#This Row],[measurement.S.11]],InputTable[[#This Row],[measurement.C.11]])</f>
        <v>41882.791656669222</v>
      </c>
      <c r="DH35" s="32">
        <f>SUM(InputTable[[#This Row],[measurement.E.12]],InputTable[[#This Row],[measurement.G.12]],InputTable[[#This Row],[measurement.S.12]],InputTable[[#This Row],[measurement.C.12]])</f>
        <v>35343.550014157794</v>
      </c>
    </row>
    <row r="36" spans="1:112" s="32" customFormat="1" ht="30" customHeight="1" x14ac:dyDescent="0.3">
      <c r="A36" s="2" t="s">
        <v>236</v>
      </c>
      <c r="B36" s="3">
        <v>110140</v>
      </c>
      <c r="C36" s="3" t="s">
        <v>211</v>
      </c>
      <c r="D36" s="3" t="s">
        <v>172</v>
      </c>
      <c r="E36" s="4" t="s">
        <v>173</v>
      </c>
      <c r="F36" s="4" t="s">
        <v>174</v>
      </c>
      <c r="G36" s="4"/>
      <c r="H36" s="4" t="s">
        <v>175</v>
      </c>
      <c r="I36" s="5">
        <v>37.33519227</v>
      </c>
      <c r="J36" s="5">
        <v>-121.880129</v>
      </c>
      <c r="K36" s="48" t="s">
        <v>176</v>
      </c>
      <c r="L36" s="10"/>
      <c r="M36" s="3" t="s">
        <v>237</v>
      </c>
      <c r="N36" s="3" t="s">
        <v>15</v>
      </c>
      <c r="O36" s="4" t="s">
        <v>16</v>
      </c>
      <c r="P36" s="3">
        <v>2023</v>
      </c>
      <c r="Q36" s="59">
        <f>IF(COUNTBLANK(InputTable[[#This Row],[measurement.E.1]:[measurement.C.12]])=4*12,"",SUM(InputTable[[#This Row],[measurement.eui.E]:[measurement.eui.C]]))</f>
        <v>169.26389804211428</v>
      </c>
      <c r="R36" s="33" cm="1">
        <f t="array" ref="R3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60.295593598072948</v>
      </c>
      <c r="S36" s="33" cm="1">
        <f t="array" ref="S3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6" s="33" cm="1">
        <f t="array" ref="T3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66.565200991461992</v>
      </c>
      <c r="U36" s="33" cm="1">
        <f t="array" ref="U3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42.403103452579323</v>
      </c>
      <c r="V36" s="6">
        <v>173779.6839826862</v>
      </c>
      <c r="W36" s="9">
        <v>159582.71428571569</v>
      </c>
      <c r="X36" s="9">
        <v>160708.3780025256</v>
      </c>
      <c r="Y36" s="9">
        <v>140557.0505688987</v>
      </c>
      <c r="Z36" s="9">
        <v>147382.7142857142</v>
      </c>
      <c r="AA36" s="9">
        <v>151770.71428571301</v>
      </c>
      <c r="AB36" s="9">
        <v>159050.28571428411</v>
      </c>
      <c r="AC36" s="9">
        <v>154454</v>
      </c>
      <c r="AD36" s="9">
        <v>176071.42857142759</v>
      </c>
      <c r="AE36" s="9">
        <v>186196.07142856909</v>
      </c>
      <c r="AF36" s="9">
        <v>167172.96532156121</v>
      </c>
      <c r="AG36" s="9">
        <v>169546.29329912679</v>
      </c>
      <c r="AH36" s="6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6">
        <v>15316.19030303054</v>
      </c>
      <c r="AU36" s="9">
        <v>14262.960000000099</v>
      </c>
      <c r="AV36" s="9">
        <v>14067.93945638424</v>
      </c>
      <c r="AW36" s="9">
        <v>7323.0605436157084</v>
      </c>
      <c r="AX36" s="9">
        <v>0</v>
      </c>
      <c r="AY36" s="9">
        <v>8.5714285714284574E-3</v>
      </c>
      <c r="AZ36" s="9">
        <v>1.142857142857154E-2</v>
      </c>
      <c r="BA36" s="9">
        <v>0</v>
      </c>
      <c r="BB36" s="9">
        <v>0</v>
      </c>
      <c r="BC36" s="9">
        <v>40.570000000000093</v>
      </c>
      <c r="BD36" s="9">
        <v>9457.801601513389</v>
      </c>
      <c r="BE36" s="9">
        <v>12846.370467452251</v>
      </c>
      <c r="BF36" s="6">
        <v>25195.844396969551</v>
      </c>
      <c r="BG36" s="9">
        <v>24879.044400000101</v>
      </c>
      <c r="BH36" s="9">
        <v>16787.49323008877</v>
      </c>
      <c r="BI36" s="9">
        <v>20839.866469911489</v>
      </c>
      <c r="BJ36" s="9">
        <v>25230.736999999721</v>
      </c>
      <c r="BK36" s="9">
        <v>23053.346399999878</v>
      </c>
      <c r="BL36" s="9">
        <v>45534.874000000702</v>
      </c>
      <c r="BM36" s="9">
        <v>68025.750239998597</v>
      </c>
      <c r="BN36" s="9">
        <v>72539.286960000842</v>
      </c>
      <c r="BO36" s="9">
        <v>37976.017800000052</v>
      </c>
      <c r="BP36" s="9">
        <v>10740.54170264829</v>
      </c>
      <c r="BQ36" s="9">
        <v>18387.01525597255</v>
      </c>
      <c r="BR36" s="7"/>
      <c r="BS36" s="8"/>
      <c r="BT36" s="8"/>
      <c r="BU36" s="8"/>
      <c r="BX36" s="32" cm="1">
        <f t="array" ref="BX36">IFERROR(_xlfn.QUARTILE.INC(_xlfn._xlws.FILTER($Q$5:$Q$64,$C$5:$C$64=$C36,""),3),"")</f>
        <v>110.27378312085324</v>
      </c>
      <c r="BY36" s="32" cm="1">
        <f t="array" ref="BY36">IFERROR(_xlfn.QUARTILE.INC(_xlfn._xlws.FILTER($Q$5:$Q$64,$C$5:$C$64=$C36,""),2),"")</f>
        <v>50.945706184815123</v>
      </c>
      <c r="BZ36" s="32" cm="1">
        <f t="array" ref="BZ36">IFERROR(_xlfn.QUARTILE.INC(_xlfn._xlws.FILTER($Q$5:$Q$64,$C$5:$C$64=$C36,""),1),"")</f>
        <v>35.324923465665997</v>
      </c>
      <c r="CA36" s="32">
        <f t="shared" si="0"/>
        <v>74.948859655187249</v>
      </c>
      <c r="CB36" s="32">
        <f t="shared" si="1"/>
        <v>222.69707260363413</v>
      </c>
      <c r="CC36" s="32">
        <f t="shared" si="2"/>
        <v>-77.09836601711487</v>
      </c>
      <c r="CD36" s="32">
        <f t="shared" si="3"/>
        <v>0</v>
      </c>
      <c r="CE36" s="32">
        <f t="shared" si="4"/>
        <v>0</v>
      </c>
      <c r="CF36" s="32">
        <f t="shared" si="5"/>
        <v>0.5</v>
      </c>
      <c r="CG36" s="32">
        <f t="shared" si="6"/>
        <v>0</v>
      </c>
      <c r="CO3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6" s="32">
        <f>IF(AND(InputTable[[#This Row],[metadata.primary_cooling_system]]="District Cooling",InputTable[[#This Row],[measurement.eui.C]]&gt;=InputTable[[#This Row],[measurement.eui.total]]*0.6),1,0)*$CQ$2</f>
        <v>0</v>
      </c>
      <c r="CR36" s="32">
        <f>IF(AND(InputTable[[#This Row],[metadata.primary_cooling_system]]="District Cooling",InputTable[[#This Row],[measurement.eui.C]]&lt;=InputTable[[#This Row],[measurement.eui.total]]*0.1),1,0)*$CR$2</f>
        <v>0</v>
      </c>
      <c r="CS36" s="32">
        <f t="shared" si="7"/>
        <v>0.5</v>
      </c>
      <c r="CU36" s="32">
        <f t="shared" si="8"/>
        <v>7363.6505436157086</v>
      </c>
      <c r="CV36" s="32">
        <f t="shared" si="9"/>
        <v>65951.26182838052</v>
      </c>
      <c r="CW36" s="32">
        <f>SUM(InputTable[[#This Row],[measurement.E.1]],InputTable[[#This Row],[measurement.G.1]],InputTable[[#This Row],[measurement.S.1]],InputTable[[#This Row],[measurement.C.1]])</f>
        <v>214291.71868268627</v>
      </c>
      <c r="CX36" s="32">
        <f>SUM(InputTable[[#This Row],[measurement.E.2]],InputTable[[#This Row],[measurement.G.2]],InputTable[[#This Row],[measurement.S.2]],InputTable[[#This Row],[measurement.C.2]])</f>
        <v>198724.7186857159</v>
      </c>
      <c r="CY36" s="32">
        <f>SUM(InputTable[[#This Row],[measurement.E.3]],InputTable[[#This Row],[measurement.G.3]],InputTable[[#This Row],[measurement.S.3]],InputTable[[#This Row],[measurement.C.3]])</f>
        <v>191563.81068899861</v>
      </c>
      <c r="CZ36" s="32">
        <f>SUM(InputTable[[#This Row],[measurement.E.4]],InputTable[[#This Row],[measurement.G.4]],InputTable[[#This Row],[measurement.S.4]],InputTable[[#This Row],[measurement.C.4]])</f>
        <v>168719.97758242593</v>
      </c>
      <c r="DA36" s="32">
        <f>SUM(InputTable[[#This Row],[measurement.E.5]],InputTable[[#This Row],[measurement.G.5]],InputTable[[#This Row],[measurement.S.5]],InputTable[[#This Row],[measurement.C.5]])</f>
        <v>172613.45128571393</v>
      </c>
      <c r="DB36" s="32">
        <f>SUM(InputTable[[#This Row],[measurement.E.6]],InputTable[[#This Row],[measurement.G.6]],InputTable[[#This Row],[measurement.S.6]],InputTable[[#This Row],[measurement.C.6]])</f>
        <v>174824.06925714144</v>
      </c>
      <c r="DC36" s="32">
        <f>SUM(InputTable[[#This Row],[measurement.E.7]],InputTable[[#This Row],[measurement.G.7]],InputTable[[#This Row],[measurement.S.7]],InputTable[[#This Row],[measurement.C.7]])</f>
        <v>204585.17114285624</v>
      </c>
      <c r="DD36" s="32">
        <f>SUM(InputTable[[#This Row],[measurement.E.8]],InputTable[[#This Row],[measurement.G.8]],InputTable[[#This Row],[measurement.S.8]],InputTable[[#This Row],[measurement.C.8]])</f>
        <v>222479.7502399986</v>
      </c>
      <c r="DE36" s="32">
        <f>SUM(InputTable[[#This Row],[measurement.E.9]],InputTable[[#This Row],[measurement.G.9]],InputTable[[#This Row],[measurement.S.9]],InputTable[[#This Row],[measurement.C.9]])</f>
        <v>248610.71553142843</v>
      </c>
      <c r="DF36" s="32">
        <f>SUM(InputTable[[#This Row],[measurement.E.10]],InputTable[[#This Row],[measurement.G.10]],InputTable[[#This Row],[measurement.S.10]],InputTable[[#This Row],[measurement.C.10]])</f>
        <v>224212.65922856916</v>
      </c>
      <c r="DG36" s="32">
        <f>SUM(InputTable[[#This Row],[measurement.E.11]],InputTable[[#This Row],[measurement.G.11]],InputTable[[#This Row],[measurement.S.11]],InputTable[[#This Row],[measurement.C.11]])</f>
        <v>187371.30862572289</v>
      </c>
      <c r="DH36" s="32">
        <f>SUM(InputTable[[#This Row],[measurement.E.12]],InputTable[[#This Row],[measurement.G.12]],InputTable[[#This Row],[measurement.S.12]],InputTable[[#This Row],[measurement.C.12]])</f>
        <v>200779.67902255157</v>
      </c>
    </row>
    <row r="37" spans="1:112" s="32" customFormat="1" ht="30" customHeight="1" x14ac:dyDescent="0.3">
      <c r="A37" s="2" t="s">
        <v>238</v>
      </c>
      <c r="B37" s="62">
        <v>4210</v>
      </c>
      <c r="C37" s="3" t="s">
        <v>187</v>
      </c>
      <c r="D37" s="3" t="s">
        <v>238</v>
      </c>
      <c r="E37" s="4" t="s">
        <v>173</v>
      </c>
      <c r="F37" s="4" t="s">
        <v>174</v>
      </c>
      <c r="G37" s="4"/>
      <c r="H37" s="4" t="s">
        <v>175</v>
      </c>
      <c r="I37" s="5">
        <v>37.336183810000001</v>
      </c>
      <c r="J37" s="5">
        <v>-121.8171703</v>
      </c>
      <c r="K37" s="48" t="s">
        <v>176</v>
      </c>
      <c r="L37" s="10"/>
      <c r="M37" s="3"/>
      <c r="N37" s="3" t="s">
        <v>182</v>
      </c>
      <c r="O37" s="4" t="s">
        <v>13</v>
      </c>
      <c r="P37" s="3">
        <v>2023</v>
      </c>
      <c r="Q37" s="59">
        <f>IF(COUNTBLANK(InputTable[[#This Row],[measurement.E.1]:[measurement.C.12]])=4*12,"",SUM(InputTable[[#This Row],[measurement.eui.E]:[measurement.eui.C]]))</f>
        <v>19.461652773218162</v>
      </c>
      <c r="R37" s="33" cm="1">
        <f t="array" ref="R3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11.795619519061326</v>
      </c>
      <c r="S37" s="33" cm="1">
        <f t="array" ref="S3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7.6660332541568366</v>
      </c>
      <c r="T37" s="33" cm="1">
        <f t="array" ref="T3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7" s="33" cm="1">
        <f t="array" ref="U3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7" s="6">
        <v>812.72000000000207</v>
      </c>
      <c r="W37" s="9">
        <v>1055.2599999999891</v>
      </c>
      <c r="X37" s="9">
        <v>1046.0800000000049</v>
      </c>
      <c r="Y37" s="9">
        <v>1683.2399999999891</v>
      </c>
      <c r="Z37" s="9">
        <v>1614.1699999999919</v>
      </c>
      <c r="AA37" s="9">
        <v>1850.6900000000251</v>
      </c>
      <c r="AB37" s="9">
        <v>544.50000000000216</v>
      </c>
      <c r="AC37" s="9">
        <v>859.38000000000295</v>
      </c>
      <c r="AD37" s="9">
        <v>1724.450000000013</v>
      </c>
      <c r="AE37" s="9">
        <v>1184.559999999997</v>
      </c>
      <c r="AF37" s="9">
        <v>1246.000000000023</v>
      </c>
      <c r="AG37" s="9">
        <v>932.73000000001286</v>
      </c>
      <c r="AH37" s="6">
        <v>49.500000000000853</v>
      </c>
      <c r="AI37" s="9">
        <v>58.740000000000613</v>
      </c>
      <c r="AJ37" s="9">
        <v>76.120000000000744</v>
      </c>
      <c r="AK37" s="9">
        <v>67.75999999999982</v>
      </c>
      <c r="AL37" s="9">
        <v>25.08000000000029</v>
      </c>
      <c r="AM37" s="9">
        <v>8.8000000000000682</v>
      </c>
      <c r="AN37" s="9">
        <v>4.8400000000000052</v>
      </c>
      <c r="AO37" s="9">
        <v>0</v>
      </c>
      <c r="AP37" s="9">
        <v>0</v>
      </c>
      <c r="AQ37" s="9">
        <v>0.66000000000000147</v>
      </c>
      <c r="AR37" s="9">
        <v>5.7199999999999864</v>
      </c>
      <c r="AS37" s="9">
        <v>25.520000000000369</v>
      </c>
      <c r="AT37" s="6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6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7"/>
      <c r="BS37" s="8"/>
      <c r="BT37" s="8"/>
      <c r="BU37" s="8"/>
      <c r="BX37" s="32" cm="1">
        <f t="array" ref="BX37">IFERROR(_xlfn.QUARTILE.INC(_xlfn._xlws.FILTER($Q$5:$Q$64,$C$5:$C$64=$C37,""),3),"")</f>
        <v>103.3358258738342</v>
      </c>
      <c r="BY37" s="32" cm="1">
        <f t="array" ref="BY37">IFERROR(_xlfn.QUARTILE.INC(_xlfn._xlws.FILTER($Q$5:$Q$64,$C$5:$C$64=$C37,""),2),"")</f>
        <v>63.763251345785051</v>
      </c>
      <c r="BZ37" s="32" cm="1">
        <f t="array" ref="BZ37">IFERROR(_xlfn.QUARTILE.INC(_xlfn._xlws.FILTER($Q$5:$Q$64,$C$5:$C$64=$C37,""),1),"")</f>
        <v>43.604372326614211</v>
      </c>
      <c r="CA37" s="32">
        <f t="shared" ref="CA37:CA64" si="10">IFERROR(BX37-BZ37,"")</f>
        <v>59.731453547219985</v>
      </c>
      <c r="CB37" s="32">
        <f t="shared" ref="CB37:CB64" si="11">IFERROR(BX37+1.5*CA37,"")</f>
        <v>192.93300619466419</v>
      </c>
      <c r="CC37" s="32">
        <f t="shared" ref="CC37:CC64" si="12">IFERROR(BZ37-1.5*CA37,"")</f>
        <v>-45.992807994215767</v>
      </c>
      <c r="CD37" s="32">
        <f t="shared" ref="CD37:CD64" si="13">IF(Q37&gt;CB37,1,0)*$CD$2</f>
        <v>0</v>
      </c>
      <c r="CE37" s="32">
        <f t="shared" ref="CE37:CE64" si="14">IF(Q37&lt;CC37,1,0)*$CE$2</f>
        <v>0</v>
      </c>
      <c r="CF37" s="32">
        <f t="shared" ref="CF37:CF64" si="15">IF(OR(AND(Q37&gt;CC37,Q37&lt;BZ37),AND(Q37&lt;CB37,Q37&gt;BX37)),1,0)*$CF$2</f>
        <v>0.5</v>
      </c>
      <c r="CG37" s="32">
        <f t="shared" ref="CG37:CG64" si="16">IF(CU37&gt;CV37,1,0)*$CG$2</f>
        <v>0</v>
      </c>
      <c r="CO3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7" s="32">
        <f>IF(AND(InputTable[[#This Row],[metadata.primary_cooling_system]]="District Cooling",InputTable[[#This Row],[measurement.eui.C]]&gt;=InputTable[[#This Row],[measurement.eui.total]]*0.6),1,0)*$CQ$2</f>
        <v>0</v>
      </c>
      <c r="CR37" s="32">
        <f>IF(AND(InputTable[[#This Row],[metadata.primary_cooling_system]]="District Cooling",InputTable[[#This Row],[measurement.eui.C]]&lt;=InputTable[[#This Row],[measurement.eui.total]]*0.1),1,0)*$CR$2</f>
        <v>0</v>
      </c>
      <c r="CS37" s="32">
        <f t="shared" ref="CS37:CS64" si="17">SUM(CD37:CR37)</f>
        <v>1.3</v>
      </c>
      <c r="CT37" s="32" t="s">
        <v>177</v>
      </c>
      <c r="CU37" s="32">
        <f t="shared" ref="CU37:CU64" si="18">IF(N37="District Heating",SUM(AW37:BC37),IF(N37="Gas",SUM(AK37:AQ37),0))</f>
        <v>0</v>
      </c>
      <c r="CV37" s="32">
        <f t="shared" ref="CV37:CV64" si="19">IF(N37="District Heating",SUM(AT37:AV37,BD37:BE37),IF(N37="Gas",SUM(AH37:AJ37,AR37:AS37),0))</f>
        <v>0</v>
      </c>
      <c r="CW37" s="32">
        <f>SUM(InputTable[[#This Row],[measurement.E.1]],InputTable[[#This Row],[measurement.G.1]],InputTable[[#This Row],[measurement.S.1]],InputTable[[#This Row],[measurement.C.1]])</f>
        <v>862.22000000000298</v>
      </c>
      <c r="CX37" s="32">
        <f>SUM(InputTable[[#This Row],[measurement.E.2]],InputTable[[#This Row],[measurement.G.2]],InputTable[[#This Row],[measurement.S.2]],InputTable[[#This Row],[measurement.C.2]])</f>
        <v>1113.9999999999898</v>
      </c>
      <c r="CY37" s="32">
        <f>SUM(InputTable[[#This Row],[measurement.E.3]],InputTable[[#This Row],[measurement.G.3]],InputTable[[#This Row],[measurement.S.3]],InputTable[[#This Row],[measurement.C.3]])</f>
        <v>1122.2000000000057</v>
      </c>
      <c r="CZ37" s="32">
        <f>SUM(InputTable[[#This Row],[measurement.E.4]],InputTable[[#This Row],[measurement.G.4]],InputTable[[#This Row],[measurement.S.4]],InputTable[[#This Row],[measurement.C.4]])</f>
        <v>1750.9999999999889</v>
      </c>
      <c r="DA37" s="32">
        <f>SUM(InputTable[[#This Row],[measurement.E.5]],InputTable[[#This Row],[measurement.G.5]],InputTable[[#This Row],[measurement.S.5]],InputTable[[#This Row],[measurement.C.5]])</f>
        <v>1639.2499999999923</v>
      </c>
      <c r="DB37" s="32">
        <f>SUM(InputTable[[#This Row],[measurement.E.6]],InputTable[[#This Row],[measurement.G.6]],InputTable[[#This Row],[measurement.S.6]],InputTable[[#This Row],[measurement.C.6]])</f>
        <v>1859.4900000000252</v>
      </c>
      <c r="DC37" s="32">
        <f>SUM(InputTable[[#This Row],[measurement.E.7]],InputTable[[#This Row],[measurement.G.7]],InputTable[[#This Row],[measurement.S.7]],InputTable[[#This Row],[measurement.C.7]])</f>
        <v>549.34000000000219</v>
      </c>
      <c r="DD37" s="32">
        <f>SUM(InputTable[[#This Row],[measurement.E.8]],InputTable[[#This Row],[measurement.G.8]],InputTable[[#This Row],[measurement.S.8]],InputTable[[#This Row],[measurement.C.8]])</f>
        <v>859.38000000000295</v>
      </c>
      <c r="DE37" s="32">
        <f>SUM(InputTable[[#This Row],[measurement.E.9]],InputTable[[#This Row],[measurement.G.9]],InputTable[[#This Row],[measurement.S.9]],InputTable[[#This Row],[measurement.C.9]])</f>
        <v>1724.450000000013</v>
      </c>
      <c r="DF37" s="32">
        <f>SUM(InputTable[[#This Row],[measurement.E.10]],InputTable[[#This Row],[measurement.G.10]],InputTable[[#This Row],[measurement.S.10]],InputTable[[#This Row],[measurement.C.10]])</f>
        <v>1185.2199999999971</v>
      </c>
      <c r="DG37" s="32">
        <f>SUM(InputTable[[#This Row],[measurement.E.11]],InputTable[[#This Row],[measurement.G.11]],InputTable[[#This Row],[measurement.S.11]],InputTable[[#This Row],[measurement.C.11]])</f>
        <v>1251.720000000023</v>
      </c>
      <c r="DH37" s="32">
        <f>SUM(InputTable[[#This Row],[measurement.E.12]],InputTable[[#This Row],[measurement.G.12]],InputTable[[#This Row],[measurement.S.12]],InputTable[[#This Row],[measurement.C.12]])</f>
        <v>958.25000000001319</v>
      </c>
    </row>
    <row r="38" spans="1:112" s="32" customFormat="1" ht="30" customHeight="1" x14ac:dyDescent="0.3">
      <c r="A38" s="2" t="s">
        <v>239</v>
      </c>
      <c r="B38" s="3">
        <v>115492</v>
      </c>
      <c r="C38" s="3" t="s">
        <v>211</v>
      </c>
      <c r="D38" s="3" t="s">
        <v>172</v>
      </c>
      <c r="E38" s="4" t="s">
        <v>173</v>
      </c>
      <c r="F38" s="4" t="s">
        <v>174</v>
      </c>
      <c r="G38" s="4"/>
      <c r="H38" s="4" t="s">
        <v>175</v>
      </c>
      <c r="I38" s="5"/>
      <c r="J38" s="5"/>
      <c r="K38" s="48" t="s">
        <v>176</v>
      </c>
      <c r="L38" s="10"/>
      <c r="M38" s="3" t="s">
        <v>240</v>
      </c>
      <c r="N38" s="3" t="s">
        <v>15</v>
      </c>
      <c r="O38" s="4" t="s">
        <v>16</v>
      </c>
      <c r="P38" s="3">
        <v>2018</v>
      </c>
      <c r="Q38" s="59">
        <f>IF(COUNTBLANK(InputTable[[#This Row],[measurement.E.1]:[measurement.C.12]])=4*12,"",SUM(InputTable[[#This Row],[measurement.eui.E]:[measurement.eui.C]]))</f>
        <v>41.482974473359839</v>
      </c>
      <c r="R38" s="33" cm="1">
        <f t="array" ref="R3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30.717706545817631</v>
      </c>
      <c r="S38" s="33" cm="1">
        <f t="array" ref="S3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8" s="33" cm="1">
        <f t="array" ref="T3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5.8624992524298651</v>
      </c>
      <c r="U38" s="33" cm="1">
        <f t="array" ref="U3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4.9027686751123403</v>
      </c>
      <c r="V38" s="6">
        <v>61362.749999999389</v>
      </c>
      <c r="W38" s="9">
        <v>76827</v>
      </c>
      <c r="X38" s="9">
        <v>86979.874999999185</v>
      </c>
      <c r="Y38" s="9">
        <v>102450.7499999998</v>
      </c>
      <c r="Z38" s="9">
        <v>97976.999999999112</v>
      </c>
      <c r="AA38" s="9">
        <v>101428.7500000001</v>
      </c>
      <c r="AB38" s="9">
        <v>105617.0000000006</v>
      </c>
      <c r="AC38" s="9">
        <v>100120.99999999951</v>
      </c>
      <c r="AD38" s="9">
        <v>87855.000000000262</v>
      </c>
      <c r="AE38" s="9">
        <v>88599.000000000204</v>
      </c>
      <c r="AF38" s="9">
        <v>74132.00000000064</v>
      </c>
      <c r="AG38" s="9">
        <v>56363.280911868918</v>
      </c>
      <c r="AH38" s="6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6">
        <v>747.73925781249136</v>
      </c>
      <c r="AU38" s="9">
        <v>1518.3801269531371</v>
      </c>
      <c r="AV38" s="9">
        <v>1607.810058593765</v>
      </c>
      <c r="AW38" s="9">
        <v>797.13012695311454</v>
      </c>
      <c r="AX38" s="9">
        <v>374.520263671875</v>
      </c>
      <c r="AY38" s="9">
        <v>73.020019531249872</v>
      </c>
      <c r="AZ38" s="9">
        <v>50.000000000000512</v>
      </c>
      <c r="BA38" s="9">
        <v>100.00000000000099</v>
      </c>
      <c r="BB38" s="9">
        <v>99.999999999998536</v>
      </c>
      <c r="BC38" s="9">
        <v>169.99999999999949</v>
      </c>
      <c r="BD38" s="9">
        <v>549.99999999999341</v>
      </c>
      <c r="BE38" s="9">
        <v>682.11778310067405</v>
      </c>
      <c r="BF38" s="6">
        <v>414.83237304687719</v>
      </c>
      <c r="BG38" s="9">
        <v>1455.258728027344</v>
      </c>
      <c r="BH38" s="9">
        <v>1825.929492187528</v>
      </c>
      <c r="BI38" s="9">
        <v>2341.5617797851519</v>
      </c>
      <c r="BJ38" s="9">
        <v>3097.9322875976668</v>
      </c>
      <c r="BK38" s="9">
        <v>5839.3279663085596</v>
      </c>
      <c r="BL38" s="9">
        <v>9496.2000000001262</v>
      </c>
      <c r="BM38" s="9">
        <v>8163.4000000000706</v>
      </c>
      <c r="BN38" s="9">
        <v>6330.7999999999556</v>
      </c>
      <c r="BO38" s="9">
        <v>6164.2000000000498</v>
      </c>
      <c r="BP38" s="9">
        <v>1749.299999999967</v>
      </c>
      <c r="BQ38" s="9">
        <v>307.13735855290179</v>
      </c>
      <c r="BR38" s="7"/>
      <c r="BS38" s="8"/>
      <c r="BT38" s="8"/>
      <c r="BU38" s="8"/>
      <c r="BX38" s="32" cm="1">
        <f t="array" ref="BX38">IFERROR(_xlfn.QUARTILE.INC(_xlfn._xlws.FILTER($Q$5:$Q$64,$C$5:$C$64=$C38,""),3),"")</f>
        <v>110.27378312085324</v>
      </c>
      <c r="BY38" s="32" cm="1">
        <f t="array" ref="BY38">IFERROR(_xlfn.QUARTILE.INC(_xlfn._xlws.FILTER($Q$5:$Q$64,$C$5:$C$64=$C38,""),2),"")</f>
        <v>50.945706184815123</v>
      </c>
      <c r="BZ38" s="32" cm="1">
        <f t="array" ref="BZ38">IFERROR(_xlfn.QUARTILE.INC(_xlfn._xlws.FILTER($Q$5:$Q$64,$C$5:$C$64=$C38,""),1),"")</f>
        <v>35.324923465665997</v>
      </c>
      <c r="CA38" s="32">
        <f t="shared" si="10"/>
        <v>74.948859655187249</v>
      </c>
      <c r="CB38" s="32">
        <f t="shared" si="11"/>
        <v>222.69707260363413</v>
      </c>
      <c r="CC38" s="32">
        <f t="shared" si="12"/>
        <v>-77.09836601711487</v>
      </c>
      <c r="CD38" s="32">
        <f t="shared" si="13"/>
        <v>0</v>
      </c>
      <c r="CE38" s="32">
        <f t="shared" si="14"/>
        <v>0</v>
      </c>
      <c r="CF38" s="32">
        <f t="shared" si="15"/>
        <v>0</v>
      </c>
      <c r="CG38" s="32">
        <f t="shared" si="16"/>
        <v>0</v>
      </c>
      <c r="CO3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38" s="32">
        <f>IF(AND(InputTable[[#This Row],[metadata.primary_cooling_system]]="District Cooling",InputTable[[#This Row],[measurement.eui.C]]&gt;=InputTable[[#This Row],[measurement.eui.total]]*0.6),1,0)*$CQ$2</f>
        <v>0</v>
      </c>
      <c r="CR38" s="32">
        <f>IF(AND(InputTable[[#This Row],[metadata.primary_cooling_system]]="District Cooling",InputTable[[#This Row],[measurement.eui.C]]&lt;=InputTable[[#This Row],[measurement.eui.total]]*0.1),1,0)*$CR$2</f>
        <v>0</v>
      </c>
      <c r="CS38" s="32">
        <f t="shared" si="17"/>
        <v>0.5</v>
      </c>
      <c r="CT38" s="32" t="s">
        <v>177</v>
      </c>
      <c r="CU38" s="32">
        <f t="shared" si="18"/>
        <v>1664.6704101562389</v>
      </c>
      <c r="CV38" s="32">
        <f t="shared" si="19"/>
        <v>5106.0472264600612</v>
      </c>
      <c r="CW38" s="32">
        <f>SUM(InputTable[[#This Row],[measurement.E.1]],InputTable[[#This Row],[measurement.G.1]],InputTable[[#This Row],[measurement.S.1]],InputTable[[#This Row],[measurement.C.1]])</f>
        <v>62525.321630858758</v>
      </c>
      <c r="CX38" s="32">
        <f>SUM(InputTable[[#This Row],[measurement.E.2]],InputTable[[#This Row],[measurement.G.2]],InputTable[[#This Row],[measurement.S.2]],InputTable[[#This Row],[measurement.C.2]])</f>
        <v>79800.638854980483</v>
      </c>
      <c r="CY38" s="32">
        <f>SUM(InputTable[[#This Row],[measurement.E.3]],InputTable[[#This Row],[measurement.G.3]],InputTable[[#This Row],[measurement.S.3]],InputTable[[#This Row],[measurement.C.3]])</f>
        <v>90413.614550780476</v>
      </c>
      <c r="CZ38" s="32">
        <f>SUM(InputTable[[#This Row],[measurement.E.4]],InputTable[[#This Row],[measurement.G.4]],InputTable[[#This Row],[measurement.S.4]],InputTable[[#This Row],[measurement.C.4]])</f>
        <v>105589.44190673807</v>
      </c>
      <c r="DA38" s="32">
        <f>SUM(InputTable[[#This Row],[measurement.E.5]],InputTable[[#This Row],[measurement.G.5]],InputTable[[#This Row],[measurement.S.5]],InputTable[[#This Row],[measurement.C.5]])</f>
        <v>101449.45255126865</v>
      </c>
      <c r="DB38" s="32">
        <f>SUM(InputTable[[#This Row],[measurement.E.6]],InputTable[[#This Row],[measurement.G.6]],InputTable[[#This Row],[measurement.S.6]],InputTable[[#This Row],[measurement.C.6]])</f>
        <v>107341.09798583991</v>
      </c>
      <c r="DC38" s="32">
        <f>SUM(InputTable[[#This Row],[measurement.E.7]],InputTable[[#This Row],[measurement.G.7]],InputTable[[#This Row],[measurement.S.7]],InputTable[[#This Row],[measurement.C.7]])</f>
        <v>115163.20000000072</v>
      </c>
      <c r="DD38" s="32">
        <f>SUM(InputTable[[#This Row],[measurement.E.8]],InputTable[[#This Row],[measurement.G.8]],InputTable[[#This Row],[measurement.S.8]],InputTable[[#This Row],[measurement.C.8]])</f>
        <v>108384.39999999957</v>
      </c>
      <c r="DE38" s="32">
        <f>SUM(InputTable[[#This Row],[measurement.E.9]],InputTable[[#This Row],[measurement.G.9]],InputTable[[#This Row],[measurement.S.9]],InputTable[[#This Row],[measurement.C.9]])</f>
        <v>94285.800000000221</v>
      </c>
      <c r="DF38" s="32">
        <f>SUM(InputTable[[#This Row],[measurement.E.10]],InputTable[[#This Row],[measurement.G.10]],InputTable[[#This Row],[measurement.S.10]],InputTable[[#This Row],[measurement.C.10]])</f>
        <v>94933.200000000259</v>
      </c>
      <c r="DG38" s="32">
        <f>SUM(InputTable[[#This Row],[measurement.E.11]],InputTable[[#This Row],[measurement.G.11]],InputTable[[#This Row],[measurement.S.11]],InputTable[[#This Row],[measurement.C.11]])</f>
        <v>76431.300000000614</v>
      </c>
      <c r="DH38" s="32">
        <f>SUM(InputTable[[#This Row],[measurement.E.12]],InputTable[[#This Row],[measurement.G.12]],InputTable[[#This Row],[measurement.S.12]],InputTable[[#This Row],[measurement.C.12]])</f>
        <v>57352.53605352249</v>
      </c>
    </row>
    <row r="39" spans="1:112" s="32" customFormat="1" ht="30" customHeight="1" x14ac:dyDescent="0.3">
      <c r="A39" s="2" t="s">
        <v>241</v>
      </c>
      <c r="B39" s="3">
        <v>89180</v>
      </c>
      <c r="C39" s="3" t="s">
        <v>187</v>
      </c>
      <c r="D39" s="3" t="s">
        <v>172</v>
      </c>
      <c r="E39" s="4" t="s">
        <v>173</v>
      </c>
      <c r="F39" s="4" t="s">
        <v>174</v>
      </c>
      <c r="G39" s="4"/>
      <c r="H39" s="4" t="s">
        <v>175</v>
      </c>
      <c r="I39" s="5">
        <v>37.334751740000002</v>
      </c>
      <c r="J39" s="5">
        <v>-121.88475029999999</v>
      </c>
      <c r="K39" s="48" t="s">
        <v>176</v>
      </c>
      <c r="L39" s="10"/>
      <c r="M39" s="3"/>
      <c r="N39" s="3" t="s">
        <v>15</v>
      </c>
      <c r="O39" s="4" t="s">
        <v>13</v>
      </c>
      <c r="P39" s="3">
        <v>2023</v>
      </c>
      <c r="Q39" s="59">
        <f>IF(COUNTBLANK(InputTable[[#This Row],[measurement.E.1]:[measurement.C.12]])=4*12,"",SUM(InputTable[[#This Row],[measurement.eui.E]:[measurement.eui.C]]))</f>
        <v>55.296346602049169</v>
      </c>
      <c r="R39" s="33" cm="1">
        <f t="array" ref="R3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21.852078268342058</v>
      </c>
      <c r="S39" s="33" cm="1">
        <f t="array" ref="S3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9" s="33" cm="1">
        <f t="array" ref="T3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33.444268333707107</v>
      </c>
      <c r="U39" s="33" cm="1">
        <f t="array" ref="U3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9" s="6">
        <v>26948.279347913449</v>
      </c>
      <c r="W39" s="9">
        <v>41999.93610382123</v>
      </c>
      <c r="X39" s="9">
        <v>48656.64899273849</v>
      </c>
      <c r="Y39" s="9">
        <v>48143.439889707923</v>
      </c>
      <c r="Z39" s="9">
        <v>51199.91302490214</v>
      </c>
      <c r="AA39" s="9">
        <v>51804.926337265162</v>
      </c>
      <c r="AB39" s="9">
        <v>53895.089684462677</v>
      </c>
      <c r="AC39" s="9">
        <v>55091.490064347709</v>
      </c>
      <c r="AD39" s="9">
        <v>54775.235009572818</v>
      </c>
      <c r="AE39" s="9">
        <v>53633.345497979841</v>
      </c>
      <c r="AF39" s="9">
        <v>43641.846387413148</v>
      </c>
      <c r="AG39" s="9">
        <v>41337.4781178341</v>
      </c>
      <c r="AH39" s="6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6">
        <v>5089.1060000000152</v>
      </c>
      <c r="AU39" s="9">
        <v>0</v>
      </c>
      <c r="AV39" s="9">
        <v>5097.7319999999927</v>
      </c>
      <c r="AW39" s="9">
        <v>3852.1959999999958</v>
      </c>
      <c r="AX39" s="9"/>
      <c r="AY39" s="9">
        <v>0</v>
      </c>
      <c r="AZ39" s="9">
        <v>0.1174000000022352</v>
      </c>
      <c r="BA39" s="9">
        <v>0</v>
      </c>
      <c r="BB39" s="9">
        <v>109.4623000000045</v>
      </c>
      <c r="BC39" s="9">
        <v>5161.9870999999903</v>
      </c>
      <c r="BD39" s="9">
        <v>5038.1891999999998</v>
      </c>
      <c r="BE39" s="9">
        <v>5476.8084999999955</v>
      </c>
      <c r="BF39" s="6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7"/>
      <c r="BS39" s="8"/>
      <c r="BT39" s="8"/>
      <c r="BU39" s="8"/>
      <c r="BX39" s="32" cm="1">
        <f t="array" ref="BX39">IFERROR(_xlfn.QUARTILE.INC(_xlfn._xlws.FILTER($Q$5:$Q$64,$C$5:$C$64=$C39,""),3),"")</f>
        <v>103.3358258738342</v>
      </c>
      <c r="BY39" s="32" cm="1">
        <f t="array" ref="BY39">IFERROR(_xlfn.QUARTILE.INC(_xlfn._xlws.FILTER($Q$5:$Q$64,$C$5:$C$64=$C39,""),2),"")</f>
        <v>63.763251345785051</v>
      </c>
      <c r="BZ39" s="32" cm="1">
        <f t="array" ref="BZ39">IFERROR(_xlfn.QUARTILE.INC(_xlfn._xlws.FILTER($Q$5:$Q$64,$C$5:$C$64=$C39,""),1),"")</f>
        <v>43.604372326614211</v>
      </c>
      <c r="CA39" s="32">
        <f t="shared" si="10"/>
        <v>59.731453547219985</v>
      </c>
      <c r="CB39" s="32">
        <f t="shared" si="11"/>
        <v>192.93300619466419</v>
      </c>
      <c r="CC39" s="32">
        <f t="shared" si="12"/>
        <v>-45.992807994215767</v>
      </c>
      <c r="CD39" s="32">
        <f t="shared" si="13"/>
        <v>0</v>
      </c>
      <c r="CE39" s="32">
        <f t="shared" si="14"/>
        <v>0</v>
      </c>
      <c r="CF39" s="32">
        <f t="shared" si="15"/>
        <v>0</v>
      </c>
      <c r="CG39" s="32">
        <f t="shared" si="16"/>
        <v>0</v>
      </c>
      <c r="CO3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9" s="32">
        <f>IF(AND(InputTable[[#This Row],[metadata.primary_cooling_system]]="District Cooling",InputTable[[#This Row],[measurement.eui.C]]&gt;=InputTable[[#This Row],[measurement.eui.total]]*0.6),1,0)*$CQ$2</f>
        <v>0</v>
      </c>
      <c r="CR39" s="32">
        <f>IF(AND(InputTable[[#This Row],[metadata.primary_cooling_system]]="District Cooling",InputTable[[#This Row],[measurement.eui.C]]&lt;=InputTable[[#This Row],[measurement.eui.total]]*0.1),1,0)*$CR$2</f>
        <v>0</v>
      </c>
      <c r="CS39" s="32">
        <f t="shared" si="17"/>
        <v>0</v>
      </c>
      <c r="CU39" s="32">
        <f t="shared" si="18"/>
        <v>9123.7627999999931</v>
      </c>
      <c r="CV39" s="32">
        <f t="shared" si="19"/>
        <v>20701.835700000003</v>
      </c>
      <c r="CW39" s="32">
        <f>SUM(InputTable[[#This Row],[measurement.E.1]],InputTable[[#This Row],[measurement.G.1]],InputTable[[#This Row],[measurement.S.1]],InputTable[[#This Row],[measurement.C.1]])</f>
        <v>32037.385347913463</v>
      </c>
      <c r="CX39" s="32">
        <f>SUM(InputTable[[#This Row],[measurement.E.2]],InputTable[[#This Row],[measurement.G.2]],InputTable[[#This Row],[measurement.S.2]],InputTable[[#This Row],[measurement.C.2]])</f>
        <v>41999.93610382123</v>
      </c>
      <c r="CY39" s="32">
        <f>SUM(InputTable[[#This Row],[measurement.E.3]],InputTable[[#This Row],[measurement.G.3]],InputTable[[#This Row],[measurement.S.3]],InputTable[[#This Row],[measurement.C.3]])</f>
        <v>53754.380992738486</v>
      </c>
      <c r="CZ39" s="32">
        <f>SUM(InputTable[[#This Row],[measurement.E.4]],InputTable[[#This Row],[measurement.G.4]],InputTable[[#This Row],[measurement.S.4]],InputTable[[#This Row],[measurement.C.4]])</f>
        <v>51995.635889707919</v>
      </c>
      <c r="DA39" s="32">
        <f>SUM(InputTable[[#This Row],[measurement.E.5]],InputTable[[#This Row],[measurement.G.5]],InputTable[[#This Row],[measurement.S.5]],InputTable[[#This Row],[measurement.C.5]])</f>
        <v>51199.91302490214</v>
      </c>
      <c r="DB39" s="32">
        <f>SUM(InputTable[[#This Row],[measurement.E.6]],InputTable[[#This Row],[measurement.G.6]],InputTable[[#This Row],[measurement.S.6]],InputTable[[#This Row],[measurement.C.6]])</f>
        <v>51804.926337265162</v>
      </c>
      <c r="DC39" s="32">
        <f>SUM(InputTable[[#This Row],[measurement.E.7]],InputTable[[#This Row],[measurement.G.7]],InputTable[[#This Row],[measurement.S.7]],InputTable[[#This Row],[measurement.C.7]])</f>
        <v>53895.20708446268</v>
      </c>
      <c r="DD39" s="32">
        <f>SUM(InputTable[[#This Row],[measurement.E.8]],InputTable[[#This Row],[measurement.G.8]],InputTable[[#This Row],[measurement.S.8]],InputTable[[#This Row],[measurement.C.8]])</f>
        <v>55091.490064347709</v>
      </c>
      <c r="DE39" s="32">
        <f>SUM(InputTable[[#This Row],[measurement.E.9]],InputTable[[#This Row],[measurement.G.9]],InputTable[[#This Row],[measurement.S.9]],InputTable[[#This Row],[measurement.C.9]])</f>
        <v>54884.697309572824</v>
      </c>
      <c r="DF39" s="32">
        <f>SUM(InputTable[[#This Row],[measurement.E.10]],InputTable[[#This Row],[measurement.G.10]],InputTable[[#This Row],[measurement.S.10]],InputTable[[#This Row],[measurement.C.10]])</f>
        <v>58795.332597979832</v>
      </c>
      <c r="DG39" s="32">
        <f>SUM(InputTable[[#This Row],[measurement.E.11]],InputTable[[#This Row],[measurement.G.11]],InputTable[[#This Row],[measurement.S.11]],InputTable[[#This Row],[measurement.C.11]])</f>
        <v>48680.035587413149</v>
      </c>
      <c r="DH39" s="32">
        <f>SUM(InputTable[[#This Row],[measurement.E.12]],InputTable[[#This Row],[measurement.G.12]],InputTable[[#This Row],[measurement.S.12]],InputTable[[#This Row],[measurement.C.12]])</f>
        <v>46814.286617834092</v>
      </c>
    </row>
    <row r="40" spans="1:112" s="32" customFormat="1" ht="30" customHeight="1" x14ac:dyDescent="0.3">
      <c r="A40" s="2" t="s">
        <v>242</v>
      </c>
      <c r="B40" s="3">
        <v>22495</v>
      </c>
      <c r="C40" s="3" t="s">
        <v>211</v>
      </c>
      <c r="D40" s="3" t="s">
        <v>212</v>
      </c>
      <c r="E40" s="4" t="s">
        <v>173</v>
      </c>
      <c r="F40" s="4" t="s">
        <v>174</v>
      </c>
      <c r="G40" s="4"/>
      <c r="H40" s="4" t="s">
        <v>175</v>
      </c>
      <c r="I40" s="5">
        <v>37.318535519999998</v>
      </c>
      <c r="J40" s="5">
        <v>-121.8694079</v>
      </c>
      <c r="K40" s="48" t="s">
        <v>176</v>
      </c>
      <c r="L40" s="10"/>
      <c r="M40" s="3" t="s">
        <v>213</v>
      </c>
      <c r="N40" s="3" t="s">
        <v>182</v>
      </c>
      <c r="O40" s="4" t="s">
        <v>13</v>
      </c>
      <c r="P40" s="3">
        <v>2023</v>
      </c>
      <c r="Q40" s="59">
        <f>IF(COUNTBLANK(InputTable[[#This Row],[measurement.E.1]:[measurement.C.12]])=4*12,"",SUM(InputTable[[#This Row],[measurement.eui.E]:[measurement.eui.C]]))</f>
        <v>26.183427081927427</v>
      </c>
      <c r="R40" s="33" cm="1">
        <f t="array" ref="R4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8.9427212619961782</v>
      </c>
      <c r="S40" s="33" cm="1">
        <f t="array" ref="S4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17.240705819931247</v>
      </c>
      <c r="T40" s="33" cm="1">
        <f t="array" ref="T4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0" s="33" cm="1">
        <f t="array" ref="U4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0" s="6">
        <v>4620.5946320500307</v>
      </c>
      <c r="W40" s="9">
        <v>4186.853349388758</v>
      </c>
      <c r="X40" s="9">
        <v>4162.9010853330974</v>
      </c>
      <c r="Y40" s="9">
        <v>4019.8052366317661</v>
      </c>
      <c r="Z40" s="9">
        <v>4109.6527036335337</v>
      </c>
      <c r="AA40" s="9">
        <v>4444.4333943737784</v>
      </c>
      <c r="AB40" s="9">
        <v>4612.2232393748563</v>
      </c>
      <c r="AC40" s="9">
        <v>5897.2368398379876</v>
      </c>
      <c r="AD40" s="9">
        <v>5886.1084813581583</v>
      </c>
      <c r="AE40" s="9">
        <v>6019.6851374146136</v>
      </c>
      <c r="AF40" s="9">
        <v>5695.3131429993546</v>
      </c>
      <c r="AG40" s="9">
        <v>5301.2791019117094</v>
      </c>
      <c r="AH40" s="6">
        <v>796.70000000000493</v>
      </c>
      <c r="AI40" s="9">
        <v>887.72580645161054</v>
      </c>
      <c r="AJ40" s="9">
        <v>775.34110002320199</v>
      </c>
      <c r="AK40" s="9">
        <v>397.4330935251769</v>
      </c>
      <c r="AL40" s="9">
        <v>156.23333333333329</v>
      </c>
      <c r="AM40" s="9">
        <v>39.584848484848223</v>
      </c>
      <c r="AN40" s="9">
        <v>8.1818181818181923</v>
      </c>
      <c r="AO40" s="9">
        <v>0</v>
      </c>
      <c r="AP40" s="9">
        <v>0</v>
      </c>
      <c r="AQ40" s="9">
        <v>42.421807747489247</v>
      </c>
      <c r="AR40" s="9">
        <v>260.6427083815409</v>
      </c>
      <c r="AS40" s="9">
        <v>514.03225806450973</v>
      </c>
      <c r="AT40" s="6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6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7"/>
      <c r="BS40" s="8"/>
      <c r="BT40" s="8"/>
      <c r="BU40" s="8"/>
      <c r="BX40" s="32" cm="1">
        <f t="array" ref="BX40">IFERROR(_xlfn.QUARTILE.INC(_xlfn._xlws.FILTER($Q$5:$Q$64,$C$5:$C$64=$C40,""),3),"")</f>
        <v>110.27378312085324</v>
      </c>
      <c r="BY40" s="32" cm="1">
        <f t="array" ref="BY40">IFERROR(_xlfn.QUARTILE.INC(_xlfn._xlws.FILTER($Q$5:$Q$64,$C$5:$C$64=$C40,""),2),"")</f>
        <v>50.945706184815123</v>
      </c>
      <c r="BZ40" s="32" cm="1">
        <f t="array" ref="BZ40">IFERROR(_xlfn.QUARTILE.INC(_xlfn._xlws.FILTER($Q$5:$Q$64,$C$5:$C$64=$C40,""),1),"")</f>
        <v>35.324923465665997</v>
      </c>
      <c r="CA40" s="32">
        <f t="shared" si="10"/>
        <v>74.948859655187249</v>
      </c>
      <c r="CB40" s="32">
        <f t="shared" si="11"/>
        <v>222.69707260363413</v>
      </c>
      <c r="CC40" s="32">
        <f t="shared" si="12"/>
        <v>-77.09836601711487</v>
      </c>
      <c r="CD40" s="32">
        <f t="shared" si="13"/>
        <v>0</v>
      </c>
      <c r="CE40" s="32">
        <f t="shared" si="14"/>
        <v>0</v>
      </c>
      <c r="CF40" s="32">
        <f t="shared" si="15"/>
        <v>0.5</v>
      </c>
      <c r="CG40" s="32">
        <f t="shared" si="16"/>
        <v>0</v>
      </c>
      <c r="CO4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0" s="32">
        <f>IF(AND(InputTable[[#This Row],[metadata.primary_cooling_system]]="District Cooling",InputTable[[#This Row],[measurement.eui.C]]&gt;=InputTable[[#This Row],[measurement.eui.total]]*0.6),1,0)*$CQ$2</f>
        <v>0</v>
      </c>
      <c r="CR40" s="32">
        <f>IF(AND(InputTable[[#This Row],[metadata.primary_cooling_system]]="District Cooling",InputTable[[#This Row],[measurement.eui.C]]&lt;=InputTable[[#This Row],[measurement.eui.total]]*0.1),1,0)*$CR$2</f>
        <v>0</v>
      </c>
      <c r="CS40" s="32">
        <f t="shared" si="17"/>
        <v>1.3</v>
      </c>
      <c r="CU40" s="32">
        <f t="shared" si="18"/>
        <v>0</v>
      </c>
      <c r="CV40" s="32">
        <f t="shared" si="19"/>
        <v>0</v>
      </c>
      <c r="CW40" s="32">
        <f>SUM(InputTable[[#This Row],[measurement.E.1]],InputTable[[#This Row],[measurement.G.1]],InputTable[[#This Row],[measurement.S.1]],InputTable[[#This Row],[measurement.C.1]])</f>
        <v>5417.2946320500359</v>
      </c>
      <c r="CX40" s="32">
        <f>SUM(InputTable[[#This Row],[measurement.E.2]],InputTable[[#This Row],[measurement.G.2]],InputTable[[#This Row],[measurement.S.2]],InputTable[[#This Row],[measurement.C.2]])</f>
        <v>5074.5791558403689</v>
      </c>
      <c r="CY40" s="32">
        <f>SUM(InputTable[[#This Row],[measurement.E.3]],InputTable[[#This Row],[measurement.G.3]],InputTable[[#This Row],[measurement.S.3]],InputTable[[#This Row],[measurement.C.3]])</f>
        <v>4938.2421853562992</v>
      </c>
      <c r="CZ40" s="32">
        <f>SUM(InputTable[[#This Row],[measurement.E.4]],InputTable[[#This Row],[measurement.G.4]],InputTable[[#This Row],[measurement.S.4]],InputTable[[#This Row],[measurement.C.4]])</f>
        <v>4417.2383301569425</v>
      </c>
      <c r="DA40" s="32">
        <f>SUM(InputTable[[#This Row],[measurement.E.5]],InputTable[[#This Row],[measurement.G.5]],InputTable[[#This Row],[measurement.S.5]],InputTable[[#This Row],[measurement.C.5]])</f>
        <v>4265.8860369668673</v>
      </c>
      <c r="DB40" s="32">
        <f>SUM(InputTable[[#This Row],[measurement.E.6]],InputTable[[#This Row],[measurement.G.6]],InputTable[[#This Row],[measurement.S.6]],InputTable[[#This Row],[measurement.C.6]])</f>
        <v>4484.0182428586268</v>
      </c>
      <c r="DC40" s="32">
        <f>SUM(InputTable[[#This Row],[measurement.E.7]],InputTable[[#This Row],[measurement.G.7]],InputTable[[#This Row],[measurement.S.7]],InputTable[[#This Row],[measurement.C.7]])</f>
        <v>4620.4050575566744</v>
      </c>
      <c r="DD40" s="32">
        <f>SUM(InputTable[[#This Row],[measurement.E.8]],InputTable[[#This Row],[measurement.G.8]],InputTable[[#This Row],[measurement.S.8]],InputTable[[#This Row],[measurement.C.8]])</f>
        <v>5897.2368398379876</v>
      </c>
      <c r="DE40" s="32">
        <f>SUM(InputTable[[#This Row],[measurement.E.9]],InputTable[[#This Row],[measurement.G.9]],InputTable[[#This Row],[measurement.S.9]],InputTable[[#This Row],[measurement.C.9]])</f>
        <v>5886.1084813581583</v>
      </c>
      <c r="DF40" s="32">
        <f>SUM(InputTable[[#This Row],[measurement.E.10]],InputTable[[#This Row],[measurement.G.10]],InputTable[[#This Row],[measurement.S.10]],InputTable[[#This Row],[measurement.C.10]])</f>
        <v>6062.1069451621024</v>
      </c>
      <c r="DG40" s="32">
        <f>SUM(InputTable[[#This Row],[measurement.E.11]],InputTable[[#This Row],[measurement.G.11]],InputTable[[#This Row],[measurement.S.11]],InputTable[[#This Row],[measurement.C.11]])</f>
        <v>5955.9558513808952</v>
      </c>
      <c r="DH40" s="32">
        <f>SUM(InputTable[[#This Row],[measurement.E.12]],InputTable[[#This Row],[measurement.G.12]],InputTable[[#This Row],[measurement.S.12]],InputTable[[#This Row],[measurement.C.12]])</f>
        <v>5815.3113599762191</v>
      </c>
    </row>
    <row r="41" spans="1:112" s="32" customFormat="1" ht="30" customHeight="1" x14ac:dyDescent="0.3">
      <c r="A41" s="2" t="s">
        <v>243</v>
      </c>
      <c r="B41" s="3">
        <v>22203</v>
      </c>
      <c r="C41" s="3" t="s">
        <v>171</v>
      </c>
      <c r="D41" s="3" t="s">
        <v>212</v>
      </c>
      <c r="E41" s="4" t="s">
        <v>173</v>
      </c>
      <c r="F41" s="4" t="s">
        <v>174</v>
      </c>
      <c r="G41" s="4"/>
      <c r="H41" s="4" t="s">
        <v>175</v>
      </c>
      <c r="I41" s="5">
        <v>37.320443449999999</v>
      </c>
      <c r="J41" s="5">
        <v>-121.86949850000001</v>
      </c>
      <c r="K41" s="48" t="s">
        <v>176</v>
      </c>
      <c r="L41" s="10"/>
      <c r="M41" s="3" t="s">
        <v>213</v>
      </c>
      <c r="N41" s="3" t="s">
        <v>182</v>
      </c>
      <c r="O41" s="4" t="s">
        <v>13</v>
      </c>
      <c r="P41" s="3">
        <v>2023</v>
      </c>
      <c r="Q41" s="59">
        <f>IF(COUNTBLANK(InputTable[[#This Row],[measurement.E.1]:[measurement.C.12]])=4*12,"",SUM(InputTable[[#This Row],[measurement.eui.E]:[measurement.eui.C]]))</f>
        <v>83.965095259539993</v>
      </c>
      <c r="R41" s="33" cm="1">
        <f t="array" ref="R4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32.116491671982075</v>
      </c>
      <c r="S41" s="33" cm="1">
        <f t="array" ref="S4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51.848603587557918</v>
      </c>
      <c r="T41" s="33" cm="1">
        <f t="array" ref="T4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1" s="33" cm="1">
        <f t="array" ref="U4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1" s="6">
        <v>15144.13613290698</v>
      </c>
      <c r="W41" s="9">
        <v>14578.05158500459</v>
      </c>
      <c r="X41" s="9">
        <v>15173.8844820918</v>
      </c>
      <c r="Y41" s="9">
        <v>14587.402736063161</v>
      </c>
      <c r="Z41" s="9">
        <v>14636.702253986599</v>
      </c>
      <c r="AA41" s="9">
        <v>15829.037870671809</v>
      </c>
      <c r="AB41" s="9">
        <v>16426.62851387919</v>
      </c>
      <c r="AC41" s="9">
        <v>23761.599557571772</v>
      </c>
      <c r="AD41" s="9">
        <v>22989.88101261418</v>
      </c>
      <c r="AE41" s="9">
        <v>21685.46224762655</v>
      </c>
      <c r="AF41" s="9">
        <v>18505.16818755239</v>
      </c>
      <c r="AG41" s="9">
        <v>15665.888468343461</v>
      </c>
      <c r="AH41" s="6">
        <v>1373.087500000006</v>
      </c>
      <c r="AI41" s="9">
        <v>1383.284683588296</v>
      </c>
      <c r="AJ41" s="9">
        <v>1423.527816411688</v>
      </c>
      <c r="AK41" s="9">
        <v>1145.499999999998</v>
      </c>
      <c r="AL41" s="9">
        <v>719.33333333334303</v>
      </c>
      <c r="AM41" s="9">
        <v>532.87878787878742</v>
      </c>
      <c r="AN41" s="9">
        <v>572.13270637408061</v>
      </c>
      <c r="AO41" s="9">
        <v>565.32183908046477</v>
      </c>
      <c r="AP41" s="9">
        <v>584.33333333333519</v>
      </c>
      <c r="AQ41" s="9">
        <v>901.24820659971908</v>
      </c>
      <c r="AR41" s="9">
        <v>1164.0851267336279</v>
      </c>
      <c r="AS41" s="9">
        <v>1147.212121212139</v>
      </c>
      <c r="AT41" s="6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6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7"/>
      <c r="BS41" s="8"/>
      <c r="BT41" s="8"/>
      <c r="BU41" s="8"/>
      <c r="BX41" s="32" cm="1">
        <f t="array" ref="BX41">IFERROR(_xlfn.QUARTILE.INC(_xlfn._xlws.FILTER($Q$5:$Q$64,$C$5:$C$64=$C41,""),3),"")</f>
        <v>64.112055304293477</v>
      </c>
      <c r="BY41" s="32" cm="1">
        <f t="array" ref="BY41">IFERROR(_xlfn.QUARTILE.INC(_xlfn._xlws.FILTER($Q$5:$Q$64,$C$5:$C$64=$C41,""),2),"")</f>
        <v>39.725763352573587</v>
      </c>
      <c r="BZ41" s="32" cm="1">
        <f t="array" ref="BZ41">IFERROR(_xlfn.QUARTILE.INC(_xlfn._xlws.FILTER($Q$5:$Q$64,$C$5:$C$64=$C41,""),1),"")</f>
        <v>32.115150872687749</v>
      </c>
      <c r="CA41" s="32">
        <f t="shared" si="10"/>
        <v>31.996904431605728</v>
      </c>
      <c r="CB41" s="32">
        <f t="shared" si="11"/>
        <v>112.10741195170206</v>
      </c>
      <c r="CC41" s="32">
        <f t="shared" si="12"/>
        <v>-15.880205774720842</v>
      </c>
      <c r="CD41" s="32">
        <f t="shared" si="13"/>
        <v>0</v>
      </c>
      <c r="CE41" s="32">
        <f t="shared" si="14"/>
        <v>0</v>
      </c>
      <c r="CF41" s="32">
        <f t="shared" si="15"/>
        <v>0.5</v>
      </c>
      <c r="CG41" s="32">
        <f t="shared" si="16"/>
        <v>0</v>
      </c>
      <c r="CO4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1" s="32">
        <f>IF(AND(InputTable[[#This Row],[metadata.primary_cooling_system]]="District Cooling",InputTable[[#This Row],[measurement.eui.C]]&gt;=InputTable[[#This Row],[measurement.eui.total]]*0.6),1,0)*$CQ$2</f>
        <v>0</v>
      </c>
      <c r="CR41" s="32">
        <f>IF(AND(InputTable[[#This Row],[metadata.primary_cooling_system]]="District Cooling",InputTable[[#This Row],[measurement.eui.C]]&lt;=InputTable[[#This Row],[measurement.eui.total]]*0.1),1,0)*$CR$2</f>
        <v>0</v>
      </c>
      <c r="CS41" s="32">
        <f t="shared" si="17"/>
        <v>1.3</v>
      </c>
      <c r="CU41" s="32">
        <f t="shared" si="18"/>
        <v>0</v>
      </c>
      <c r="CV41" s="32">
        <f t="shared" si="19"/>
        <v>0</v>
      </c>
      <c r="CW41" s="32">
        <f>SUM(InputTable[[#This Row],[measurement.E.1]],InputTable[[#This Row],[measurement.G.1]],InputTable[[#This Row],[measurement.S.1]],InputTable[[#This Row],[measurement.C.1]])</f>
        <v>16517.223632906986</v>
      </c>
      <c r="CX41" s="32">
        <f>SUM(InputTable[[#This Row],[measurement.E.2]],InputTable[[#This Row],[measurement.G.2]],InputTable[[#This Row],[measurement.S.2]],InputTable[[#This Row],[measurement.C.2]])</f>
        <v>15961.336268592886</v>
      </c>
      <c r="CY41" s="32">
        <f>SUM(InputTable[[#This Row],[measurement.E.3]],InputTable[[#This Row],[measurement.G.3]],InputTable[[#This Row],[measurement.S.3]],InputTable[[#This Row],[measurement.C.3]])</f>
        <v>16597.412298503488</v>
      </c>
      <c r="CZ41" s="32">
        <f>SUM(InputTable[[#This Row],[measurement.E.4]],InputTable[[#This Row],[measurement.G.4]],InputTable[[#This Row],[measurement.S.4]],InputTable[[#This Row],[measurement.C.4]])</f>
        <v>15732.902736063159</v>
      </c>
      <c r="DA41" s="32">
        <f>SUM(InputTable[[#This Row],[measurement.E.5]],InputTable[[#This Row],[measurement.G.5]],InputTable[[#This Row],[measurement.S.5]],InputTable[[#This Row],[measurement.C.5]])</f>
        <v>15356.035587319942</v>
      </c>
      <c r="DB41" s="32">
        <f>SUM(InputTable[[#This Row],[measurement.E.6]],InputTable[[#This Row],[measurement.G.6]],InputTable[[#This Row],[measurement.S.6]],InputTable[[#This Row],[measurement.C.6]])</f>
        <v>16361.916658550597</v>
      </c>
      <c r="DC41" s="32">
        <f>SUM(InputTable[[#This Row],[measurement.E.7]],InputTable[[#This Row],[measurement.G.7]],InputTable[[#This Row],[measurement.S.7]],InputTable[[#This Row],[measurement.C.7]])</f>
        <v>16998.761220253269</v>
      </c>
      <c r="DD41" s="32">
        <f>SUM(InputTable[[#This Row],[measurement.E.8]],InputTable[[#This Row],[measurement.G.8]],InputTable[[#This Row],[measurement.S.8]],InputTable[[#This Row],[measurement.C.8]])</f>
        <v>24326.921396652237</v>
      </c>
      <c r="DE41" s="32">
        <f>SUM(InputTable[[#This Row],[measurement.E.9]],InputTable[[#This Row],[measurement.G.9]],InputTable[[#This Row],[measurement.S.9]],InputTable[[#This Row],[measurement.C.9]])</f>
        <v>23574.214345947516</v>
      </c>
      <c r="DF41" s="32">
        <f>SUM(InputTable[[#This Row],[measurement.E.10]],InputTable[[#This Row],[measurement.G.10]],InputTable[[#This Row],[measurement.S.10]],InputTable[[#This Row],[measurement.C.10]])</f>
        <v>22586.710454226268</v>
      </c>
      <c r="DG41" s="32">
        <f>SUM(InputTable[[#This Row],[measurement.E.11]],InputTable[[#This Row],[measurement.G.11]],InputTable[[#This Row],[measurement.S.11]],InputTable[[#This Row],[measurement.C.11]])</f>
        <v>19669.253314286019</v>
      </c>
      <c r="DH41" s="32">
        <f>SUM(InputTable[[#This Row],[measurement.E.12]],InputTable[[#This Row],[measurement.G.12]],InputTable[[#This Row],[measurement.S.12]],InputTable[[#This Row],[measurement.C.12]])</f>
        <v>16813.100589555601</v>
      </c>
    </row>
    <row r="42" spans="1:112" s="32" customFormat="1" ht="30" customHeight="1" x14ac:dyDescent="0.3">
      <c r="A42" s="2" t="s">
        <v>244</v>
      </c>
      <c r="B42" s="3">
        <v>121426</v>
      </c>
      <c r="C42" s="3" t="s">
        <v>211</v>
      </c>
      <c r="D42" s="3" t="s">
        <v>172</v>
      </c>
      <c r="E42" s="4" t="s">
        <v>173</v>
      </c>
      <c r="F42" s="4" t="s">
        <v>174</v>
      </c>
      <c r="G42" s="4"/>
      <c r="H42" s="4" t="s">
        <v>175</v>
      </c>
      <c r="I42" s="5">
        <v>37.334525710000001</v>
      </c>
      <c r="J42" s="5">
        <v>-121.8798833</v>
      </c>
      <c r="K42" s="48" t="s">
        <v>176</v>
      </c>
      <c r="L42" s="10"/>
      <c r="M42" s="3"/>
      <c r="N42" s="3" t="s">
        <v>15</v>
      </c>
      <c r="O42" s="4" t="s">
        <v>16</v>
      </c>
      <c r="P42" s="3">
        <v>2023</v>
      </c>
      <c r="Q42" s="59">
        <f>IF(COUNTBLANK(InputTable[[#This Row],[measurement.E.1]:[measurement.C.12]])=4*12,"",SUM(InputTable[[#This Row],[measurement.eui.E]:[measurement.eui.C]]))</f>
        <v>228.69145399496458</v>
      </c>
      <c r="R42" s="33" cm="1">
        <f t="array" ref="R4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38.435811790761278</v>
      </c>
      <c r="S42" s="33" cm="1">
        <f t="array" ref="S4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2" s="33" cm="1">
        <f t="array" ref="T4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170.47389345400825</v>
      </c>
      <c r="U42" s="33" cm="1">
        <f t="array" ref="U4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19.781748750195053</v>
      </c>
      <c r="V42" s="6">
        <v>119714.5909090908</v>
      </c>
      <c r="W42" s="9">
        <v>113345.7500000013</v>
      </c>
      <c r="X42" s="9">
        <v>115561.1238938046</v>
      </c>
      <c r="Y42" s="9">
        <v>113405.12610619429</v>
      </c>
      <c r="Z42" s="9">
        <v>114789.5000000006</v>
      </c>
      <c r="AA42" s="9">
        <v>106044.3571428571</v>
      </c>
      <c r="AB42" s="9">
        <v>113135.14285714269</v>
      </c>
      <c r="AC42" s="9">
        <v>120413.5499999999</v>
      </c>
      <c r="AD42" s="9">
        <v>108200.3250000004</v>
      </c>
      <c r="AE42" s="9">
        <v>120408.625</v>
      </c>
      <c r="AF42" s="9">
        <v>110973.3984867587</v>
      </c>
      <c r="AG42" s="9">
        <v>111802.53254772309</v>
      </c>
      <c r="AH42" s="6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6">
        <v>31587.09753787837</v>
      </c>
      <c r="AU42" s="9">
        <v>29049.453124999742</v>
      </c>
      <c r="AV42" s="9">
        <v>28763.730937894721</v>
      </c>
      <c r="AW42" s="9">
        <v>17941.737812104951</v>
      </c>
      <c r="AX42" s="9">
        <v>13205.078124999851</v>
      </c>
      <c r="AY42" s="9">
        <v>8201.25</v>
      </c>
      <c r="AZ42" s="9">
        <v>4881.6406250000564</v>
      </c>
      <c r="BA42" s="9">
        <v>4396.6718750000264</v>
      </c>
      <c r="BB42" s="9">
        <v>8376.9609374999291</v>
      </c>
      <c r="BC42" s="9">
        <v>11863.39843750006</v>
      </c>
      <c r="BD42" s="9">
        <v>20983.114458543521</v>
      </c>
      <c r="BE42" s="9">
        <v>27749.495994042809</v>
      </c>
      <c r="BF42" s="6">
        <v>3801.0382605350551</v>
      </c>
      <c r="BG42" s="9">
        <v>3699.7727539062748</v>
      </c>
      <c r="BH42" s="9">
        <v>3075.858958448533</v>
      </c>
      <c r="BI42" s="9">
        <v>7878.09104155157</v>
      </c>
      <c r="BJ42" s="9">
        <v>14006.4394531248</v>
      </c>
      <c r="BK42" s="9">
        <v>21896.16269531272</v>
      </c>
      <c r="BL42" s="9">
        <v>35118.457226562627</v>
      </c>
      <c r="BM42" s="9">
        <v>45108.400312499813</v>
      </c>
      <c r="BN42" s="9">
        <v>27645.980058593981</v>
      </c>
      <c r="BO42" s="9">
        <v>24451.676074218649</v>
      </c>
      <c r="BP42" s="9">
        <v>7379.6066125472244</v>
      </c>
      <c r="BQ42" s="9">
        <v>6106.7351977974558</v>
      </c>
      <c r="BR42" s="7"/>
      <c r="BS42" s="8"/>
      <c r="BT42" s="8"/>
      <c r="BU42" s="8"/>
      <c r="BX42" s="32" cm="1">
        <f t="array" ref="BX42">IFERROR(_xlfn.QUARTILE.INC(_xlfn._xlws.FILTER($Q$5:$Q$64,$C$5:$C$64=$C42,""),3),"")</f>
        <v>110.27378312085324</v>
      </c>
      <c r="BY42" s="32" cm="1">
        <f t="array" ref="BY42">IFERROR(_xlfn.QUARTILE.INC(_xlfn._xlws.FILTER($Q$5:$Q$64,$C$5:$C$64=$C42,""),2),"")</f>
        <v>50.945706184815123</v>
      </c>
      <c r="BZ42" s="32" cm="1">
        <f t="array" ref="BZ42">IFERROR(_xlfn.QUARTILE.INC(_xlfn._xlws.FILTER($Q$5:$Q$64,$C$5:$C$64=$C42,""),1),"")</f>
        <v>35.324923465665997</v>
      </c>
      <c r="CA42" s="32">
        <f t="shared" si="10"/>
        <v>74.948859655187249</v>
      </c>
      <c r="CB42" s="32">
        <f t="shared" si="11"/>
        <v>222.69707260363413</v>
      </c>
      <c r="CC42" s="32">
        <f t="shared" si="12"/>
        <v>-77.09836601711487</v>
      </c>
      <c r="CD42" s="32">
        <f t="shared" si="13"/>
        <v>0.8</v>
      </c>
      <c r="CE42" s="32">
        <f t="shared" si="14"/>
        <v>0</v>
      </c>
      <c r="CF42" s="32">
        <f t="shared" si="15"/>
        <v>0</v>
      </c>
      <c r="CG42" s="32">
        <f t="shared" si="16"/>
        <v>0</v>
      </c>
      <c r="CO4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2" s="32">
        <f>IF(AND(InputTable[[#This Row],[metadata.primary_cooling_system]]="District Cooling",InputTable[[#This Row],[measurement.eui.C]]&gt;=InputTable[[#This Row],[measurement.eui.total]]*0.6),1,0)*$CQ$2</f>
        <v>0</v>
      </c>
      <c r="CR42" s="32">
        <f>IF(AND(InputTable[[#This Row],[metadata.primary_cooling_system]]="District Cooling",InputTable[[#This Row],[measurement.eui.C]]&lt;=InputTable[[#This Row],[measurement.eui.total]]*0.1),1,0)*$CR$2</f>
        <v>0.8</v>
      </c>
      <c r="CS42" s="32">
        <f t="shared" si="17"/>
        <v>1.6</v>
      </c>
      <c r="CU42" s="32">
        <f t="shared" si="18"/>
        <v>68866.737812104882</v>
      </c>
      <c r="CV42" s="32">
        <f t="shared" si="19"/>
        <v>138132.89205335919</v>
      </c>
      <c r="CW42" s="32">
        <f>SUM(InputTable[[#This Row],[measurement.E.1]],InputTable[[#This Row],[measurement.G.1]],InputTable[[#This Row],[measurement.S.1]],InputTable[[#This Row],[measurement.C.1]])</f>
        <v>155102.72670750422</v>
      </c>
      <c r="CX42" s="32">
        <f>SUM(InputTable[[#This Row],[measurement.E.2]],InputTable[[#This Row],[measurement.G.2]],InputTable[[#This Row],[measurement.S.2]],InputTable[[#This Row],[measurement.C.2]])</f>
        <v>146094.97587890731</v>
      </c>
      <c r="CY42" s="32">
        <f>SUM(InputTable[[#This Row],[measurement.E.3]],InputTable[[#This Row],[measurement.G.3]],InputTable[[#This Row],[measurement.S.3]],InputTable[[#This Row],[measurement.C.3]])</f>
        <v>147400.71379014786</v>
      </c>
      <c r="CZ42" s="32">
        <f>SUM(InputTable[[#This Row],[measurement.E.4]],InputTable[[#This Row],[measurement.G.4]],InputTable[[#This Row],[measurement.S.4]],InputTable[[#This Row],[measurement.C.4]])</f>
        <v>139224.95495985082</v>
      </c>
      <c r="DA42" s="32">
        <f>SUM(InputTable[[#This Row],[measurement.E.5]],InputTable[[#This Row],[measurement.G.5]],InputTable[[#This Row],[measurement.S.5]],InputTable[[#This Row],[measurement.C.5]])</f>
        <v>142001.01757812526</v>
      </c>
      <c r="DB42" s="32">
        <f>SUM(InputTable[[#This Row],[measurement.E.6]],InputTable[[#This Row],[measurement.G.6]],InputTable[[#This Row],[measurement.S.6]],InputTable[[#This Row],[measurement.C.6]])</f>
        <v>136141.76983816983</v>
      </c>
      <c r="DC42" s="32">
        <f>SUM(InputTable[[#This Row],[measurement.E.7]],InputTable[[#This Row],[measurement.G.7]],InputTable[[#This Row],[measurement.S.7]],InputTable[[#This Row],[measurement.C.7]])</f>
        <v>153135.24070870539</v>
      </c>
      <c r="DD42" s="32">
        <f>SUM(InputTable[[#This Row],[measurement.E.8]],InputTable[[#This Row],[measurement.G.8]],InputTable[[#This Row],[measurement.S.8]],InputTable[[#This Row],[measurement.C.8]])</f>
        <v>169918.62218749974</v>
      </c>
      <c r="DE42" s="32">
        <f>SUM(InputTable[[#This Row],[measurement.E.9]],InputTable[[#This Row],[measurement.G.9]],InputTable[[#This Row],[measurement.S.9]],InputTable[[#This Row],[measurement.C.9]])</f>
        <v>144223.26599609433</v>
      </c>
      <c r="DF42" s="32">
        <f>SUM(InputTable[[#This Row],[measurement.E.10]],InputTable[[#This Row],[measurement.G.10]],InputTable[[#This Row],[measurement.S.10]],InputTable[[#This Row],[measurement.C.10]])</f>
        <v>156723.6995117187</v>
      </c>
      <c r="DG42" s="32">
        <f>SUM(InputTable[[#This Row],[measurement.E.11]],InputTable[[#This Row],[measurement.G.11]],InputTable[[#This Row],[measurement.S.11]],InputTable[[#This Row],[measurement.C.11]])</f>
        <v>139336.11955784942</v>
      </c>
      <c r="DH42" s="32">
        <f>SUM(InputTable[[#This Row],[measurement.E.12]],InputTable[[#This Row],[measurement.G.12]],InputTable[[#This Row],[measurement.S.12]],InputTable[[#This Row],[measurement.C.12]])</f>
        <v>145658.76373956335</v>
      </c>
    </row>
    <row r="43" spans="1:112" s="32" customFormat="1" ht="30" customHeight="1" x14ac:dyDescent="0.3">
      <c r="A43" s="2" t="s">
        <v>245</v>
      </c>
      <c r="B43" s="3">
        <v>3135</v>
      </c>
      <c r="C43" s="3" t="s">
        <v>181</v>
      </c>
      <c r="D43" s="3" t="s">
        <v>212</v>
      </c>
      <c r="E43" s="4" t="s">
        <v>173</v>
      </c>
      <c r="F43" s="4" t="s">
        <v>174</v>
      </c>
      <c r="G43" s="4"/>
      <c r="H43" s="4" t="s">
        <v>175</v>
      </c>
      <c r="I43" s="5">
        <v>37.32097855</v>
      </c>
      <c r="J43" s="5">
        <v>-121.86809599999999</v>
      </c>
      <c r="K43" s="48" t="s">
        <v>176</v>
      </c>
      <c r="L43" s="10"/>
      <c r="M43" s="3"/>
      <c r="N43" s="62" t="s">
        <v>13</v>
      </c>
      <c r="O43" s="4" t="s">
        <v>13</v>
      </c>
      <c r="P43" s="3">
        <v>2019</v>
      </c>
      <c r="Q43" s="59">
        <f>IF(COUNTBLANK(InputTable[[#This Row],[measurement.E.1]:[measurement.C.12]])=4*12,"",SUM(InputTable[[#This Row],[measurement.eui.E]:[measurement.eui.C]]))</f>
        <v>54.751817837122367</v>
      </c>
      <c r="R43" s="33" cm="1">
        <f t="array" ref="R4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54.751817837122367</v>
      </c>
      <c r="S43" s="33" cm="1">
        <f t="array" ref="S4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3" s="33" cm="1">
        <f t="array" ref="T4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3" s="33" cm="1">
        <f t="array" ref="U4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3" s="6">
        <v>3598.6235000000361</v>
      </c>
      <c r="W43" s="9">
        <v>3539.8026466165802</v>
      </c>
      <c r="X43" s="9">
        <v>3992.5254818865792</v>
      </c>
      <c r="Y43" s="9">
        <v>3691.6478714968998</v>
      </c>
      <c r="Z43" s="9">
        <v>3528.6717499999459</v>
      </c>
      <c r="AA43" s="9">
        <v>3535.9462500000332</v>
      </c>
      <c r="AB43" s="9">
        <v>4422.4286666666258</v>
      </c>
      <c r="AC43" s="9">
        <v>5257.2763333332787</v>
      </c>
      <c r="AD43" s="9">
        <v>5656.3381034482672</v>
      </c>
      <c r="AE43" s="9">
        <v>5177.9970830653901</v>
      </c>
      <c r="AF43" s="9">
        <v>4257.6198134863616</v>
      </c>
      <c r="AG43" s="9">
        <v>3645.8779999999551</v>
      </c>
      <c r="AH43" s="6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6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6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7"/>
      <c r="BS43" s="8"/>
      <c r="BT43" s="8"/>
      <c r="BU43" s="8"/>
      <c r="BX43" s="32" cm="1">
        <f t="array" ref="BX43">IFERROR(_xlfn.QUARTILE.INC(_xlfn._xlws.FILTER($Q$5:$Q$64,$C$5:$C$64=$C43,""),3),"")</f>
        <v>62.933615419798244</v>
      </c>
      <c r="BY43" s="32" cm="1">
        <f t="array" ref="BY43">IFERROR(_xlfn.QUARTILE.INC(_xlfn._xlws.FILTER($Q$5:$Q$64,$C$5:$C$64=$C43,""),2),"")</f>
        <v>54.751817837122367</v>
      </c>
      <c r="BZ43" s="32" cm="1">
        <f t="array" ref="BZ43">IFERROR(_xlfn.QUARTILE.INC(_xlfn._xlws.FILTER($Q$5:$Q$64,$C$5:$C$64=$C43,""),1),"")</f>
        <v>39.263317397238609</v>
      </c>
      <c r="CA43" s="32">
        <f t="shared" si="10"/>
        <v>23.670298022559635</v>
      </c>
      <c r="CB43" s="32">
        <f t="shared" si="11"/>
        <v>98.439062453637689</v>
      </c>
      <c r="CC43" s="32">
        <f t="shared" si="12"/>
        <v>3.7578703633991566</v>
      </c>
      <c r="CD43" s="32">
        <f t="shared" si="13"/>
        <v>0</v>
      </c>
      <c r="CE43" s="32">
        <f t="shared" si="14"/>
        <v>0</v>
      </c>
      <c r="CF43" s="32">
        <f t="shared" si="15"/>
        <v>0</v>
      </c>
      <c r="CG43" s="32">
        <f t="shared" si="16"/>
        <v>0</v>
      </c>
      <c r="CO4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3" s="32">
        <f>IF(AND(InputTable[[#This Row],[metadata.primary_cooling_system]]="District Cooling",InputTable[[#This Row],[measurement.eui.C]]&gt;=InputTable[[#This Row],[measurement.eui.total]]*0.6),1,0)*$CQ$2</f>
        <v>0</v>
      </c>
      <c r="CR43" s="32">
        <f>IF(AND(InputTable[[#This Row],[metadata.primary_cooling_system]]="District Cooling",InputTable[[#This Row],[measurement.eui.C]]&lt;=InputTable[[#This Row],[measurement.eui.total]]*0.1),1,0)*$CR$2</f>
        <v>0</v>
      </c>
      <c r="CS43" s="32">
        <f t="shared" si="17"/>
        <v>0.8</v>
      </c>
      <c r="CU43" s="32">
        <f t="shared" si="18"/>
        <v>0</v>
      </c>
      <c r="CV43" s="32">
        <f t="shared" si="19"/>
        <v>0</v>
      </c>
      <c r="CW43" s="32">
        <f>SUM(InputTable[[#This Row],[measurement.E.1]],InputTable[[#This Row],[measurement.G.1]],InputTable[[#This Row],[measurement.S.1]],InputTable[[#This Row],[measurement.C.1]])</f>
        <v>3598.6235000000361</v>
      </c>
      <c r="CX43" s="32">
        <f>SUM(InputTable[[#This Row],[measurement.E.2]],InputTable[[#This Row],[measurement.G.2]],InputTable[[#This Row],[measurement.S.2]],InputTable[[#This Row],[measurement.C.2]])</f>
        <v>3539.8026466165802</v>
      </c>
      <c r="CY43" s="32">
        <f>SUM(InputTable[[#This Row],[measurement.E.3]],InputTable[[#This Row],[measurement.G.3]],InputTable[[#This Row],[measurement.S.3]],InputTable[[#This Row],[measurement.C.3]])</f>
        <v>3992.5254818865792</v>
      </c>
      <c r="CZ43" s="32">
        <f>SUM(InputTable[[#This Row],[measurement.E.4]],InputTable[[#This Row],[measurement.G.4]],InputTable[[#This Row],[measurement.S.4]],InputTable[[#This Row],[measurement.C.4]])</f>
        <v>3691.6478714968998</v>
      </c>
      <c r="DA43" s="32">
        <f>SUM(InputTable[[#This Row],[measurement.E.5]],InputTable[[#This Row],[measurement.G.5]],InputTable[[#This Row],[measurement.S.5]],InputTable[[#This Row],[measurement.C.5]])</f>
        <v>3528.6717499999459</v>
      </c>
      <c r="DB43" s="32">
        <f>SUM(InputTable[[#This Row],[measurement.E.6]],InputTable[[#This Row],[measurement.G.6]],InputTable[[#This Row],[measurement.S.6]],InputTable[[#This Row],[measurement.C.6]])</f>
        <v>3535.9462500000332</v>
      </c>
      <c r="DC43" s="32">
        <f>SUM(InputTable[[#This Row],[measurement.E.7]],InputTable[[#This Row],[measurement.G.7]],InputTable[[#This Row],[measurement.S.7]],InputTable[[#This Row],[measurement.C.7]])</f>
        <v>4422.4286666666258</v>
      </c>
      <c r="DD43" s="32">
        <f>SUM(InputTable[[#This Row],[measurement.E.8]],InputTable[[#This Row],[measurement.G.8]],InputTable[[#This Row],[measurement.S.8]],InputTable[[#This Row],[measurement.C.8]])</f>
        <v>5257.2763333332787</v>
      </c>
      <c r="DE43" s="32">
        <f>SUM(InputTable[[#This Row],[measurement.E.9]],InputTable[[#This Row],[measurement.G.9]],InputTable[[#This Row],[measurement.S.9]],InputTable[[#This Row],[measurement.C.9]])</f>
        <v>5656.3381034482672</v>
      </c>
      <c r="DF43" s="32">
        <f>SUM(InputTable[[#This Row],[measurement.E.10]],InputTable[[#This Row],[measurement.G.10]],InputTable[[#This Row],[measurement.S.10]],InputTable[[#This Row],[measurement.C.10]])</f>
        <v>5177.9970830653901</v>
      </c>
      <c r="DG43" s="32">
        <f>SUM(InputTable[[#This Row],[measurement.E.11]],InputTable[[#This Row],[measurement.G.11]],InputTable[[#This Row],[measurement.S.11]],InputTable[[#This Row],[measurement.C.11]])</f>
        <v>4257.6198134863616</v>
      </c>
      <c r="DH43" s="32">
        <f>SUM(InputTable[[#This Row],[measurement.E.12]],InputTable[[#This Row],[measurement.G.12]],InputTable[[#This Row],[measurement.S.12]],InputTable[[#This Row],[measurement.C.12]])</f>
        <v>3645.8779999999551</v>
      </c>
    </row>
    <row r="44" spans="1:112" s="32" customFormat="1" ht="30" customHeight="1" x14ac:dyDescent="0.3">
      <c r="A44" s="2" t="s">
        <v>246</v>
      </c>
      <c r="B44" s="3">
        <v>99853</v>
      </c>
      <c r="C44" s="3" t="s">
        <v>171</v>
      </c>
      <c r="D44" s="3" t="s">
        <v>172</v>
      </c>
      <c r="E44" s="4" t="s">
        <v>173</v>
      </c>
      <c r="F44" s="4" t="s">
        <v>174</v>
      </c>
      <c r="G44" s="4"/>
      <c r="H44" s="4" t="s">
        <v>175</v>
      </c>
      <c r="I44" s="5">
        <v>37.339156940000002</v>
      </c>
      <c r="J44" s="5">
        <v>-121.88120050000001</v>
      </c>
      <c r="K44" s="48" t="s">
        <v>176</v>
      </c>
      <c r="L44" s="10"/>
      <c r="M44" s="3"/>
      <c r="N44" s="3" t="s">
        <v>182</v>
      </c>
      <c r="O44" s="4" t="s">
        <v>13</v>
      </c>
      <c r="P44" s="3">
        <v>2023</v>
      </c>
      <c r="Q44" s="59">
        <f>IF(COUNTBLANK(InputTable[[#This Row],[measurement.E.1]:[measurement.C.12]])=4*12,"",SUM(InputTable[[#This Row],[measurement.eui.E]:[measurement.eui.C]]))</f>
        <v>64.112055304293477</v>
      </c>
      <c r="R44" s="33" cm="1">
        <f t="array" ref="R4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46.80754670891632</v>
      </c>
      <c r="S44" s="33" cm="1">
        <f t="array" ref="S4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17.304508595377154</v>
      </c>
      <c r="T44" s="33" cm="1">
        <f t="array" ref="T4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4" s="33" cm="1">
        <f t="array" ref="U4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4" s="6">
        <v>92265.63636363743</v>
      </c>
      <c r="W44" s="9">
        <v>90699</v>
      </c>
      <c r="X44" s="9">
        <v>99974.829962072516</v>
      </c>
      <c r="Y44" s="9">
        <v>108658.67003792569</v>
      </c>
      <c r="Z44" s="9">
        <v>126200.0000000008</v>
      </c>
      <c r="AA44" s="9">
        <v>119129.085365853</v>
      </c>
      <c r="AB44" s="9">
        <v>141154.9146341451</v>
      </c>
      <c r="AC44" s="9">
        <v>146382.8857142858</v>
      </c>
      <c r="AD44" s="9">
        <v>122037.8179894166</v>
      </c>
      <c r="AE44" s="9">
        <v>121262.7962962957</v>
      </c>
      <c r="AF44" s="9">
        <v>103366.66960908061</v>
      </c>
      <c r="AG44" s="9">
        <v>98644.951080576109</v>
      </c>
      <c r="AH44" s="6">
        <v>2307.4571746384772</v>
      </c>
      <c r="AI44" s="9">
        <v>2079.6054489052422</v>
      </c>
      <c r="AJ44" s="9">
        <v>2749.1833441981698</v>
      </c>
      <c r="AK44" s="9">
        <v>2273.4027777778128</v>
      </c>
      <c r="AL44" s="9">
        <v>1283.57706093192</v>
      </c>
      <c r="AM44" s="9">
        <v>974.23891129032177</v>
      </c>
      <c r="AN44" s="9">
        <v>1033.4062500000109</v>
      </c>
      <c r="AO44" s="9">
        <v>990.62068965518233</v>
      </c>
      <c r="AP44" s="9">
        <v>470.66963292546302</v>
      </c>
      <c r="AQ44" s="9">
        <v>338.82732447817642</v>
      </c>
      <c r="AR44" s="9">
        <v>1159.817836812156</v>
      </c>
      <c r="AS44" s="9">
        <v>1618.2645161290191</v>
      </c>
      <c r="AT44" s="6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6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7"/>
      <c r="BS44" s="8"/>
      <c r="BT44" s="8"/>
      <c r="BU44" s="8"/>
      <c r="BX44" s="32" cm="1">
        <f t="array" ref="BX44">IFERROR(_xlfn.QUARTILE.INC(_xlfn._xlws.FILTER($Q$5:$Q$64,$C$5:$C$64=$C44,""),3),"")</f>
        <v>64.112055304293477</v>
      </c>
      <c r="BY44" s="32" cm="1">
        <f t="array" ref="BY44">IFERROR(_xlfn.QUARTILE.INC(_xlfn._xlws.FILTER($Q$5:$Q$64,$C$5:$C$64=$C44,""),2),"")</f>
        <v>39.725763352573587</v>
      </c>
      <c r="BZ44" s="32" cm="1">
        <f t="array" ref="BZ44">IFERROR(_xlfn.QUARTILE.INC(_xlfn._xlws.FILTER($Q$5:$Q$64,$C$5:$C$64=$C44,""),1),"")</f>
        <v>32.115150872687749</v>
      </c>
      <c r="CA44" s="32">
        <f t="shared" si="10"/>
        <v>31.996904431605728</v>
      </c>
      <c r="CB44" s="32">
        <f t="shared" si="11"/>
        <v>112.10741195170206</v>
      </c>
      <c r="CC44" s="32">
        <f t="shared" si="12"/>
        <v>-15.880205774720842</v>
      </c>
      <c r="CD44" s="32">
        <f t="shared" si="13"/>
        <v>0</v>
      </c>
      <c r="CE44" s="32">
        <f t="shared" si="14"/>
        <v>0</v>
      </c>
      <c r="CF44" s="32">
        <f t="shared" si="15"/>
        <v>0</v>
      </c>
      <c r="CG44" s="32">
        <f t="shared" si="16"/>
        <v>0</v>
      </c>
      <c r="CO4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4" s="32">
        <f>IF(AND(InputTable[[#This Row],[metadata.primary_cooling_system]]="District Cooling",InputTable[[#This Row],[measurement.eui.C]]&gt;=InputTable[[#This Row],[measurement.eui.total]]*0.6),1,0)*$CQ$2</f>
        <v>0</v>
      </c>
      <c r="CR44" s="32">
        <f>IF(AND(InputTable[[#This Row],[metadata.primary_cooling_system]]="District Cooling",InputTable[[#This Row],[measurement.eui.C]]&lt;=InputTable[[#This Row],[measurement.eui.total]]*0.1),1,0)*$CR$2</f>
        <v>0</v>
      </c>
      <c r="CS44" s="32">
        <f t="shared" si="17"/>
        <v>0.8</v>
      </c>
      <c r="CU44" s="32">
        <f t="shared" si="18"/>
        <v>0</v>
      </c>
      <c r="CV44" s="32">
        <f t="shared" si="19"/>
        <v>0</v>
      </c>
      <c r="CW44" s="32">
        <f>SUM(InputTable[[#This Row],[measurement.E.1]],InputTable[[#This Row],[measurement.G.1]],InputTable[[#This Row],[measurement.S.1]],InputTable[[#This Row],[measurement.C.1]])</f>
        <v>94573.093538275905</v>
      </c>
      <c r="CX44" s="32">
        <f>SUM(InputTable[[#This Row],[measurement.E.2]],InputTable[[#This Row],[measurement.G.2]],InputTable[[#This Row],[measurement.S.2]],InputTable[[#This Row],[measurement.C.2]])</f>
        <v>92778.605448905248</v>
      </c>
      <c r="CY44" s="32">
        <f>SUM(InputTable[[#This Row],[measurement.E.3]],InputTable[[#This Row],[measurement.G.3]],InputTable[[#This Row],[measurement.S.3]],InputTable[[#This Row],[measurement.C.3]])</f>
        <v>102724.01330627069</v>
      </c>
      <c r="CZ44" s="32">
        <f>SUM(InputTable[[#This Row],[measurement.E.4]],InputTable[[#This Row],[measurement.G.4]],InputTable[[#This Row],[measurement.S.4]],InputTable[[#This Row],[measurement.C.4]])</f>
        <v>110932.0728157035</v>
      </c>
      <c r="DA44" s="32">
        <f>SUM(InputTable[[#This Row],[measurement.E.5]],InputTable[[#This Row],[measurement.G.5]],InputTable[[#This Row],[measurement.S.5]],InputTable[[#This Row],[measurement.C.5]])</f>
        <v>127483.57706093272</v>
      </c>
      <c r="DB44" s="32">
        <f>SUM(InputTable[[#This Row],[measurement.E.6]],InputTable[[#This Row],[measurement.G.6]],InputTable[[#This Row],[measurement.S.6]],InputTable[[#This Row],[measurement.C.6]])</f>
        <v>120103.32427714331</v>
      </c>
      <c r="DC44" s="32">
        <f>SUM(InputTable[[#This Row],[measurement.E.7]],InputTable[[#This Row],[measurement.G.7]],InputTable[[#This Row],[measurement.S.7]],InputTable[[#This Row],[measurement.C.7]])</f>
        <v>142188.3208841451</v>
      </c>
      <c r="DD44" s="32">
        <f>SUM(InputTable[[#This Row],[measurement.E.8]],InputTable[[#This Row],[measurement.G.8]],InputTable[[#This Row],[measurement.S.8]],InputTable[[#This Row],[measurement.C.8]])</f>
        <v>147373.50640394099</v>
      </c>
      <c r="DE44" s="32">
        <f>SUM(InputTable[[#This Row],[measurement.E.9]],InputTable[[#This Row],[measurement.G.9]],InputTable[[#This Row],[measurement.S.9]],InputTable[[#This Row],[measurement.C.9]])</f>
        <v>122508.48762234206</v>
      </c>
      <c r="DF44" s="32">
        <f>SUM(InputTable[[#This Row],[measurement.E.10]],InputTable[[#This Row],[measurement.G.10]],InputTable[[#This Row],[measurement.S.10]],InputTable[[#This Row],[measurement.C.10]])</f>
        <v>121601.62362077387</v>
      </c>
      <c r="DG44" s="32">
        <f>SUM(InputTable[[#This Row],[measurement.E.11]],InputTable[[#This Row],[measurement.G.11]],InputTable[[#This Row],[measurement.S.11]],InputTable[[#This Row],[measurement.C.11]])</f>
        <v>104526.48744589277</v>
      </c>
      <c r="DH44" s="32">
        <f>SUM(InputTable[[#This Row],[measurement.E.12]],InputTable[[#This Row],[measurement.G.12]],InputTable[[#This Row],[measurement.S.12]],InputTable[[#This Row],[measurement.C.12]])</f>
        <v>100263.21559670512</v>
      </c>
    </row>
    <row r="45" spans="1:112" s="32" customFormat="1" ht="30" customHeight="1" x14ac:dyDescent="0.3">
      <c r="A45" s="55" t="s">
        <v>247</v>
      </c>
      <c r="B45" s="3">
        <v>226256</v>
      </c>
      <c r="C45" s="3" t="s">
        <v>171</v>
      </c>
      <c r="D45" s="3" t="s">
        <v>172</v>
      </c>
      <c r="E45" s="4" t="s">
        <v>173</v>
      </c>
      <c r="F45" s="4" t="s">
        <v>174</v>
      </c>
      <c r="G45" s="4"/>
      <c r="H45" s="4" t="s">
        <v>175</v>
      </c>
      <c r="I45" s="5">
        <v>37.336605120000002</v>
      </c>
      <c r="J45" s="5">
        <v>-121.8804992</v>
      </c>
      <c r="K45" s="48" t="s">
        <v>176</v>
      </c>
      <c r="L45" s="10"/>
      <c r="M45" s="47" t="s">
        <v>248</v>
      </c>
      <c r="N45" s="3" t="s">
        <v>15</v>
      </c>
      <c r="O45" s="4" t="s">
        <v>16</v>
      </c>
      <c r="P45" s="3">
        <v>2023</v>
      </c>
      <c r="Q45" s="59">
        <f>IF(COUNTBLANK(InputTable[[#This Row],[measurement.E.1]:[measurement.C.12]])=4*12,"",SUM(InputTable[[#This Row],[measurement.eui.E]:[measurement.eui.C]]))</f>
        <v>83.621097603472947</v>
      </c>
      <c r="R45" s="33" cm="1">
        <f t="array" ref="R4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46.054397969758547</v>
      </c>
      <c r="S45" s="33" cm="1">
        <f t="array" ref="S4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6.3626452631826904</v>
      </c>
      <c r="T45" s="33" cm="1">
        <f t="array" ref="T4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12.740912982694372</v>
      </c>
      <c r="U45" s="33" cm="1">
        <f t="array" ref="U4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18.463141387837346</v>
      </c>
      <c r="V45" s="6">
        <v>233848.48484848719</v>
      </c>
      <c r="W45" s="9">
        <v>233799.4999999975</v>
      </c>
      <c r="X45" s="9">
        <v>258178.87989886731</v>
      </c>
      <c r="Y45" s="9">
        <v>269621.78676780593</v>
      </c>
      <c r="Z45" s="9">
        <v>257307.3333333309</v>
      </c>
      <c r="AA45" s="9">
        <v>240170.4878048817</v>
      </c>
      <c r="AB45" s="9">
        <v>255332.98838559529</v>
      </c>
      <c r="AC45" s="9">
        <v>275927.29219187959</v>
      </c>
      <c r="AD45" s="9">
        <v>276750.11819171702</v>
      </c>
      <c r="AE45" s="9">
        <v>279557.8634259277</v>
      </c>
      <c r="AF45" s="9">
        <v>242316.34851828279</v>
      </c>
      <c r="AG45" s="9">
        <v>231014.07648171909</v>
      </c>
      <c r="AH45" s="6">
        <v>974.69999999999004</v>
      </c>
      <c r="AI45" s="9">
        <v>1444.84889178617</v>
      </c>
      <c r="AJ45" s="9">
        <v>1676.8511082138041</v>
      </c>
      <c r="AK45" s="9">
        <v>1664.427586206901</v>
      </c>
      <c r="AL45" s="9">
        <v>1085.5474137931169</v>
      </c>
      <c r="AM45" s="9">
        <v>489.20564516129048</v>
      </c>
      <c r="AN45" s="9">
        <v>347.5917686318171</v>
      </c>
      <c r="AO45" s="9">
        <v>1061.2025862068899</v>
      </c>
      <c r="AP45" s="9">
        <v>1703.624999999977</v>
      </c>
      <c r="AQ45" s="9">
        <v>1845.334289813524</v>
      </c>
      <c r="AR45" s="9">
        <v>1381.540710186506</v>
      </c>
      <c r="AS45" s="9">
        <v>720.99166666664235</v>
      </c>
      <c r="AT45" s="6">
        <v>2408.0224609375382</v>
      </c>
      <c r="AU45" s="9">
        <v>2197.0263671875368</v>
      </c>
      <c r="AV45" s="9">
        <v>2458.3300781249659</v>
      </c>
      <c r="AW45" s="9">
        <v>1761.894531249975</v>
      </c>
      <c r="AX45" s="9">
        <v>2113.9941406249818</v>
      </c>
      <c r="AY45" s="9">
        <v>2215.2539062499882</v>
      </c>
      <c r="AZ45" s="9">
        <v>2100.2539062500168</v>
      </c>
      <c r="BA45" s="9">
        <v>2581.7089843749782</v>
      </c>
      <c r="BB45" s="9">
        <v>2140.5957031249909</v>
      </c>
      <c r="BC45" s="9">
        <v>2779.9999999999641</v>
      </c>
      <c r="BD45" s="9">
        <v>2830.0000000000241</v>
      </c>
      <c r="BE45" s="9">
        <v>3240.0000000000168</v>
      </c>
      <c r="BF45" s="6">
        <v>8472.5210937500724</v>
      </c>
      <c r="BG45" s="9">
        <v>8204.0738281251342</v>
      </c>
      <c r="BH45" s="9">
        <v>9923.9538953874944</v>
      </c>
      <c r="BI45" s="9">
        <v>19430.808511301439</v>
      </c>
      <c r="BJ45" s="9">
        <v>31103.221974828481</v>
      </c>
      <c r="BK45" s="9">
        <v>23162.023832255989</v>
      </c>
      <c r="BL45" s="9">
        <v>39600.264821918106</v>
      </c>
      <c r="BM45" s="9">
        <v>91808.270222003252</v>
      </c>
      <c r="BN45" s="9">
        <v>45318.283020954441</v>
      </c>
      <c r="BO45" s="9">
        <v>52634.304696403677</v>
      </c>
      <c r="BP45" s="9">
        <v>15134.297269969949</v>
      </c>
      <c r="BQ45" s="9">
        <v>3324.353320312528</v>
      </c>
      <c r="BR45" s="7"/>
      <c r="BS45" s="8"/>
      <c r="BT45" s="8"/>
      <c r="BU45" s="8"/>
      <c r="BX45" s="32" cm="1">
        <f t="array" ref="BX45">IFERROR(_xlfn.QUARTILE.INC(_xlfn._xlws.FILTER($Q$5:$Q$64,$C$5:$C$64=$C45,""),3),"")</f>
        <v>64.112055304293477</v>
      </c>
      <c r="BY45" s="32" cm="1">
        <f t="array" ref="BY45">IFERROR(_xlfn.QUARTILE.INC(_xlfn._xlws.FILTER($Q$5:$Q$64,$C$5:$C$64=$C45,""),2),"")</f>
        <v>39.725763352573587</v>
      </c>
      <c r="BZ45" s="32" cm="1">
        <f t="array" ref="BZ45">IFERROR(_xlfn.QUARTILE.INC(_xlfn._xlws.FILTER($Q$5:$Q$64,$C$5:$C$64=$C45,""),1),"")</f>
        <v>32.115150872687749</v>
      </c>
      <c r="CA45" s="32">
        <f t="shared" si="10"/>
        <v>31.996904431605728</v>
      </c>
      <c r="CB45" s="32">
        <f t="shared" si="11"/>
        <v>112.10741195170206</v>
      </c>
      <c r="CC45" s="32">
        <f t="shared" si="12"/>
        <v>-15.880205774720842</v>
      </c>
      <c r="CD45" s="32">
        <f t="shared" si="13"/>
        <v>0</v>
      </c>
      <c r="CE45" s="32">
        <f t="shared" si="14"/>
        <v>0</v>
      </c>
      <c r="CF45" s="32">
        <f t="shared" si="15"/>
        <v>0.5</v>
      </c>
      <c r="CG45" s="32">
        <f t="shared" si="16"/>
        <v>0.8</v>
      </c>
      <c r="CO4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45" s="32">
        <f>IF(AND(InputTable[[#This Row],[metadata.primary_cooling_system]]="District Cooling",InputTable[[#This Row],[measurement.eui.C]]&gt;=InputTable[[#This Row],[measurement.eui.total]]*0.6),1,0)*$CQ$2</f>
        <v>0</v>
      </c>
      <c r="CR45" s="32">
        <f>IF(AND(InputTable[[#This Row],[metadata.primary_cooling_system]]="District Cooling",InputTable[[#This Row],[measurement.eui.C]]&lt;=InputTable[[#This Row],[measurement.eui.total]]*0.1),1,0)*$CR$2</f>
        <v>0</v>
      </c>
      <c r="CS45" s="32">
        <f t="shared" si="17"/>
        <v>1.8</v>
      </c>
      <c r="CU45" s="32">
        <f t="shared" si="18"/>
        <v>15693.701171874894</v>
      </c>
      <c r="CV45" s="32">
        <f t="shared" si="19"/>
        <v>13133.37890625008</v>
      </c>
      <c r="CW45" s="32">
        <f>SUM(InputTable[[#This Row],[measurement.E.1]],InputTable[[#This Row],[measurement.G.1]],InputTable[[#This Row],[measurement.S.1]],InputTable[[#This Row],[measurement.C.1]])</f>
        <v>245703.72840317478</v>
      </c>
      <c r="CX45" s="32">
        <f>SUM(InputTable[[#This Row],[measurement.E.2]],InputTable[[#This Row],[measurement.G.2]],InputTable[[#This Row],[measurement.S.2]],InputTable[[#This Row],[measurement.C.2]])</f>
        <v>245645.44908709635</v>
      </c>
      <c r="CY45" s="32">
        <f>SUM(InputTable[[#This Row],[measurement.E.3]],InputTable[[#This Row],[measurement.G.3]],InputTable[[#This Row],[measurement.S.3]],InputTable[[#This Row],[measurement.C.3]])</f>
        <v>272238.01498059352</v>
      </c>
      <c r="CZ45" s="32">
        <f>SUM(InputTable[[#This Row],[measurement.E.4]],InputTable[[#This Row],[measurement.G.4]],InputTable[[#This Row],[measurement.S.4]],InputTable[[#This Row],[measurement.C.4]])</f>
        <v>292478.91739656427</v>
      </c>
      <c r="DA45" s="32">
        <f>SUM(InputTable[[#This Row],[measurement.E.5]],InputTable[[#This Row],[measurement.G.5]],InputTable[[#This Row],[measurement.S.5]],InputTable[[#This Row],[measurement.C.5]])</f>
        <v>291610.09686257748</v>
      </c>
      <c r="DB45" s="32">
        <f>SUM(InputTable[[#This Row],[measurement.E.6]],InputTable[[#This Row],[measurement.G.6]],InputTable[[#This Row],[measurement.S.6]],InputTable[[#This Row],[measurement.C.6]])</f>
        <v>266036.97118854901</v>
      </c>
      <c r="DC45" s="32">
        <f>SUM(InputTable[[#This Row],[measurement.E.7]],InputTable[[#This Row],[measurement.G.7]],InputTable[[#This Row],[measurement.S.7]],InputTable[[#This Row],[measurement.C.7]])</f>
        <v>297381.09888239525</v>
      </c>
      <c r="DD45" s="32">
        <f>SUM(InputTable[[#This Row],[measurement.E.8]],InputTable[[#This Row],[measurement.G.8]],InputTable[[#This Row],[measurement.S.8]],InputTable[[#This Row],[measurement.C.8]])</f>
        <v>371378.47398446477</v>
      </c>
      <c r="DE45" s="32">
        <f>SUM(InputTable[[#This Row],[measurement.E.9]],InputTable[[#This Row],[measurement.G.9]],InputTable[[#This Row],[measurement.S.9]],InputTable[[#This Row],[measurement.C.9]])</f>
        <v>325912.62191579648</v>
      </c>
      <c r="DF45" s="32">
        <f>SUM(InputTable[[#This Row],[measurement.E.10]],InputTable[[#This Row],[measurement.G.10]],InputTable[[#This Row],[measurement.S.10]],InputTable[[#This Row],[measurement.C.10]])</f>
        <v>336817.50241214485</v>
      </c>
      <c r="DG45" s="32">
        <f>SUM(InputTable[[#This Row],[measurement.E.11]],InputTable[[#This Row],[measurement.G.11]],InputTable[[#This Row],[measurement.S.11]],InputTable[[#This Row],[measurement.C.11]])</f>
        <v>261662.18649843926</v>
      </c>
      <c r="DH45" s="32">
        <f>SUM(InputTable[[#This Row],[measurement.E.12]],InputTable[[#This Row],[measurement.G.12]],InputTable[[#This Row],[measurement.S.12]],InputTable[[#This Row],[measurement.C.12]])</f>
        <v>238299.4214686983</v>
      </c>
    </row>
    <row r="46" spans="1:112" s="32" customFormat="1" ht="30" customHeight="1" x14ac:dyDescent="0.3">
      <c r="A46" s="2" t="s">
        <v>249</v>
      </c>
      <c r="B46" s="3">
        <v>52700</v>
      </c>
      <c r="C46" s="3" t="s">
        <v>171</v>
      </c>
      <c r="D46" s="3" t="s">
        <v>172</v>
      </c>
      <c r="E46" s="4" t="s">
        <v>173</v>
      </c>
      <c r="F46" s="4" t="s">
        <v>174</v>
      </c>
      <c r="G46" s="4"/>
      <c r="H46" s="4" t="s">
        <v>175</v>
      </c>
      <c r="I46" s="5">
        <v>37.334853330000001</v>
      </c>
      <c r="J46" s="5">
        <v>-121.88135389999999</v>
      </c>
      <c r="K46" s="48" t="s">
        <v>176</v>
      </c>
      <c r="L46" s="10"/>
      <c r="M46" s="3"/>
      <c r="N46" s="3" t="s">
        <v>15</v>
      </c>
      <c r="O46" s="4" t="s">
        <v>16</v>
      </c>
      <c r="P46" s="3">
        <v>2023</v>
      </c>
      <c r="Q46" s="59">
        <f>IF(COUNTBLANK(InputTable[[#This Row],[measurement.E.1]:[measurement.C.12]])=4*12,"",SUM(InputTable[[#This Row],[measurement.eui.E]:[measurement.eui.C]]))</f>
        <v>51.643455180552678</v>
      </c>
      <c r="R46" s="33" cm="1">
        <f t="array" ref="R4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15.005624566927171</v>
      </c>
      <c r="S46" s="33" cm="1">
        <f t="array" ref="S4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6" s="33" cm="1">
        <f t="array" ref="T4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27.686710933456911</v>
      </c>
      <c r="U46" s="33" cm="1">
        <f t="array" ref="U4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8.9511196801685973</v>
      </c>
      <c r="V46" s="6">
        <v>18817.29545454547</v>
      </c>
      <c r="W46" s="9">
        <v>17968.000000000149</v>
      </c>
      <c r="X46" s="9">
        <v>19346.955436157001</v>
      </c>
      <c r="Y46" s="9">
        <v>18978.169563843039</v>
      </c>
      <c r="Z46" s="9">
        <v>19768.12500000016</v>
      </c>
      <c r="AA46" s="9">
        <v>18130.59756097573</v>
      </c>
      <c r="AB46" s="9">
        <v>18982.55720092911</v>
      </c>
      <c r="AC46" s="9">
        <v>19745.977591036572</v>
      </c>
      <c r="AD46" s="9">
        <v>19835.483718487289</v>
      </c>
      <c r="AE46" s="9">
        <v>21283.75892857154</v>
      </c>
      <c r="AF46" s="9">
        <v>19397.04035308964</v>
      </c>
      <c r="AG46" s="9">
        <v>19505.592980244019</v>
      </c>
      <c r="AH46" s="6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6">
        <v>2273.7742660984482</v>
      </c>
      <c r="AU46" s="9">
        <v>2212.6562500000109</v>
      </c>
      <c r="AV46" s="9">
        <v>1924.031919149026</v>
      </c>
      <c r="AW46" s="9">
        <v>1179.386049601002</v>
      </c>
      <c r="AX46" s="9">
        <v>878.73046874998363</v>
      </c>
      <c r="AY46" s="9">
        <v>550.25962271342132</v>
      </c>
      <c r="AZ46" s="9">
        <v>559.39765035205858</v>
      </c>
      <c r="BA46" s="9">
        <v>432.27746958157582</v>
      </c>
      <c r="BB46" s="9">
        <v>513.47192587972165</v>
      </c>
      <c r="BC46" s="9">
        <v>753.38239397320649</v>
      </c>
      <c r="BD46" s="9">
        <v>1357.0958287358069</v>
      </c>
      <c r="BE46" s="9">
        <v>1956.432817097535</v>
      </c>
      <c r="BF46" s="6">
        <v>1904.5963734019849</v>
      </c>
      <c r="BG46" s="9">
        <v>1514.489990234365</v>
      </c>
      <c r="BH46" s="9">
        <v>2649.9043759506339</v>
      </c>
      <c r="BI46" s="9">
        <v>3497.293963893082</v>
      </c>
      <c r="BJ46" s="9">
        <v>4064.7796875000431</v>
      </c>
      <c r="BK46" s="9">
        <v>3816.7725085747279</v>
      </c>
      <c r="BL46" s="9">
        <v>4324.0089692898036</v>
      </c>
      <c r="BM46" s="9">
        <v>4472.749235025989</v>
      </c>
      <c r="BN46" s="9">
        <v>3924.0323486328598</v>
      </c>
      <c r="BO46" s="9">
        <v>3918.4439697265511</v>
      </c>
      <c r="BP46" s="9">
        <v>2947.9670498206851</v>
      </c>
      <c r="BQ46" s="9">
        <v>2275.2954566897001</v>
      </c>
      <c r="BR46" s="7"/>
      <c r="BS46" s="8"/>
      <c r="BT46" s="8"/>
      <c r="BU46" s="8"/>
      <c r="BX46" s="32" cm="1">
        <f t="array" ref="BX46">IFERROR(_xlfn.QUARTILE.INC(_xlfn._xlws.FILTER($Q$5:$Q$64,$C$5:$C$64=$C46,""),3),"")</f>
        <v>64.112055304293477</v>
      </c>
      <c r="BY46" s="32" cm="1">
        <f t="array" ref="BY46">IFERROR(_xlfn.QUARTILE.INC(_xlfn._xlws.FILTER($Q$5:$Q$64,$C$5:$C$64=$C46,""),2),"")</f>
        <v>39.725763352573587</v>
      </c>
      <c r="BZ46" s="32" cm="1">
        <f t="array" ref="BZ46">IFERROR(_xlfn.QUARTILE.INC(_xlfn._xlws.FILTER($Q$5:$Q$64,$C$5:$C$64=$C46,""),1),"")</f>
        <v>32.115150872687749</v>
      </c>
      <c r="CA46" s="32">
        <f t="shared" si="10"/>
        <v>31.996904431605728</v>
      </c>
      <c r="CB46" s="32">
        <f t="shared" si="11"/>
        <v>112.10741195170206</v>
      </c>
      <c r="CC46" s="32">
        <f t="shared" si="12"/>
        <v>-15.880205774720842</v>
      </c>
      <c r="CD46" s="32">
        <f t="shared" si="13"/>
        <v>0</v>
      </c>
      <c r="CE46" s="32">
        <f t="shared" si="14"/>
        <v>0</v>
      </c>
      <c r="CF46" s="32">
        <f t="shared" si="15"/>
        <v>0</v>
      </c>
      <c r="CG46" s="32">
        <f t="shared" si="16"/>
        <v>0</v>
      </c>
      <c r="CO4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6" s="32">
        <f>IF(AND(InputTable[[#This Row],[metadata.primary_cooling_system]]="District Cooling",InputTable[[#This Row],[measurement.eui.C]]&gt;=InputTable[[#This Row],[measurement.eui.total]]*0.6),1,0)*$CQ$2</f>
        <v>0</v>
      </c>
      <c r="CR46" s="32">
        <f>IF(AND(InputTable[[#This Row],[metadata.primary_cooling_system]]="District Cooling",InputTable[[#This Row],[measurement.eui.C]]&lt;=InputTable[[#This Row],[measurement.eui.total]]*0.1),1,0)*$CR$2</f>
        <v>0</v>
      </c>
      <c r="CS46" s="32">
        <f t="shared" si="17"/>
        <v>0</v>
      </c>
      <c r="CU46" s="32">
        <f t="shared" si="18"/>
        <v>4866.9055808509693</v>
      </c>
      <c r="CV46" s="32">
        <f t="shared" si="19"/>
        <v>9723.9910810808269</v>
      </c>
      <c r="CW46" s="32">
        <f>SUM(InputTable[[#This Row],[measurement.E.1]],InputTable[[#This Row],[measurement.G.1]],InputTable[[#This Row],[measurement.S.1]],InputTable[[#This Row],[measurement.C.1]])</f>
        <v>22995.666094045904</v>
      </c>
      <c r="CX46" s="32">
        <f>SUM(InputTable[[#This Row],[measurement.E.2]],InputTable[[#This Row],[measurement.G.2]],InputTable[[#This Row],[measurement.S.2]],InputTable[[#This Row],[measurement.C.2]])</f>
        <v>21695.146240234524</v>
      </c>
      <c r="CY46" s="32">
        <f>SUM(InputTable[[#This Row],[measurement.E.3]],InputTable[[#This Row],[measurement.G.3]],InputTable[[#This Row],[measurement.S.3]],InputTable[[#This Row],[measurement.C.3]])</f>
        <v>23920.891731256663</v>
      </c>
      <c r="CZ46" s="32">
        <f>SUM(InputTable[[#This Row],[measurement.E.4]],InputTable[[#This Row],[measurement.G.4]],InputTable[[#This Row],[measurement.S.4]],InputTable[[#This Row],[measurement.C.4]])</f>
        <v>23654.849577337125</v>
      </c>
      <c r="DA46" s="32">
        <f>SUM(InputTable[[#This Row],[measurement.E.5]],InputTable[[#This Row],[measurement.G.5]],InputTable[[#This Row],[measurement.S.5]],InputTable[[#This Row],[measurement.C.5]])</f>
        <v>24711.635156250188</v>
      </c>
      <c r="DB46" s="32">
        <f>SUM(InputTable[[#This Row],[measurement.E.6]],InputTable[[#This Row],[measurement.G.6]],InputTable[[#This Row],[measurement.S.6]],InputTable[[#This Row],[measurement.C.6]])</f>
        <v>22497.629692263879</v>
      </c>
      <c r="DC46" s="32">
        <f>SUM(InputTable[[#This Row],[measurement.E.7]],InputTable[[#This Row],[measurement.G.7]],InputTable[[#This Row],[measurement.S.7]],InputTable[[#This Row],[measurement.C.7]])</f>
        <v>23865.963820570971</v>
      </c>
      <c r="DD46" s="32">
        <f>SUM(InputTable[[#This Row],[measurement.E.8]],InputTable[[#This Row],[measurement.G.8]],InputTable[[#This Row],[measurement.S.8]],InputTable[[#This Row],[measurement.C.8]])</f>
        <v>24651.004295644136</v>
      </c>
      <c r="DE46" s="32">
        <f>SUM(InputTable[[#This Row],[measurement.E.9]],InputTable[[#This Row],[measurement.G.9]],InputTable[[#This Row],[measurement.S.9]],InputTable[[#This Row],[measurement.C.9]])</f>
        <v>24272.987992999871</v>
      </c>
      <c r="DF46" s="32">
        <f>SUM(InputTable[[#This Row],[measurement.E.10]],InputTable[[#This Row],[measurement.G.10]],InputTable[[#This Row],[measurement.S.10]],InputTable[[#This Row],[measurement.C.10]])</f>
        <v>25955.585292271298</v>
      </c>
      <c r="DG46" s="32">
        <f>SUM(InputTable[[#This Row],[measurement.E.11]],InputTable[[#This Row],[measurement.G.11]],InputTable[[#This Row],[measurement.S.11]],InputTable[[#This Row],[measurement.C.11]])</f>
        <v>23702.103231646135</v>
      </c>
      <c r="DH46" s="32">
        <f>SUM(InputTable[[#This Row],[measurement.E.12]],InputTable[[#This Row],[measurement.G.12]],InputTable[[#This Row],[measurement.S.12]],InputTable[[#This Row],[measurement.C.12]])</f>
        <v>23737.321254031252</v>
      </c>
    </row>
    <row r="47" spans="1:112" s="32" customFormat="1" ht="30" customHeight="1" x14ac:dyDescent="0.3">
      <c r="A47" s="2" t="s">
        <v>250</v>
      </c>
      <c r="B47" s="3">
        <v>101932</v>
      </c>
      <c r="C47" s="3" t="s">
        <v>187</v>
      </c>
      <c r="D47" s="3" t="s">
        <v>172</v>
      </c>
      <c r="E47" s="4" t="s">
        <v>173</v>
      </c>
      <c r="F47" s="4" t="s">
        <v>174</v>
      </c>
      <c r="G47" s="4"/>
      <c r="H47" s="4" t="s">
        <v>175</v>
      </c>
      <c r="I47" s="5">
        <v>37.333771230000004</v>
      </c>
      <c r="J47" s="5">
        <v>-121.8808899</v>
      </c>
      <c r="K47" s="48" t="s">
        <v>176</v>
      </c>
      <c r="L47" s="10"/>
      <c r="M47" s="3"/>
      <c r="N47" s="3" t="s">
        <v>15</v>
      </c>
      <c r="O47" s="4" t="s">
        <v>16</v>
      </c>
      <c r="P47" s="3">
        <v>2023</v>
      </c>
      <c r="Q47" s="59">
        <f>IF(COUNTBLANK(InputTable[[#This Row],[measurement.E.1]:[measurement.C.12]])=4*12,"",SUM(InputTable[[#This Row],[measurement.eui.E]:[measurement.eui.C]]))</f>
        <v>38.281309931030904</v>
      </c>
      <c r="R47" s="33" cm="1">
        <f t="array" ref="R4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14.318745178428216</v>
      </c>
      <c r="S47" s="33" cm="1">
        <f t="array" ref="S4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7" s="33" cm="1">
        <f t="array" ref="T4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17.50056813156835</v>
      </c>
      <c r="U47" s="33" cm="1">
        <f t="array" ref="U4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6.4619966210343405</v>
      </c>
      <c r="V47" s="6">
        <v>35129.258620689521</v>
      </c>
      <c r="W47" s="9">
        <v>35749.000000000196</v>
      </c>
      <c r="X47" s="9">
        <v>35824.134639696837</v>
      </c>
      <c r="Y47" s="9">
        <v>36180.365360303258</v>
      </c>
      <c r="Z47" s="9">
        <v>35503.499999999869</v>
      </c>
      <c r="AA47" s="9">
        <v>32747.571428571471</v>
      </c>
      <c r="AB47" s="9">
        <v>33376.928571428551</v>
      </c>
      <c r="AC47" s="9">
        <v>33407.842857143012</v>
      </c>
      <c r="AD47" s="9">
        <v>36764.050000000178</v>
      </c>
      <c r="AE47" s="9">
        <v>40554.10714285729</v>
      </c>
      <c r="AF47" s="9">
        <v>37783.621059268393</v>
      </c>
      <c r="AG47" s="9">
        <v>34728.085837282822</v>
      </c>
      <c r="AH47" s="6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63">
        <v>2912.3828125000323</v>
      </c>
      <c r="AU47" s="64">
        <v>2249.2089843750168</v>
      </c>
      <c r="AV47" s="64">
        <v>2370.0976562500018</v>
      </c>
      <c r="AW47" s="64">
        <v>1791.7578124999848</v>
      </c>
      <c r="AX47" s="64">
        <v>1284.8632812500039</v>
      </c>
      <c r="AY47" s="64">
        <v>644.62890624999557</v>
      </c>
      <c r="AZ47" s="64">
        <v>339.99999999999903</v>
      </c>
      <c r="BA47" s="64">
        <v>450.00000000000404</v>
      </c>
      <c r="BB47" s="64">
        <v>619.99999999999011</v>
      </c>
      <c r="BC47" s="64">
        <v>920.00000000000762</v>
      </c>
      <c r="BD47" s="64">
        <v>2320.0000000000036</v>
      </c>
      <c r="BE47" s="64">
        <v>1935.739654745212</v>
      </c>
      <c r="BF47" s="6">
        <v>523.90235825047728</v>
      </c>
      <c r="BG47" s="9">
        <v>759.38938232421719</v>
      </c>
      <c r="BH47" s="9">
        <v>254.69401998064319</v>
      </c>
      <c r="BI47" s="9">
        <v>2504.3508872459138</v>
      </c>
      <c r="BJ47" s="9">
        <v>2958.2963769531152</v>
      </c>
      <c r="BK47" s="9">
        <v>5871.6261746651544</v>
      </c>
      <c r="BL47" s="9">
        <v>11047.618903459719</v>
      </c>
      <c r="BM47" s="9">
        <v>11687.47600439473</v>
      </c>
      <c r="BN47" s="9">
        <v>10794.61330608248</v>
      </c>
      <c r="BO47" s="9">
        <v>7115.8274741909518</v>
      </c>
      <c r="BP47" s="9">
        <v>1189.77010125832</v>
      </c>
      <c r="BQ47" s="9">
        <v>182.78830913364661</v>
      </c>
      <c r="BR47" s="7"/>
      <c r="BS47" s="8"/>
      <c r="BT47" s="8"/>
      <c r="BU47" s="8"/>
      <c r="BX47" s="32" cm="1">
        <f t="array" ref="BX47">IFERROR(_xlfn.QUARTILE.INC(_xlfn._xlws.FILTER($Q$5:$Q$64,$C$5:$C$64=$C47,""),3),"")</f>
        <v>103.3358258738342</v>
      </c>
      <c r="BY47" s="32" cm="1">
        <f t="array" ref="BY47">IFERROR(_xlfn.QUARTILE.INC(_xlfn._xlws.FILTER($Q$5:$Q$64,$C$5:$C$64=$C47,""),2),"")</f>
        <v>63.763251345785051</v>
      </c>
      <c r="BZ47" s="32" cm="1">
        <f t="array" ref="BZ47">IFERROR(_xlfn.QUARTILE.INC(_xlfn._xlws.FILTER($Q$5:$Q$64,$C$5:$C$64=$C47,""),1),"")</f>
        <v>43.604372326614211</v>
      </c>
      <c r="CA47" s="32">
        <f t="shared" si="10"/>
        <v>59.731453547219985</v>
      </c>
      <c r="CB47" s="32">
        <f t="shared" si="11"/>
        <v>192.93300619466419</v>
      </c>
      <c r="CC47" s="32">
        <f t="shared" si="12"/>
        <v>-45.992807994215767</v>
      </c>
      <c r="CD47" s="32">
        <f t="shared" si="13"/>
        <v>0</v>
      </c>
      <c r="CE47" s="32">
        <f t="shared" si="14"/>
        <v>0</v>
      </c>
      <c r="CF47" s="32">
        <f t="shared" si="15"/>
        <v>0.5</v>
      </c>
      <c r="CG47" s="32">
        <f t="shared" si="16"/>
        <v>0</v>
      </c>
      <c r="CO4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7" s="32">
        <f>IF(AND(InputTable[[#This Row],[metadata.primary_cooling_system]]="District Cooling",InputTable[[#This Row],[measurement.eui.C]]&gt;=InputTable[[#This Row],[measurement.eui.total]]*0.6),1,0)*$CQ$2</f>
        <v>0</v>
      </c>
      <c r="CR47" s="32">
        <f>IF(AND(InputTable[[#This Row],[metadata.primary_cooling_system]]="District Cooling",InputTable[[#This Row],[measurement.eui.C]]&lt;=InputTable[[#This Row],[measurement.eui.total]]*0.1),1,0)*$CR$2</f>
        <v>0</v>
      </c>
      <c r="CS47" s="32">
        <f t="shared" si="17"/>
        <v>0.5</v>
      </c>
      <c r="CT47" s="32" t="s">
        <v>177</v>
      </c>
      <c r="CU47" s="32">
        <f t="shared" si="18"/>
        <v>6051.2499999999845</v>
      </c>
      <c r="CV47" s="32">
        <f t="shared" si="19"/>
        <v>11787.429107870266</v>
      </c>
      <c r="CW47" s="32">
        <f>SUM(InputTable[[#This Row],[measurement.E.1]],InputTable[[#This Row],[measurement.G.1]],InputTable[[#This Row],[measurement.S.1]],InputTable[[#This Row],[measurement.C.1]])</f>
        <v>38565.543791440025</v>
      </c>
      <c r="CX47" s="32">
        <f>SUM(InputTable[[#This Row],[measurement.E.2]],InputTable[[#This Row],[measurement.G.2]],InputTable[[#This Row],[measurement.S.2]],InputTable[[#This Row],[measurement.C.2]])</f>
        <v>38757.598366699429</v>
      </c>
      <c r="CY47" s="32">
        <f>SUM(InputTable[[#This Row],[measurement.E.3]],InputTable[[#This Row],[measurement.G.3]],InputTable[[#This Row],[measurement.S.3]],InputTable[[#This Row],[measurement.C.3]])</f>
        <v>38448.926315927478</v>
      </c>
      <c r="CZ47" s="32">
        <f>SUM(InputTable[[#This Row],[measurement.E.4]],InputTable[[#This Row],[measurement.G.4]],InputTable[[#This Row],[measurement.S.4]],InputTable[[#This Row],[measurement.C.4]])</f>
        <v>40476.474060049157</v>
      </c>
      <c r="DA47" s="32">
        <f>SUM(InputTable[[#This Row],[measurement.E.5]],InputTable[[#This Row],[measurement.G.5]],InputTable[[#This Row],[measurement.S.5]],InputTable[[#This Row],[measurement.C.5]])</f>
        <v>39746.659658202989</v>
      </c>
      <c r="DB47" s="32">
        <f>SUM(InputTable[[#This Row],[measurement.E.6]],InputTable[[#This Row],[measurement.G.6]],InputTable[[#This Row],[measurement.S.6]],InputTable[[#This Row],[measurement.C.6]])</f>
        <v>39263.826509486622</v>
      </c>
      <c r="DC47" s="32">
        <f>SUM(InputTable[[#This Row],[measurement.E.7]],InputTable[[#This Row],[measurement.G.7]],InputTable[[#This Row],[measurement.S.7]],InputTable[[#This Row],[measurement.C.7]])</f>
        <v>44764.54747488827</v>
      </c>
      <c r="DD47" s="32">
        <f>SUM(InputTable[[#This Row],[measurement.E.8]],InputTable[[#This Row],[measurement.G.8]],InputTable[[#This Row],[measurement.S.8]],InputTable[[#This Row],[measurement.C.8]])</f>
        <v>45545.318861537751</v>
      </c>
      <c r="DE47" s="32">
        <f>SUM(InputTable[[#This Row],[measurement.E.9]],InputTable[[#This Row],[measurement.G.9]],InputTable[[#This Row],[measurement.S.9]],InputTable[[#This Row],[measurement.C.9]])</f>
        <v>48178.66330608265</v>
      </c>
      <c r="DF47" s="32">
        <f>SUM(InputTable[[#This Row],[measurement.E.10]],InputTable[[#This Row],[measurement.G.10]],InputTable[[#This Row],[measurement.S.10]],InputTable[[#This Row],[measurement.C.10]])</f>
        <v>48589.934617048246</v>
      </c>
      <c r="DG47" s="32">
        <f>SUM(InputTable[[#This Row],[measurement.E.11]],InputTable[[#This Row],[measurement.G.11]],InputTable[[#This Row],[measurement.S.11]],InputTable[[#This Row],[measurement.C.11]])</f>
        <v>41293.391160526713</v>
      </c>
      <c r="DH47" s="32">
        <f>SUM(InputTable[[#This Row],[measurement.E.12]],InputTable[[#This Row],[measurement.G.12]],InputTable[[#This Row],[measurement.S.12]],InputTable[[#This Row],[measurement.C.12]])</f>
        <v>36846.613801161686</v>
      </c>
    </row>
    <row r="48" spans="1:112" s="32" customFormat="1" ht="30" customHeight="1" x14ac:dyDescent="0.3">
      <c r="A48" s="2" t="s">
        <v>251</v>
      </c>
      <c r="B48" s="3">
        <v>39332</v>
      </c>
      <c r="C48" s="3" t="s">
        <v>190</v>
      </c>
      <c r="D48" s="3" t="s">
        <v>172</v>
      </c>
      <c r="E48" s="4" t="s">
        <v>173</v>
      </c>
      <c r="F48" s="4" t="s">
        <v>174</v>
      </c>
      <c r="G48" s="4"/>
      <c r="H48" s="4" t="s">
        <v>175</v>
      </c>
      <c r="I48" s="5">
        <v>37.333682109999998</v>
      </c>
      <c r="J48" s="5">
        <v>-121.8793031</v>
      </c>
      <c r="K48" s="48" t="s">
        <v>191</v>
      </c>
      <c r="L48" s="10"/>
      <c r="M48" s="3"/>
      <c r="N48" s="3" t="s">
        <v>182</v>
      </c>
      <c r="O48" s="4" t="s">
        <v>13</v>
      </c>
      <c r="P48" s="3">
        <v>2023</v>
      </c>
      <c r="Q48" s="59">
        <f>IF(COUNTBLANK(InputTable[[#This Row],[measurement.E.1]:[measurement.C.12]])=4*12,"",SUM(InputTable[[#This Row],[measurement.eui.E]:[measurement.eui.C]]))</f>
        <v>60.262589358692672</v>
      </c>
      <c r="R48" s="33" cm="1">
        <f t="array" ref="R4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20.769809942441206</v>
      </c>
      <c r="S48" s="33" cm="1">
        <f t="array" ref="S4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39.492779416251466</v>
      </c>
      <c r="T48" s="33" cm="1">
        <f t="array" ref="T4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8" s="33" cm="1">
        <f t="array" ref="U4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8" s="6">
        <v>14832.88154333318</v>
      </c>
      <c r="W48" s="9">
        <v>19052.73313561071</v>
      </c>
      <c r="X48" s="9">
        <v>20003.27683772301</v>
      </c>
      <c r="Y48" s="9">
        <v>19028.33707816121</v>
      </c>
      <c r="Z48" s="9">
        <v>17401.796998922218</v>
      </c>
      <c r="AA48" s="9">
        <v>11922.837494959589</v>
      </c>
      <c r="AB48" s="9">
        <v>14108.98921301434</v>
      </c>
      <c r="AC48" s="9">
        <v>27071.46397952563</v>
      </c>
      <c r="AD48" s="9">
        <v>32593.763668750322</v>
      </c>
      <c r="AE48" s="9">
        <v>28446.413320803222</v>
      </c>
      <c r="AF48" s="9">
        <v>19776.704385446279</v>
      </c>
      <c r="AG48" s="9">
        <v>15175.885427083491</v>
      </c>
      <c r="AH48" s="6">
        <v>2117.7580645161338</v>
      </c>
      <c r="AI48" s="9">
        <v>2476.548387096761</v>
      </c>
      <c r="AJ48" s="9">
        <v>2426.3977212634022</v>
      </c>
      <c r="AK48" s="9">
        <v>1837.889577123713</v>
      </c>
      <c r="AL48" s="9">
        <v>1365.7127016129109</v>
      </c>
      <c r="AM48" s="9">
        <v>662.2935483870923</v>
      </c>
      <c r="AN48" s="9">
        <v>244.6419354838699</v>
      </c>
      <c r="AO48" s="9">
        <v>282.67741935484207</v>
      </c>
      <c r="AP48" s="9">
        <v>420.54616240267472</v>
      </c>
      <c r="AQ48" s="9">
        <v>810.22911363109483</v>
      </c>
      <c r="AR48" s="9">
        <v>1414.0634336436531</v>
      </c>
      <c r="AS48" s="9">
        <v>1474.5419354838821</v>
      </c>
      <c r="AT48" s="6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6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7"/>
      <c r="BS48" s="8"/>
      <c r="BT48" s="8"/>
      <c r="BU48" s="8"/>
      <c r="BX48" s="32" cm="1">
        <f t="array" ref="BX48">IFERROR(_xlfn.QUARTILE.INC(_xlfn._xlws.FILTER($Q$5:$Q$64,$C$5:$C$64=$C48,""),3),"")</f>
        <v>57.783535949070853</v>
      </c>
      <c r="BY48" s="32" cm="1">
        <f t="array" ref="BY48">IFERROR(_xlfn.QUARTILE.INC(_xlfn._xlws.FILTER($Q$5:$Q$64,$C$5:$C$64=$C48,""),2),"")</f>
        <v>50.214307152072422</v>
      </c>
      <c r="BZ48" s="32" cm="1">
        <f t="array" ref="BZ48">IFERROR(_xlfn.QUARTILE.INC(_xlfn._xlws.FILTER($Q$5:$Q$64,$C$5:$C$64=$C48,""),1),"")</f>
        <v>48.922252420624055</v>
      </c>
      <c r="CA48" s="32">
        <f t="shared" si="10"/>
        <v>8.8612835284467977</v>
      </c>
      <c r="CB48" s="32">
        <f t="shared" si="11"/>
        <v>71.075461241741053</v>
      </c>
      <c r="CC48" s="32">
        <f t="shared" si="12"/>
        <v>35.630327127953862</v>
      </c>
      <c r="CD48" s="32">
        <f t="shared" si="13"/>
        <v>0</v>
      </c>
      <c r="CE48" s="32">
        <f t="shared" si="14"/>
        <v>0</v>
      </c>
      <c r="CF48" s="32">
        <f t="shared" si="15"/>
        <v>0.5</v>
      </c>
      <c r="CG48" s="32">
        <f t="shared" si="16"/>
        <v>0</v>
      </c>
      <c r="CO4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8" s="32">
        <f>IF(AND(InputTable[[#This Row],[metadata.primary_cooling_system]]="District Cooling",InputTable[[#This Row],[measurement.eui.C]]&gt;=InputTable[[#This Row],[measurement.eui.total]]*0.6),1,0)*$CQ$2</f>
        <v>0</v>
      </c>
      <c r="CR48" s="32">
        <f>IF(AND(InputTable[[#This Row],[metadata.primary_cooling_system]]="District Cooling",InputTable[[#This Row],[measurement.eui.C]]&lt;=InputTable[[#This Row],[measurement.eui.total]]*0.1),1,0)*$CR$2</f>
        <v>0</v>
      </c>
      <c r="CS48" s="32">
        <f t="shared" si="17"/>
        <v>1.3</v>
      </c>
      <c r="CU48" s="32">
        <f t="shared" si="18"/>
        <v>0</v>
      </c>
      <c r="CV48" s="32">
        <f t="shared" si="19"/>
        <v>0</v>
      </c>
      <c r="CW48" s="32">
        <f>SUM(InputTable[[#This Row],[measurement.E.1]],InputTable[[#This Row],[measurement.G.1]],InputTable[[#This Row],[measurement.S.1]],InputTable[[#This Row],[measurement.C.1]])</f>
        <v>16950.639607849313</v>
      </c>
      <c r="CX48" s="32">
        <f>SUM(InputTable[[#This Row],[measurement.E.2]],InputTable[[#This Row],[measurement.G.2]],InputTable[[#This Row],[measurement.S.2]],InputTable[[#This Row],[measurement.C.2]])</f>
        <v>21529.281522707472</v>
      </c>
      <c r="CY48" s="32">
        <f>SUM(InputTable[[#This Row],[measurement.E.3]],InputTable[[#This Row],[measurement.G.3]],InputTable[[#This Row],[measurement.S.3]],InputTable[[#This Row],[measurement.C.3]])</f>
        <v>22429.674558986411</v>
      </c>
      <c r="CZ48" s="32">
        <f>SUM(InputTable[[#This Row],[measurement.E.4]],InputTable[[#This Row],[measurement.G.4]],InputTable[[#This Row],[measurement.S.4]],InputTable[[#This Row],[measurement.C.4]])</f>
        <v>20866.226655284925</v>
      </c>
      <c r="DA48" s="32">
        <f>SUM(InputTable[[#This Row],[measurement.E.5]],InputTable[[#This Row],[measurement.G.5]],InputTable[[#This Row],[measurement.S.5]],InputTable[[#This Row],[measurement.C.5]])</f>
        <v>18767.509700535131</v>
      </c>
      <c r="DB48" s="32">
        <f>SUM(InputTable[[#This Row],[measurement.E.6]],InputTable[[#This Row],[measurement.G.6]],InputTable[[#This Row],[measurement.S.6]],InputTable[[#This Row],[measurement.C.6]])</f>
        <v>12585.131043346681</v>
      </c>
      <c r="DC48" s="32">
        <f>SUM(InputTable[[#This Row],[measurement.E.7]],InputTable[[#This Row],[measurement.G.7]],InputTable[[#This Row],[measurement.S.7]],InputTable[[#This Row],[measurement.C.7]])</f>
        <v>14353.631148498209</v>
      </c>
      <c r="DD48" s="32">
        <f>SUM(InputTable[[#This Row],[measurement.E.8]],InputTable[[#This Row],[measurement.G.8]],InputTable[[#This Row],[measurement.S.8]],InputTable[[#This Row],[measurement.C.8]])</f>
        <v>27354.141398880471</v>
      </c>
      <c r="DE48" s="32">
        <f>SUM(InputTable[[#This Row],[measurement.E.9]],InputTable[[#This Row],[measurement.G.9]],InputTable[[#This Row],[measurement.S.9]],InputTable[[#This Row],[measurement.C.9]])</f>
        <v>33014.309831152998</v>
      </c>
      <c r="DF48" s="32">
        <f>SUM(InputTable[[#This Row],[measurement.E.10]],InputTable[[#This Row],[measurement.G.10]],InputTable[[#This Row],[measurement.S.10]],InputTable[[#This Row],[measurement.C.10]])</f>
        <v>29256.642434434318</v>
      </c>
      <c r="DG48" s="32">
        <f>SUM(InputTable[[#This Row],[measurement.E.11]],InputTable[[#This Row],[measurement.G.11]],InputTable[[#This Row],[measurement.S.11]],InputTable[[#This Row],[measurement.C.11]])</f>
        <v>21190.767819089931</v>
      </c>
      <c r="DH48" s="32">
        <f>SUM(InputTable[[#This Row],[measurement.E.12]],InputTable[[#This Row],[measurement.G.12]],InputTable[[#This Row],[measurement.S.12]],InputTable[[#This Row],[measurement.C.12]])</f>
        <v>16650.427362567374</v>
      </c>
    </row>
    <row r="49" spans="1:112" s="32" customFormat="1" ht="30" customHeight="1" x14ac:dyDescent="0.3">
      <c r="A49" s="2" t="s">
        <v>252</v>
      </c>
      <c r="B49" s="3">
        <v>71857</v>
      </c>
      <c r="C49" s="3" t="s">
        <v>187</v>
      </c>
      <c r="D49" s="3" t="s">
        <v>172</v>
      </c>
      <c r="E49" s="4" t="s">
        <v>173</v>
      </c>
      <c r="F49" s="4" t="s">
        <v>174</v>
      </c>
      <c r="G49" s="4"/>
      <c r="H49" s="4" t="s">
        <v>175</v>
      </c>
      <c r="I49" s="5">
        <v>37.334208609999997</v>
      </c>
      <c r="J49" s="5">
        <v>-121.8842672</v>
      </c>
      <c r="K49" s="48" t="s">
        <v>176</v>
      </c>
      <c r="L49" s="10"/>
      <c r="M49" s="3"/>
      <c r="N49" s="3" t="s">
        <v>15</v>
      </c>
      <c r="O49" s="4" t="s">
        <v>16</v>
      </c>
      <c r="P49" s="3">
        <v>2023</v>
      </c>
      <c r="Q49" s="59">
        <f>IF(COUNTBLANK(InputTable[[#This Row],[measurement.E.1]:[measurement.C.12]])=4*12,"",SUM(InputTable[[#This Row],[measurement.eui.E]:[measurement.eui.C]]))</f>
        <v>103.49020837504935</v>
      </c>
      <c r="R49" s="33" cm="1">
        <f t="array" ref="R4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45.613426213303633</v>
      </c>
      <c r="S49" s="33" cm="1">
        <f t="array" ref="S4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9" s="33" cm="1">
        <f t="array" ref="T4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33.948594022707084</v>
      </c>
      <c r="U49" s="33" cm="1">
        <f t="array" ref="U4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23.928188139038639</v>
      </c>
      <c r="V49" s="6">
        <v>46348.267588122559</v>
      </c>
      <c r="W49" s="9">
        <v>71099.996566771821</v>
      </c>
      <c r="X49" s="9">
        <v>80123.738000727375</v>
      </c>
      <c r="Y49" s="9">
        <v>82076.236059330418</v>
      </c>
      <c r="Z49" s="9">
        <v>87100.028991700296</v>
      </c>
      <c r="AA49" s="9">
        <v>83853.616947080416</v>
      </c>
      <c r="AB49" s="9">
        <v>87146.386867616311</v>
      </c>
      <c r="AC49" s="9">
        <v>87597.00230189733</v>
      </c>
      <c r="AD49" s="9">
        <v>90265.818500013876</v>
      </c>
      <c r="AE49" s="9">
        <v>91037.096800627536</v>
      </c>
      <c r="AF49" s="9">
        <v>77191.462282275606</v>
      </c>
      <c r="AG49" s="9">
        <v>76742.983592170189</v>
      </c>
      <c r="AH49" s="6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6">
        <v>3364.556551724168</v>
      </c>
      <c r="AU49" s="9">
        <v>2587.8700000000008</v>
      </c>
      <c r="AV49" s="9">
        <v>2694.7229203539532</v>
      </c>
      <c r="AW49" s="9">
        <v>2013.20707964605</v>
      </c>
      <c r="AX49" s="9">
        <v>1764.639999999966</v>
      </c>
      <c r="AY49" s="9">
        <v>1154.42195121952</v>
      </c>
      <c r="AZ49" s="9">
        <v>722.3530487804677</v>
      </c>
      <c r="BA49" s="9">
        <v>11.589571428571549</v>
      </c>
      <c r="BB49" s="9">
        <v>354.23839153438593</v>
      </c>
      <c r="BC49" s="9">
        <v>1386.0520370370341</v>
      </c>
      <c r="BD49" s="9">
        <v>3952.952963430062</v>
      </c>
      <c r="BE49" s="9">
        <v>4387.836691742451</v>
      </c>
      <c r="BF49" s="6">
        <v>2042.490148275888</v>
      </c>
      <c r="BG49" s="9">
        <v>855.36604999998997</v>
      </c>
      <c r="BH49" s="9">
        <v>616.19998163715979</v>
      </c>
      <c r="BI49" s="9">
        <v>4007.1790933628581</v>
      </c>
      <c r="BJ49" s="9">
        <v>9035.2177999999949</v>
      </c>
      <c r="BK49" s="9">
        <v>10410.102585365659</v>
      </c>
      <c r="BL49" s="9">
        <v>11966.06836463424</v>
      </c>
      <c r="BM49" s="9">
        <v>19501.013140000119</v>
      </c>
      <c r="BN49" s="9">
        <v>19965.428534074061</v>
      </c>
      <c r="BO49" s="9">
        <v>21697.208075925671</v>
      </c>
      <c r="BP49" s="9">
        <v>20964.217462232278</v>
      </c>
      <c r="BQ49" s="9">
        <v>22223.493356733699</v>
      </c>
      <c r="BR49" s="7"/>
      <c r="BS49" s="8"/>
      <c r="BT49" s="8"/>
      <c r="BU49" s="8"/>
      <c r="BX49" s="32" cm="1">
        <f t="array" ref="BX49">IFERROR(_xlfn.QUARTILE.INC(_xlfn._xlws.FILTER($Q$5:$Q$64,$C$5:$C$64=$C49,""),3),"")</f>
        <v>103.3358258738342</v>
      </c>
      <c r="BY49" s="32" cm="1">
        <f t="array" ref="BY49">IFERROR(_xlfn.QUARTILE.INC(_xlfn._xlws.FILTER($Q$5:$Q$64,$C$5:$C$64=$C49,""),2),"")</f>
        <v>63.763251345785051</v>
      </c>
      <c r="BZ49" s="32" cm="1">
        <f t="array" ref="BZ49">IFERROR(_xlfn.QUARTILE.INC(_xlfn._xlws.FILTER($Q$5:$Q$64,$C$5:$C$64=$C49,""),1),"")</f>
        <v>43.604372326614211</v>
      </c>
      <c r="CA49" s="32">
        <f t="shared" si="10"/>
        <v>59.731453547219985</v>
      </c>
      <c r="CB49" s="32">
        <f t="shared" si="11"/>
        <v>192.93300619466419</v>
      </c>
      <c r="CC49" s="32">
        <f t="shared" si="12"/>
        <v>-45.992807994215767</v>
      </c>
      <c r="CD49" s="32">
        <f t="shared" si="13"/>
        <v>0</v>
      </c>
      <c r="CE49" s="32">
        <f t="shared" si="14"/>
        <v>0</v>
      </c>
      <c r="CF49" s="32">
        <f t="shared" si="15"/>
        <v>0.5</v>
      </c>
      <c r="CG49" s="32">
        <f t="shared" si="16"/>
        <v>0</v>
      </c>
      <c r="CO4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9" s="32">
        <f>IF(AND(InputTable[[#This Row],[metadata.primary_cooling_system]]="District Cooling",InputTable[[#This Row],[measurement.eui.C]]&gt;=InputTable[[#This Row],[measurement.eui.total]]*0.6),1,0)*$CQ$2</f>
        <v>0</v>
      </c>
      <c r="CR49" s="32">
        <f>IF(AND(InputTable[[#This Row],[metadata.primary_cooling_system]]="District Cooling",InputTable[[#This Row],[measurement.eui.C]]&lt;=InputTable[[#This Row],[measurement.eui.total]]*0.1),1,0)*$CR$2</f>
        <v>0</v>
      </c>
      <c r="CS49" s="32">
        <f t="shared" si="17"/>
        <v>0.5</v>
      </c>
      <c r="CU49" s="32">
        <f t="shared" si="18"/>
        <v>7406.5020796459958</v>
      </c>
      <c r="CV49" s="32">
        <f t="shared" si="19"/>
        <v>16987.939127250636</v>
      </c>
      <c r="CW49" s="32">
        <f>SUM(InputTable[[#This Row],[measurement.E.1]],InputTable[[#This Row],[measurement.G.1]],InputTable[[#This Row],[measurement.S.1]],InputTable[[#This Row],[measurement.C.1]])</f>
        <v>51755.314288122616</v>
      </c>
      <c r="CX49" s="32">
        <f>SUM(InputTable[[#This Row],[measurement.E.2]],InputTable[[#This Row],[measurement.G.2]],InputTable[[#This Row],[measurement.S.2]],InputTable[[#This Row],[measurement.C.2]])</f>
        <v>74543.232616771813</v>
      </c>
      <c r="CY49" s="32">
        <f>SUM(InputTable[[#This Row],[measurement.E.3]],InputTable[[#This Row],[measurement.G.3]],InputTable[[#This Row],[measurement.S.3]],InputTable[[#This Row],[measurement.C.3]])</f>
        <v>83434.660902718475</v>
      </c>
      <c r="CZ49" s="32">
        <f>SUM(InputTable[[#This Row],[measurement.E.4]],InputTable[[#This Row],[measurement.G.4]],InputTable[[#This Row],[measurement.S.4]],InputTable[[#This Row],[measurement.C.4]])</f>
        <v>88096.622232339316</v>
      </c>
      <c r="DA49" s="32">
        <f>SUM(InputTable[[#This Row],[measurement.E.5]],InputTable[[#This Row],[measurement.G.5]],InputTable[[#This Row],[measurement.S.5]],InputTable[[#This Row],[measurement.C.5]])</f>
        <v>97899.886791700264</v>
      </c>
      <c r="DB49" s="32">
        <f>SUM(InputTable[[#This Row],[measurement.E.6]],InputTable[[#This Row],[measurement.G.6]],InputTable[[#This Row],[measurement.S.6]],InputTable[[#This Row],[measurement.C.6]])</f>
        <v>95418.141483665604</v>
      </c>
      <c r="DC49" s="32">
        <f>SUM(InputTable[[#This Row],[measurement.E.7]],InputTable[[#This Row],[measurement.G.7]],InputTable[[#This Row],[measurement.S.7]],InputTable[[#This Row],[measurement.C.7]])</f>
        <v>99834.808281031015</v>
      </c>
      <c r="DD49" s="32">
        <f>SUM(InputTable[[#This Row],[measurement.E.8]],InputTable[[#This Row],[measurement.G.8]],InputTable[[#This Row],[measurement.S.8]],InputTable[[#This Row],[measurement.C.8]])</f>
        <v>107109.60501332601</v>
      </c>
      <c r="DE49" s="32">
        <f>SUM(InputTable[[#This Row],[measurement.E.9]],InputTable[[#This Row],[measurement.G.9]],InputTable[[#This Row],[measurement.S.9]],InputTable[[#This Row],[measurement.C.9]])</f>
        <v>110585.48542562232</v>
      </c>
      <c r="DF49" s="32">
        <f>SUM(InputTable[[#This Row],[measurement.E.10]],InputTable[[#This Row],[measurement.G.10]],InputTable[[#This Row],[measurement.S.10]],InputTable[[#This Row],[measurement.C.10]])</f>
        <v>114120.35691359025</v>
      </c>
      <c r="DG49" s="32">
        <f>SUM(InputTable[[#This Row],[measurement.E.11]],InputTable[[#This Row],[measurement.G.11]],InputTable[[#This Row],[measurement.S.11]],InputTable[[#This Row],[measurement.C.11]])</f>
        <v>102108.63270793794</v>
      </c>
      <c r="DH49" s="32">
        <f>SUM(InputTable[[#This Row],[measurement.E.12]],InputTable[[#This Row],[measurement.G.12]],InputTable[[#This Row],[measurement.S.12]],InputTable[[#This Row],[measurement.C.12]])</f>
        <v>103354.31364064635</v>
      </c>
    </row>
    <row r="50" spans="1:112" s="32" customFormat="1" ht="30" customHeight="1" x14ac:dyDescent="0.3">
      <c r="A50" s="2" t="s">
        <v>253</v>
      </c>
      <c r="B50" s="3">
        <v>76871</v>
      </c>
      <c r="C50" s="3" t="s">
        <v>211</v>
      </c>
      <c r="D50" s="3" t="s">
        <v>172</v>
      </c>
      <c r="E50" s="4" t="s">
        <v>173</v>
      </c>
      <c r="F50" s="4" t="s">
        <v>174</v>
      </c>
      <c r="G50" s="4"/>
      <c r="H50" s="4" t="s">
        <v>175</v>
      </c>
      <c r="I50" s="5">
        <v>37.333709740000003</v>
      </c>
      <c r="J50" s="5">
        <v>-121.8836451</v>
      </c>
      <c r="K50" s="48" t="s">
        <v>176</v>
      </c>
      <c r="L50" s="10"/>
      <c r="M50" s="3" t="s">
        <v>254</v>
      </c>
      <c r="N50" s="3" t="s">
        <v>15</v>
      </c>
      <c r="O50" s="4" t="s">
        <v>16</v>
      </c>
      <c r="P50" s="3">
        <v>2023</v>
      </c>
      <c r="Q50" s="59">
        <f>IF(COUNTBLANK(InputTable[[#This Row],[measurement.E.1]:[measurement.C.12]])=4*12,"",SUM(InputTable[[#This Row],[measurement.eui.E]:[measurement.eui.C]]))</f>
        <v>38.11910343263186</v>
      </c>
      <c r="R50" s="33" cm="1">
        <f t="array" ref="R5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17.702532802462947</v>
      </c>
      <c r="S50" s="33" cm="1">
        <f t="array" ref="S5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0" s="33" cm="1">
        <f t="array" ref="T5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11.341828404359839</v>
      </c>
      <c r="U50" s="33" cm="1">
        <f t="array" ref="U5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9.0747422258090751</v>
      </c>
      <c r="V50" s="6">
        <v>32096.163793102911</v>
      </c>
      <c r="W50" s="9">
        <v>30498.499999999811</v>
      </c>
      <c r="X50" s="9">
        <v>33840.052149177951</v>
      </c>
      <c r="Y50" s="9">
        <v>33463.19785082194</v>
      </c>
      <c r="Z50" s="9">
        <v>32042.49999999992</v>
      </c>
      <c r="AA50" s="9">
        <v>30012.07142857134</v>
      </c>
      <c r="AB50" s="9">
        <v>31897.428571428569</v>
      </c>
      <c r="AC50" s="9">
        <v>34108.349999999969</v>
      </c>
      <c r="AD50" s="9">
        <v>33517.233333333708</v>
      </c>
      <c r="AE50" s="9">
        <v>36419.666666666402</v>
      </c>
      <c r="AF50" s="9">
        <v>34967.328499369607</v>
      </c>
      <c r="AG50" s="9">
        <v>35951.964604079098</v>
      </c>
      <c r="AH50" s="6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6">
        <v>1867.650188577551</v>
      </c>
      <c r="AU50" s="9">
        <v>1639.2968750000121</v>
      </c>
      <c r="AV50" s="9">
        <v>806.51949915058515</v>
      </c>
      <c r="AW50" s="9">
        <v>453.67581334940252</v>
      </c>
      <c r="AX50" s="9">
        <v>402.90039062499329</v>
      </c>
      <c r="AY50" s="9">
        <v>158.38727678571419</v>
      </c>
      <c r="AZ50" s="9">
        <v>107.3744419642843</v>
      </c>
      <c r="BA50" s="9">
        <v>60.131696428572553</v>
      </c>
      <c r="BB50" s="9">
        <v>97.566509589945824</v>
      </c>
      <c r="BC50" s="9">
        <v>100.9834346064806</v>
      </c>
      <c r="BD50" s="9">
        <v>1069.63060569042</v>
      </c>
      <c r="BE50" s="9">
        <v>1954.4601809474921</v>
      </c>
      <c r="BF50" s="6"/>
      <c r="BG50" s="9">
        <v>1209.517626953118</v>
      </c>
      <c r="BH50" s="9">
        <v>1798.8205243098071</v>
      </c>
      <c r="BI50" s="9">
        <v>2971.454791356904</v>
      </c>
      <c r="BJ50" s="9">
        <v>4213.5685904505654</v>
      </c>
      <c r="BK50" s="9">
        <v>3189.2861106652081</v>
      </c>
      <c r="BL50" s="9">
        <v>7407.8038191657006</v>
      </c>
      <c r="BM50" s="9">
        <v>16542.355588504492</v>
      </c>
      <c r="BN50" s="9">
        <v>9124.5455495009155</v>
      </c>
      <c r="BO50" s="9">
        <v>8997.3898363349181</v>
      </c>
      <c r="BP50" s="9">
        <v>2063.0253156666849</v>
      </c>
      <c r="BQ50" s="9">
        <v>614.27471710580369</v>
      </c>
      <c r="BR50" s="7"/>
      <c r="BS50" s="8"/>
      <c r="BT50" s="8"/>
      <c r="BU50" s="8"/>
      <c r="BX50" s="32" cm="1">
        <f t="array" ref="BX50">IFERROR(_xlfn.QUARTILE.INC(_xlfn._xlws.FILTER($Q$5:$Q$64,$C$5:$C$64=$C50,""),3),"")</f>
        <v>110.27378312085324</v>
      </c>
      <c r="BY50" s="32" cm="1">
        <f t="array" ref="BY50">IFERROR(_xlfn.QUARTILE.INC(_xlfn._xlws.FILTER($Q$5:$Q$64,$C$5:$C$64=$C50,""),2),"")</f>
        <v>50.945706184815123</v>
      </c>
      <c r="BZ50" s="32" cm="1">
        <f t="array" ref="BZ50">IFERROR(_xlfn.QUARTILE.INC(_xlfn._xlws.FILTER($Q$5:$Q$64,$C$5:$C$64=$C50,""),1),"")</f>
        <v>35.324923465665997</v>
      </c>
      <c r="CA50" s="32">
        <f t="shared" si="10"/>
        <v>74.948859655187249</v>
      </c>
      <c r="CB50" s="32">
        <f t="shared" si="11"/>
        <v>222.69707260363413</v>
      </c>
      <c r="CC50" s="32">
        <f t="shared" si="12"/>
        <v>-77.09836601711487</v>
      </c>
      <c r="CD50" s="32">
        <f t="shared" si="13"/>
        <v>0</v>
      </c>
      <c r="CE50" s="32">
        <f t="shared" si="14"/>
        <v>0</v>
      </c>
      <c r="CF50" s="32">
        <f t="shared" si="15"/>
        <v>0</v>
      </c>
      <c r="CG50" s="32">
        <f t="shared" si="16"/>
        <v>0</v>
      </c>
      <c r="CO5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0" s="32">
        <f>IF(AND(InputTable[[#This Row],[metadata.primary_cooling_system]]="District Cooling",InputTable[[#This Row],[measurement.eui.C]]&gt;=InputTable[[#This Row],[measurement.eui.total]]*0.6),1,0)*$CQ$2</f>
        <v>0</v>
      </c>
      <c r="CR50" s="32">
        <f>IF(AND(InputTable[[#This Row],[metadata.primary_cooling_system]]="District Cooling",InputTable[[#This Row],[measurement.eui.C]]&lt;=InputTable[[#This Row],[measurement.eui.total]]*0.1),1,0)*$CR$2</f>
        <v>0</v>
      </c>
      <c r="CS50" s="32">
        <f t="shared" si="17"/>
        <v>0</v>
      </c>
      <c r="CU50" s="32">
        <f t="shared" si="18"/>
        <v>1381.0195633493934</v>
      </c>
      <c r="CV50" s="32">
        <f t="shared" si="19"/>
        <v>7337.5573493660595</v>
      </c>
      <c r="CW50" s="32">
        <f>SUM(InputTable[[#This Row],[measurement.E.1]],InputTable[[#This Row],[measurement.G.1]],InputTable[[#This Row],[measurement.S.1]],InputTable[[#This Row],[measurement.C.1]])</f>
        <v>33963.813981680461</v>
      </c>
      <c r="CX50" s="32">
        <f>SUM(InputTable[[#This Row],[measurement.E.2]],InputTable[[#This Row],[measurement.G.2]],InputTable[[#This Row],[measurement.S.2]],InputTable[[#This Row],[measurement.C.2]])</f>
        <v>33347.31450195294</v>
      </c>
      <c r="CY50" s="32">
        <f>SUM(InputTable[[#This Row],[measurement.E.3]],InputTable[[#This Row],[measurement.G.3]],InputTable[[#This Row],[measurement.S.3]],InputTable[[#This Row],[measurement.C.3]])</f>
        <v>36445.392172638341</v>
      </c>
      <c r="CZ50" s="32">
        <f>SUM(InputTable[[#This Row],[measurement.E.4]],InputTable[[#This Row],[measurement.G.4]],InputTable[[#This Row],[measurement.S.4]],InputTable[[#This Row],[measurement.C.4]])</f>
        <v>36888.328455528244</v>
      </c>
      <c r="DA50" s="32">
        <f>SUM(InputTable[[#This Row],[measurement.E.5]],InputTable[[#This Row],[measurement.G.5]],InputTable[[#This Row],[measurement.S.5]],InputTable[[#This Row],[measurement.C.5]])</f>
        <v>36658.968981075479</v>
      </c>
      <c r="DB50" s="32">
        <f>SUM(InputTable[[#This Row],[measurement.E.6]],InputTable[[#This Row],[measurement.G.6]],InputTable[[#This Row],[measurement.S.6]],InputTable[[#This Row],[measurement.C.6]])</f>
        <v>33359.744816022263</v>
      </c>
      <c r="DC50" s="32">
        <f>SUM(InputTable[[#This Row],[measurement.E.7]],InputTable[[#This Row],[measurement.G.7]],InputTable[[#This Row],[measurement.S.7]],InputTable[[#This Row],[measurement.C.7]])</f>
        <v>39412.606832558551</v>
      </c>
      <c r="DD50" s="32">
        <f>SUM(InputTable[[#This Row],[measurement.E.8]],InputTable[[#This Row],[measurement.G.8]],InputTable[[#This Row],[measurement.S.8]],InputTable[[#This Row],[measurement.C.8]])</f>
        <v>50710.837284933034</v>
      </c>
      <c r="DE50" s="32">
        <f>SUM(InputTable[[#This Row],[measurement.E.9]],InputTable[[#This Row],[measurement.G.9]],InputTable[[#This Row],[measurement.S.9]],InputTable[[#This Row],[measurement.C.9]])</f>
        <v>42739.34539242457</v>
      </c>
      <c r="DF50" s="32">
        <f>SUM(InputTable[[#This Row],[measurement.E.10]],InputTable[[#This Row],[measurement.G.10]],InputTable[[#This Row],[measurement.S.10]],InputTable[[#This Row],[measurement.C.10]])</f>
        <v>45518.039937607798</v>
      </c>
      <c r="DG50" s="32">
        <f>SUM(InputTable[[#This Row],[measurement.E.11]],InputTable[[#This Row],[measurement.G.11]],InputTable[[#This Row],[measurement.S.11]],InputTable[[#This Row],[measurement.C.11]])</f>
        <v>38099.984420726716</v>
      </c>
      <c r="DH50" s="32">
        <f>SUM(InputTable[[#This Row],[measurement.E.12]],InputTable[[#This Row],[measurement.G.12]],InputTable[[#This Row],[measurement.S.12]],InputTable[[#This Row],[measurement.C.12]])</f>
        <v>38520.699502132396</v>
      </c>
    </row>
    <row r="51" spans="1:112" s="32" customFormat="1" ht="30" customHeight="1" x14ac:dyDescent="0.3">
      <c r="A51" s="2" t="s">
        <v>255</v>
      </c>
      <c r="B51" s="3">
        <v>19857</v>
      </c>
      <c r="C51" s="3" t="s">
        <v>171</v>
      </c>
      <c r="D51" s="3" t="s">
        <v>256</v>
      </c>
      <c r="E51" s="4" t="s">
        <v>173</v>
      </c>
      <c r="F51" s="4" t="s">
        <v>174</v>
      </c>
      <c r="G51" s="4"/>
      <c r="H51" s="4" t="s">
        <v>175</v>
      </c>
      <c r="I51" s="5">
        <v>37.341439639999997</v>
      </c>
      <c r="J51" s="5">
        <v>-121.88978</v>
      </c>
      <c r="K51" s="48" t="s">
        <v>176</v>
      </c>
      <c r="L51" s="10"/>
      <c r="M51" s="3"/>
      <c r="N51" s="3" t="s">
        <v>182</v>
      </c>
      <c r="O51" s="4" t="s">
        <v>13</v>
      </c>
      <c r="P51" s="3">
        <v>2023</v>
      </c>
      <c r="Q51" s="59">
        <f>IF(COUNTBLANK(InputTable[[#This Row],[measurement.E.1]:[measurement.C.12]])=4*12,"",SUM(InputTable[[#This Row],[measurement.eui.E]:[measurement.eui.C]]))</f>
        <v>83.963754460245696</v>
      </c>
      <c r="R51" s="33" cm="1">
        <f t="array" ref="R5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1" s="33" cm="1">
        <f t="array" ref="S5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51.848603587557939</v>
      </c>
      <c r="T51" s="33" cm="1">
        <f t="array" ref="T5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1" s="33" cm="1">
        <f t="array" ref="U5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1" s="6">
        <v>13543.420116793941</v>
      </c>
      <c r="W51" s="9">
        <v>13037.16998891717</v>
      </c>
      <c r="X51" s="9">
        <v>13570.02410313263</v>
      </c>
      <c r="Y51" s="9">
        <v>13045.53273514781</v>
      </c>
      <c r="Z51" s="9">
        <v>13089.62135644207</v>
      </c>
      <c r="AA51" s="9">
        <v>14155.92860799243</v>
      </c>
      <c r="AB51" s="9">
        <v>14690.354676788549</v>
      </c>
      <c r="AC51" s="9">
        <v>21250.02856755528</v>
      </c>
      <c r="AD51" s="9">
        <v>20559.879695770462</v>
      </c>
      <c r="AE51" s="9">
        <v>19393.336342791121</v>
      </c>
      <c r="AF51" s="9">
        <v>16549.19533847614</v>
      </c>
      <c r="AG51" s="9">
        <v>14010.02389093595</v>
      </c>
      <c r="AH51" s="6">
        <v>1228.00515639779</v>
      </c>
      <c r="AI51" s="9">
        <v>1237.1248913215691</v>
      </c>
      <c r="AJ51" s="9">
        <v>1273.1158785068189</v>
      </c>
      <c r="AK51" s="9">
        <v>1024.4648696122131</v>
      </c>
      <c r="AL51" s="9">
        <v>643.32756834662848</v>
      </c>
      <c r="AM51" s="9">
        <v>476.57407066203132</v>
      </c>
      <c r="AN51" s="9">
        <v>511.68036528712878</v>
      </c>
      <c r="AO51" s="9">
        <v>505.58914374727692</v>
      </c>
      <c r="AP51" s="9">
        <v>522.59185695626888</v>
      </c>
      <c r="AQ51" s="9">
        <v>806.02106194886392</v>
      </c>
      <c r="AR51" s="9">
        <v>1041.086265889729</v>
      </c>
      <c r="AS51" s="9">
        <v>1025.9960857050601</v>
      </c>
      <c r="AT51" s="6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6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7"/>
      <c r="BS51" s="8"/>
      <c r="BT51" s="8"/>
      <c r="BU51" s="8"/>
      <c r="BX51" s="32" cm="1">
        <f t="array" ref="BX51">IFERROR(_xlfn.QUARTILE.INC(_xlfn._xlws.FILTER($Q$5:$Q$64,$C$5:$C$64=$C51,""),3),"")</f>
        <v>64.112055304293477</v>
      </c>
      <c r="BY51" s="32" cm="1">
        <f t="array" ref="BY51">IFERROR(_xlfn.QUARTILE.INC(_xlfn._xlws.FILTER($Q$5:$Q$64,$C$5:$C$64=$C51,""),2),"")</f>
        <v>39.725763352573587</v>
      </c>
      <c r="BZ51" s="32" cm="1">
        <f t="array" ref="BZ51">IFERROR(_xlfn.QUARTILE.INC(_xlfn._xlws.FILTER($Q$5:$Q$64,$C$5:$C$64=$C51,""),1),"")</f>
        <v>32.115150872687749</v>
      </c>
      <c r="CA51" s="32">
        <f t="shared" si="10"/>
        <v>31.996904431605728</v>
      </c>
      <c r="CB51" s="32">
        <f t="shared" si="11"/>
        <v>112.10741195170206</v>
      </c>
      <c r="CC51" s="32">
        <f t="shared" si="12"/>
        <v>-15.880205774720842</v>
      </c>
      <c r="CD51" s="32">
        <f t="shared" si="13"/>
        <v>0</v>
      </c>
      <c r="CE51" s="32">
        <f t="shared" si="14"/>
        <v>0</v>
      </c>
      <c r="CF51" s="32">
        <f t="shared" si="15"/>
        <v>0.5</v>
      </c>
      <c r="CG51" s="32">
        <f t="shared" si="16"/>
        <v>0</v>
      </c>
      <c r="CO5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1" s="32">
        <f>IF(AND(InputTable[[#This Row],[metadata.primary_cooling_system]]="District Cooling",InputTable[[#This Row],[measurement.eui.C]]&gt;=InputTable[[#This Row],[measurement.eui.total]]*0.6),1,0)*$CQ$2</f>
        <v>0</v>
      </c>
      <c r="CR51" s="32">
        <f>IF(AND(InputTable[[#This Row],[metadata.primary_cooling_system]]="District Cooling",InputTable[[#This Row],[measurement.eui.C]]&lt;=InputTable[[#This Row],[measurement.eui.total]]*0.1),1,0)*$CR$2</f>
        <v>0</v>
      </c>
      <c r="CS51" s="32">
        <f t="shared" si="17"/>
        <v>1.3</v>
      </c>
      <c r="CU51" s="32">
        <f t="shared" si="18"/>
        <v>0</v>
      </c>
      <c r="CV51" s="32">
        <f t="shared" si="19"/>
        <v>0</v>
      </c>
      <c r="CW51" s="32">
        <f>SUM(InputTable[[#This Row],[measurement.E.1]],InputTable[[#This Row],[measurement.G.1]],InputTable[[#This Row],[measurement.S.1]],InputTable[[#This Row],[measurement.C.1]])</f>
        <v>14771.425273191731</v>
      </c>
      <c r="CX51" s="32">
        <f>SUM(InputTable[[#This Row],[measurement.E.2]],InputTable[[#This Row],[measurement.G.2]],InputTable[[#This Row],[measurement.S.2]],InputTable[[#This Row],[measurement.C.2]])</f>
        <v>14274.29488023874</v>
      </c>
      <c r="CY51" s="32">
        <f>SUM(InputTable[[#This Row],[measurement.E.3]],InputTable[[#This Row],[measurement.G.3]],InputTable[[#This Row],[measurement.S.3]],InputTable[[#This Row],[measurement.C.3]])</f>
        <v>14843.139981639448</v>
      </c>
      <c r="CZ51" s="32">
        <f>SUM(InputTable[[#This Row],[measurement.E.4]],InputTable[[#This Row],[measurement.G.4]],InputTable[[#This Row],[measurement.S.4]],InputTable[[#This Row],[measurement.C.4]])</f>
        <v>14069.997604760023</v>
      </c>
      <c r="DA51" s="32">
        <f>SUM(InputTable[[#This Row],[measurement.E.5]],InputTable[[#This Row],[measurement.G.5]],InputTable[[#This Row],[measurement.S.5]],InputTable[[#This Row],[measurement.C.5]])</f>
        <v>13732.9489247887</v>
      </c>
      <c r="DB51" s="32">
        <f>SUM(InputTable[[#This Row],[measurement.E.6]],InputTable[[#This Row],[measurement.G.6]],InputTable[[#This Row],[measurement.S.6]],InputTable[[#This Row],[measurement.C.6]])</f>
        <v>14632.50267865446</v>
      </c>
      <c r="DC51" s="32">
        <f>SUM(InputTable[[#This Row],[measurement.E.7]],InputTable[[#This Row],[measurement.G.7]],InputTable[[#This Row],[measurement.S.7]],InputTable[[#This Row],[measurement.C.7]])</f>
        <v>15202.035042075679</v>
      </c>
      <c r="DD51" s="32">
        <f>SUM(InputTable[[#This Row],[measurement.E.8]],InputTable[[#This Row],[measurement.G.8]],InputTable[[#This Row],[measurement.S.8]],InputTable[[#This Row],[measurement.C.8]])</f>
        <v>21755.617711302559</v>
      </c>
      <c r="DE51" s="32">
        <f>SUM(InputTable[[#This Row],[measurement.E.9]],InputTable[[#This Row],[measurement.G.9]],InputTable[[#This Row],[measurement.S.9]],InputTable[[#This Row],[measurement.C.9]])</f>
        <v>21082.471552726729</v>
      </c>
      <c r="DF51" s="32">
        <f>SUM(InputTable[[#This Row],[measurement.E.10]],InputTable[[#This Row],[measurement.G.10]],InputTable[[#This Row],[measurement.S.10]],InputTable[[#This Row],[measurement.C.10]])</f>
        <v>20199.357404739985</v>
      </c>
      <c r="DG51" s="32">
        <f>SUM(InputTable[[#This Row],[measurement.E.11]],InputTable[[#This Row],[measurement.G.11]],InputTable[[#This Row],[measurement.S.11]],InputTable[[#This Row],[measurement.C.11]])</f>
        <v>17590.281604365868</v>
      </c>
      <c r="DH51" s="32">
        <f>SUM(InputTable[[#This Row],[measurement.E.12]],InputTable[[#This Row],[measurement.G.12]],InputTable[[#This Row],[measurement.S.12]],InputTable[[#This Row],[measurement.C.12]])</f>
        <v>15036.019976641011</v>
      </c>
    </row>
    <row r="52" spans="1:112" s="32" customFormat="1" ht="30" customHeight="1" x14ac:dyDescent="0.3">
      <c r="A52" s="2" t="s">
        <v>257</v>
      </c>
      <c r="B52" s="3">
        <v>4320</v>
      </c>
      <c r="C52" s="3" t="s">
        <v>181</v>
      </c>
      <c r="D52" s="3" t="s">
        <v>212</v>
      </c>
      <c r="E52" s="4" t="s">
        <v>173</v>
      </c>
      <c r="F52" s="4" t="s">
        <v>174</v>
      </c>
      <c r="G52" s="4"/>
      <c r="H52" s="4" t="s">
        <v>175</v>
      </c>
      <c r="I52" s="5">
        <v>37.319578440000001</v>
      </c>
      <c r="J52" s="5">
        <v>-121.86717470000001</v>
      </c>
      <c r="K52" s="48" t="s">
        <v>176</v>
      </c>
      <c r="L52" s="10"/>
      <c r="M52" s="3"/>
      <c r="N52" s="3" t="s">
        <v>231</v>
      </c>
      <c r="O52" s="4" t="s">
        <v>13</v>
      </c>
      <c r="P52" s="3">
        <v>2023</v>
      </c>
      <c r="Q52" s="59">
        <f>IF(COUNTBLANK(InputTable[[#This Row],[measurement.E.1]:[measurement.C.12]])=4*12,"",SUM(InputTable[[#This Row],[measurement.eui.E]:[measurement.eui.C]]))</f>
        <v>23.774816957354851</v>
      </c>
      <c r="R52" s="33" cm="1">
        <f t="array" ref="R5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23.774816957354851</v>
      </c>
      <c r="S52" s="33" cm="1">
        <f t="array" ref="S5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2" s="33" cm="1">
        <f t="array" ref="T5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2" s="33" cm="1">
        <f t="array" ref="U5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2" s="6">
        <v>2159.6551766007719</v>
      </c>
      <c r="W52" s="9">
        <v>2135.0346716935469</v>
      </c>
      <c r="X52" s="9">
        <v>2743.8467076797269</v>
      </c>
      <c r="Y52" s="9">
        <v>2776.9693739053641</v>
      </c>
      <c r="Z52" s="9">
        <v>2740.3168503533479</v>
      </c>
      <c r="AA52" s="9">
        <v>2492.2637377283072</v>
      </c>
      <c r="AB52" s="9">
        <v>3050.133334103889</v>
      </c>
      <c r="AC52" s="9">
        <v>3369.75638372103</v>
      </c>
      <c r="AD52" s="9">
        <v>2740.4992475781919</v>
      </c>
      <c r="AE52" s="9">
        <v>2315.9501928366408</v>
      </c>
      <c r="AF52" s="9">
        <v>2061.907544368476</v>
      </c>
      <c r="AG52" s="9">
        <v>1514.1788026635629</v>
      </c>
      <c r="AH52" s="6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6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6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7"/>
      <c r="BS52" s="8"/>
      <c r="BT52" s="8"/>
      <c r="BU52" s="8"/>
      <c r="BX52" s="32" cm="1">
        <f t="array" ref="BX52">IFERROR(_xlfn.QUARTILE.INC(_xlfn._xlws.FILTER($Q$5:$Q$64,$C$5:$C$64=$C52,""),3),"")</f>
        <v>62.933615419798244</v>
      </c>
      <c r="BY52" s="32" cm="1">
        <f t="array" ref="BY52">IFERROR(_xlfn.QUARTILE.INC(_xlfn._xlws.FILTER($Q$5:$Q$64,$C$5:$C$64=$C52,""),2),"")</f>
        <v>54.751817837122367</v>
      </c>
      <c r="BZ52" s="32" cm="1">
        <f t="array" ref="BZ52">IFERROR(_xlfn.QUARTILE.INC(_xlfn._xlws.FILTER($Q$5:$Q$64,$C$5:$C$64=$C52,""),1),"")</f>
        <v>39.263317397238609</v>
      </c>
      <c r="CA52" s="32">
        <f t="shared" si="10"/>
        <v>23.670298022559635</v>
      </c>
      <c r="CB52" s="32">
        <f t="shared" si="11"/>
        <v>98.439062453637689</v>
      </c>
      <c r="CC52" s="32">
        <f t="shared" si="12"/>
        <v>3.7578703633991566</v>
      </c>
      <c r="CD52" s="32">
        <f t="shared" si="13"/>
        <v>0</v>
      </c>
      <c r="CE52" s="32">
        <f t="shared" si="14"/>
        <v>0</v>
      </c>
      <c r="CF52" s="32">
        <f t="shared" si="15"/>
        <v>0.5</v>
      </c>
      <c r="CG52" s="32">
        <f t="shared" si="16"/>
        <v>0</v>
      </c>
      <c r="CO5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2" s="32">
        <f>IF(AND(InputTable[[#This Row],[metadata.primary_cooling_system]]="District Cooling",InputTable[[#This Row],[measurement.eui.C]]&gt;=InputTable[[#This Row],[measurement.eui.total]]*0.6),1,0)*$CQ$2</f>
        <v>0</v>
      </c>
      <c r="CR52" s="32">
        <f>IF(AND(InputTable[[#This Row],[metadata.primary_cooling_system]]="District Cooling",InputTable[[#This Row],[measurement.eui.C]]&lt;=InputTable[[#This Row],[measurement.eui.total]]*0.1),1,0)*$CR$2</f>
        <v>0</v>
      </c>
      <c r="CS52" s="32">
        <f t="shared" si="17"/>
        <v>1.3</v>
      </c>
      <c r="CU52" s="32">
        <f t="shared" si="18"/>
        <v>0</v>
      </c>
      <c r="CV52" s="32">
        <f t="shared" si="19"/>
        <v>0</v>
      </c>
      <c r="CW52" s="32">
        <f>SUM(InputTable[[#This Row],[measurement.E.1]],InputTable[[#This Row],[measurement.G.1]],InputTable[[#This Row],[measurement.S.1]],InputTable[[#This Row],[measurement.C.1]])</f>
        <v>2159.6551766007719</v>
      </c>
      <c r="CX52" s="32">
        <f>SUM(InputTable[[#This Row],[measurement.E.2]],InputTable[[#This Row],[measurement.G.2]],InputTable[[#This Row],[measurement.S.2]],InputTable[[#This Row],[measurement.C.2]])</f>
        <v>2135.0346716935469</v>
      </c>
      <c r="CY52" s="32">
        <f>SUM(InputTable[[#This Row],[measurement.E.3]],InputTable[[#This Row],[measurement.G.3]],InputTable[[#This Row],[measurement.S.3]],InputTable[[#This Row],[measurement.C.3]])</f>
        <v>2743.8467076797269</v>
      </c>
      <c r="CZ52" s="32">
        <f>SUM(InputTable[[#This Row],[measurement.E.4]],InputTable[[#This Row],[measurement.G.4]],InputTable[[#This Row],[measurement.S.4]],InputTable[[#This Row],[measurement.C.4]])</f>
        <v>2776.9693739053641</v>
      </c>
      <c r="DA52" s="32">
        <f>SUM(InputTable[[#This Row],[measurement.E.5]],InputTable[[#This Row],[measurement.G.5]],InputTable[[#This Row],[measurement.S.5]],InputTable[[#This Row],[measurement.C.5]])</f>
        <v>2740.3168503533479</v>
      </c>
      <c r="DB52" s="32">
        <f>SUM(InputTable[[#This Row],[measurement.E.6]],InputTable[[#This Row],[measurement.G.6]],InputTable[[#This Row],[measurement.S.6]],InputTable[[#This Row],[measurement.C.6]])</f>
        <v>2492.2637377283072</v>
      </c>
      <c r="DC52" s="32">
        <f>SUM(InputTable[[#This Row],[measurement.E.7]],InputTable[[#This Row],[measurement.G.7]],InputTable[[#This Row],[measurement.S.7]],InputTable[[#This Row],[measurement.C.7]])</f>
        <v>3050.133334103889</v>
      </c>
      <c r="DD52" s="32">
        <f>SUM(InputTable[[#This Row],[measurement.E.8]],InputTable[[#This Row],[measurement.G.8]],InputTable[[#This Row],[measurement.S.8]],InputTable[[#This Row],[measurement.C.8]])</f>
        <v>3369.75638372103</v>
      </c>
      <c r="DE52" s="32">
        <f>SUM(InputTable[[#This Row],[measurement.E.9]],InputTable[[#This Row],[measurement.G.9]],InputTable[[#This Row],[measurement.S.9]],InputTable[[#This Row],[measurement.C.9]])</f>
        <v>2740.4992475781919</v>
      </c>
      <c r="DF52" s="32">
        <f>SUM(InputTable[[#This Row],[measurement.E.10]],InputTable[[#This Row],[measurement.G.10]],InputTable[[#This Row],[measurement.S.10]],InputTable[[#This Row],[measurement.C.10]])</f>
        <v>2315.9501928366408</v>
      </c>
      <c r="DG52" s="32">
        <f>SUM(InputTable[[#This Row],[measurement.E.11]],InputTable[[#This Row],[measurement.G.11]],InputTable[[#This Row],[measurement.S.11]],InputTable[[#This Row],[measurement.C.11]])</f>
        <v>2061.907544368476</v>
      </c>
      <c r="DH52" s="32">
        <f>SUM(InputTable[[#This Row],[measurement.E.12]],InputTable[[#This Row],[measurement.G.12]],InputTable[[#This Row],[measurement.S.12]],InputTable[[#This Row],[measurement.C.12]])</f>
        <v>1514.1788026635629</v>
      </c>
    </row>
    <row r="53" spans="1:112" s="32" customFormat="1" ht="30" customHeight="1" x14ac:dyDescent="0.3">
      <c r="A53" s="2" t="s">
        <v>258</v>
      </c>
      <c r="B53" s="3">
        <v>16496</v>
      </c>
      <c r="C53" s="3" t="s">
        <v>171</v>
      </c>
      <c r="D53" s="3" t="s">
        <v>172</v>
      </c>
      <c r="E53" s="4" t="s">
        <v>173</v>
      </c>
      <c r="F53" s="4" t="s">
        <v>174</v>
      </c>
      <c r="G53" s="4"/>
      <c r="H53" s="4" t="s">
        <v>175</v>
      </c>
      <c r="I53" s="5">
        <v>37.334635349999999</v>
      </c>
      <c r="J53" s="5">
        <v>-121.8826093</v>
      </c>
      <c r="K53" s="48" t="s">
        <v>176</v>
      </c>
      <c r="L53" s="10"/>
      <c r="M53" s="3"/>
      <c r="N53" s="3" t="s">
        <v>15</v>
      </c>
      <c r="O53" s="4" t="s">
        <v>16</v>
      </c>
      <c r="P53" s="3">
        <v>2023</v>
      </c>
      <c r="Q53" s="59">
        <f>IF(COUNTBLANK(InputTable[[#This Row],[measurement.E.1]:[measurement.C.12]])=4*12,"",SUM(InputTable[[#This Row],[measurement.eui.E]:[measurement.eui.C]]))</f>
        <v>63.596442944030706</v>
      </c>
      <c r="R53" s="33" cm="1">
        <f t="array" ref="R5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26.958612330405185</v>
      </c>
      <c r="S53" s="33" cm="1">
        <f t="array" ref="S5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3" s="33" cm="1">
        <f t="array" ref="T5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53" s="33" cm="1">
        <f t="array" ref="U5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53" s="6">
        <v>11280.48960922406</v>
      </c>
      <c r="W53" s="9">
        <v>10715.349360236491</v>
      </c>
      <c r="X53" s="9">
        <v>11285.555886772239</v>
      </c>
      <c r="Y53" s="9">
        <v>11212.573302771851</v>
      </c>
      <c r="Z53" s="9">
        <v>10695.16687808309</v>
      </c>
      <c r="AA53" s="9">
        <v>10313.27069706365</v>
      </c>
      <c r="AB53" s="9">
        <v>10661.245991718801</v>
      </c>
      <c r="AC53" s="9">
        <v>11368.24442045268</v>
      </c>
      <c r="AD53" s="9">
        <v>10727.354459968519</v>
      </c>
      <c r="AE53" s="9">
        <v>10638.26638119476</v>
      </c>
      <c r="AF53" s="9">
        <v>10307.64090094138</v>
      </c>
      <c r="AG53" s="9">
        <v>11126.26475896905</v>
      </c>
      <c r="AH53" s="6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6">
        <v>711.73017634838709</v>
      </c>
      <c r="AU53" s="9">
        <v>692.59919354839053</v>
      </c>
      <c r="AV53" s="9">
        <v>602.25484892376335</v>
      </c>
      <c r="AW53" s="9">
        <v>369.16797484284882</v>
      </c>
      <c r="AX53" s="9">
        <v>275.0576435009437</v>
      </c>
      <c r="AY53" s="9">
        <v>172.2406591324592</v>
      </c>
      <c r="AZ53" s="9">
        <v>175.10101784075059</v>
      </c>
      <c r="BA53" s="9">
        <v>135.31023032671109</v>
      </c>
      <c r="BB53" s="9">
        <v>160.7254817706241</v>
      </c>
      <c r="BC53" s="9">
        <v>235.82155542660371</v>
      </c>
      <c r="BD53" s="9">
        <v>424.79417060390648</v>
      </c>
      <c r="BE53" s="9">
        <v>612.3968833176649</v>
      </c>
      <c r="BF53" s="6">
        <v>596.17119118859853</v>
      </c>
      <c r="BG53" s="9">
        <v>474.06123109878712</v>
      </c>
      <c r="BH53" s="9">
        <v>829.46532420648271</v>
      </c>
      <c r="BI53" s="9">
        <v>1094.7127367814089</v>
      </c>
      <c r="BJ53" s="9">
        <v>1272.345459677432</v>
      </c>
      <c r="BK53" s="9">
        <v>1194.714977257091</v>
      </c>
      <c r="BL53" s="9">
        <v>1353.4886519431609</v>
      </c>
      <c r="BM53" s="9">
        <v>1400.0468952749279</v>
      </c>
      <c r="BN53" s="9">
        <v>1228.289138957261</v>
      </c>
      <c r="BO53" s="9">
        <v>1226.539880922375</v>
      </c>
      <c r="BP53" s="9">
        <v>922.76403138220098</v>
      </c>
      <c r="BQ53" s="9">
        <v>712.20633498203563</v>
      </c>
      <c r="BR53" s="7"/>
      <c r="BS53" s="8"/>
      <c r="BT53" s="8"/>
      <c r="BU53" s="8"/>
      <c r="BX53" s="32" cm="1">
        <f t="array" ref="BX53">IFERROR(_xlfn.QUARTILE.INC(_xlfn._xlws.FILTER($Q$5:$Q$64,$C$5:$C$64=$C53,""),3),"")</f>
        <v>64.112055304293477</v>
      </c>
      <c r="BY53" s="32" cm="1">
        <f t="array" ref="BY53">IFERROR(_xlfn.QUARTILE.INC(_xlfn._xlws.FILTER($Q$5:$Q$64,$C$5:$C$64=$C53,""),2),"")</f>
        <v>39.725763352573587</v>
      </c>
      <c r="BZ53" s="32" cm="1">
        <f t="array" ref="BZ53">IFERROR(_xlfn.QUARTILE.INC(_xlfn._xlws.FILTER($Q$5:$Q$64,$C$5:$C$64=$C53,""),1),"")</f>
        <v>32.115150872687749</v>
      </c>
      <c r="CA53" s="32">
        <f t="shared" si="10"/>
        <v>31.996904431605728</v>
      </c>
      <c r="CB53" s="32">
        <f t="shared" si="11"/>
        <v>112.10741195170206</v>
      </c>
      <c r="CC53" s="32">
        <f t="shared" si="12"/>
        <v>-15.880205774720842</v>
      </c>
      <c r="CD53" s="32">
        <f t="shared" si="13"/>
        <v>0</v>
      </c>
      <c r="CE53" s="32">
        <f t="shared" si="14"/>
        <v>0</v>
      </c>
      <c r="CF53" s="32">
        <f t="shared" si="15"/>
        <v>0</v>
      </c>
      <c r="CG53" s="32">
        <f t="shared" si="16"/>
        <v>0</v>
      </c>
      <c r="CO5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3" s="32">
        <f>IF(AND(InputTable[[#This Row],[metadata.primary_cooling_system]]="District Cooling",InputTable[[#This Row],[measurement.eui.C]]&gt;=InputTable[[#This Row],[measurement.eui.total]]*0.6),1,0)*$CQ$2</f>
        <v>0</v>
      </c>
      <c r="CR53" s="32">
        <f>IF(AND(InputTable[[#This Row],[metadata.primary_cooling_system]]="District Cooling",InputTable[[#This Row],[measurement.eui.C]]&lt;=InputTable[[#This Row],[measurement.eui.total]]*0.1),1,0)*$CR$2</f>
        <v>0</v>
      </c>
      <c r="CS53" s="32">
        <f t="shared" si="17"/>
        <v>0</v>
      </c>
      <c r="CU53" s="32">
        <f t="shared" si="18"/>
        <v>1523.4245628409412</v>
      </c>
      <c r="CV53" s="32">
        <f t="shared" si="19"/>
        <v>3043.7752727421125</v>
      </c>
      <c r="CW53" s="32">
        <f>SUM(InputTable[[#This Row],[measurement.E.1]],InputTable[[#This Row],[measurement.G.1]],InputTable[[#This Row],[measurement.S.1]],InputTable[[#This Row],[measurement.C.1]])</f>
        <v>12588.390976761044</v>
      </c>
      <c r="CX53" s="32">
        <f>SUM(InputTable[[#This Row],[measurement.E.2]],InputTable[[#This Row],[measurement.G.2]],InputTable[[#This Row],[measurement.S.2]],InputTable[[#This Row],[measurement.C.2]])</f>
        <v>11882.009784883669</v>
      </c>
      <c r="CY53" s="32">
        <f>SUM(InputTable[[#This Row],[measurement.E.3]],InputTable[[#This Row],[measurement.G.3]],InputTable[[#This Row],[measurement.S.3]],InputTable[[#This Row],[measurement.C.3]])</f>
        <v>12717.276059902486</v>
      </c>
      <c r="CZ53" s="32">
        <f>SUM(InputTable[[#This Row],[measurement.E.4]],InputTable[[#This Row],[measurement.G.4]],InputTable[[#This Row],[measurement.S.4]],InputTable[[#This Row],[measurement.C.4]])</f>
        <v>12676.454014396108</v>
      </c>
      <c r="DA53" s="32">
        <f>SUM(InputTable[[#This Row],[measurement.E.5]],InputTable[[#This Row],[measurement.G.5]],InputTable[[#This Row],[measurement.S.5]],InputTable[[#This Row],[measurement.C.5]])</f>
        <v>12242.569981261466</v>
      </c>
      <c r="DB53" s="32">
        <f>SUM(InputTable[[#This Row],[measurement.E.6]],InputTable[[#This Row],[measurement.G.6]],InputTable[[#This Row],[measurement.S.6]],InputTable[[#This Row],[measurement.C.6]])</f>
        <v>11680.2263334532</v>
      </c>
      <c r="DC53" s="32">
        <f>SUM(InputTable[[#This Row],[measurement.E.7]],InputTable[[#This Row],[measurement.G.7]],InputTable[[#This Row],[measurement.S.7]],InputTable[[#This Row],[measurement.C.7]])</f>
        <v>12189.835661502711</v>
      </c>
      <c r="DD53" s="32">
        <f>SUM(InputTable[[#This Row],[measurement.E.8]],InputTable[[#This Row],[measurement.G.8]],InputTable[[#This Row],[measurement.S.8]],InputTable[[#This Row],[measurement.C.8]])</f>
        <v>12903.60154605432</v>
      </c>
      <c r="DE53" s="32">
        <f>SUM(InputTable[[#This Row],[measurement.E.9]],InputTable[[#This Row],[measurement.G.9]],InputTable[[#This Row],[measurement.S.9]],InputTable[[#This Row],[measurement.C.9]])</f>
        <v>12116.369080696404</v>
      </c>
      <c r="DF53" s="32">
        <f>SUM(InputTable[[#This Row],[measurement.E.10]],InputTable[[#This Row],[measurement.G.10]],InputTable[[#This Row],[measurement.S.10]],InputTable[[#This Row],[measurement.C.10]])</f>
        <v>12100.62781754374</v>
      </c>
      <c r="DG53" s="32">
        <f>SUM(InputTable[[#This Row],[measurement.E.11]],InputTable[[#This Row],[measurement.G.11]],InputTable[[#This Row],[measurement.S.11]],InputTable[[#This Row],[measurement.C.11]])</f>
        <v>11655.199102927489</v>
      </c>
      <c r="DH53" s="32">
        <f>SUM(InputTable[[#This Row],[measurement.E.12]],InputTable[[#This Row],[measurement.G.12]],InputTable[[#This Row],[measurement.S.12]],InputTable[[#This Row],[measurement.C.12]])</f>
        <v>12450.86797726875</v>
      </c>
    </row>
    <row r="54" spans="1:112" s="32" customFormat="1" ht="30" customHeight="1" x14ac:dyDescent="0.3">
      <c r="A54" s="2" t="s">
        <v>285</v>
      </c>
      <c r="B54" s="3">
        <v>1518</v>
      </c>
      <c r="C54" s="3" t="s">
        <v>171</v>
      </c>
      <c r="D54" s="3" t="s">
        <v>212</v>
      </c>
      <c r="E54" s="4" t="s">
        <v>173</v>
      </c>
      <c r="F54" s="4" t="s">
        <v>174</v>
      </c>
      <c r="G54" s="4"/>
      <c r="H54" s="4" t="s">
        <v>175</v>
      </c>
      <c r="I54" s="5">
        <v>37.337399089999998</v>
      </c>
      <c r="J54" s="5">
        <v>-121.8794721</v>
      </c>
      <c r="K54" s="48" t="s">
        <v>176</v>
      </c>
      <c r="L54" s="10"/>
      <c r="M54" s="3"/>
      <c r="N54" s="3" t="s">
        <v>231</v>
      </c>
      <c r="O54" s="4" t="s">
        <v>13</v>
      </c>
      <c r="P54" s="3">
        <v>2023</v>
      </c>
      <c r="Q54" s="59">
        <f>IF(COUNTBLANK(InputTable[[#This Row],[measurement.E.1]:[measurement.C.12]])=4*12,"",SUM(InputTable[[#This Row],[measurement.eui.E]:[measurement.eui.C]]))</f>
        <v>32.115150872687742</v>
      </c>
      <c r="R54" s="33" cm="1">
        <f t="array" ref="R5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4" s="33" cm="1">
        <f t="array" ref="S5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4" s="33" cm="1">
        <f t="array" ref="T5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4" s="33" cm="1">
        <f t="array" ref="U5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4" s="6">
        <v>1035.34832740561</v>
      </c>
      <c r="W54" s="9">
        <v>996.64722985225694</v>
      </c>
      <c r="X54" s="9">
        <v>1037.3821115251719</v>
      </c>
      <c r="Y54" s="9">
        <v>997.28653331089163</v>
      </c>
      <c r="Z54" s="9">
        <v>1000.65695820512</v>
      </c>
      <c r="AA54" s="9">
        <v>1082.172514827643</v>
      </c>
      <c r="AB54" s="9">
        <v>1123.027567072822</v>
      </c>
      <c r="AC54" s="9">
        <v>1624.4922881376301</v>
      </c>
      <c r="AD54" s="9">
        <v>1571.732758129604</v>
      </c>
      <c r="AE54" s="9">
        <v>1482.554493043104</v>
      </c>
      <c r="AF54" s="9">
        <v>1265.129602850722</v>
      </c>
      <c r="AG54" s="9">
        <v>1071.01859628548</v>
      </c>
      <c r="AH54" s="6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6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6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7"/>
      <c r="BS54" s="8"/>
      <c r="BT54" s="8"/>
      <c r="BU54" s="8"/>
      <c r="BX54" s="32" cm="1">
        <f t="array" ref="BX54">IFERROR(_xlfn.QUARTILE.INC(_xlfn._xlws.FILTER($Q$5:$Q$64,$C$5:$C$64=$C54,""),3),"")</f>
        <v>64.112055304293477</v>
      </c>
      <c r="BY54" s="32" cm="1">
        <f t="array" ref="BY54">IFERROR(_xlfn.QUARTILE.INC(_xlfn._xlws.FILTER($Q$5:$Q$64,$C$5:$C$64=$C54,""),2),"")</f>
        <v>39.725763352573587</v>
      </c>
      <c r="BZ54" s="32" cm="1">
        <f t="array" ref="BZ54">IFERROR(_xlfn.QUARTILE.INC(_xlfn._xlws.FILTER($Q$5:$Q$64,$C$5:$C$64=$C54,""),1),"")</f>
        <v>32.115150872687749</v>
      </c>
      <c r="CA54" s="32">
        <f t="shared" si="10"/>
        <v>31.996904431605728</v>
      </c>
      <c r="CB54" s="32">
        <f t="shared" si="11"/>
        <v>112.10741195170206</v>
      </c>
      <c r="CC54" s="32">
        <f t="shared" si="12"/>
        <v>-15.880205774720842</v>
      </c>
      <c r="CD54" s="32">
        <f t="shared" si="13"/>
        <v>0</v>
      </c>
      <c r="CE54" s="32">
        <f t="shared" si="14"/>
        <v>0</v>
      </c>
      <c r="CF54" s="32">
        <f t="shared" si="15"/>
        <v>0</v>
      </c>
      <c r="CG54" s="32">
        <f t="shared" si="16"/>
        <v>0</v>
      </c>
      <c r="CO5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4" s="32">
        <f>IF(AND(InputTable[[#This Row],[metadata.primary_cooling_system]]="District Cooling",InputTable[[#This Row],[measurement.eui.C]]&gt;=InputTable[[#This Row],[measurement.eui.total]]*0.6),1,0)*$CQ$2</f>
        <v>0</v>
      </c>
      <c r="CR54" s="32">
        <f>IF(AND(InputTable[[#This Row],[metadata.primary_cooling_system]]="District Cooling",InputTable[[#This Row],[measurement.eui.C]]&lt;=InputTable[[#This Row],[measurement.eui.total]]*0.1),1,0)*$CR$2</f>
        <v>0</v>
      </c>
      <c r="CS54" s="32">
        <f t="shared" si="17"/>
        <v>0.8</v>
      </c>
      <c r="CU54" s="32">
        <f t="shared" si="18"/>
        <v>0</v>
      </c>
      <c r="CV54" s="32">
        <f t="shared" si="19"/>
        <v>0</v>
      </c>
      <c r="CW54" s="32">
        <f>SUM(InputTable[[#This Row],[measurement.E.1]],InputTable[[#This Row],[measurement.G.1]],InputTable[[#This Row],[measurement.S.1]],InputTable[[#This Row],[measurement.C.1]])</f>
        <v>1035.34832740561</v>
      </c>
      <c r="CX54" s="32">
        <f>SUM(InputTable[[#This Row],[measurement.E.2]],InputTable[[#This Row],[measurement.G.2]],InputTable[[#This Row],[measurement.S.2]],InputTable[[#This Row],[measurement.C.2]])</f>
        <v>996.64722985225694</v>
      </c>
      <c r="CY54" s="32">
        <f>SUM(InputTable[[#This Row],[measurement.E.3]],InputTable[[#This Row],[measurement.G.3]],InputTable[[#This Row],[measurement.S.3]],InputTable[[#This Row],[measurement.C.3]])</f>
        <v>1037.3821115251719</v>
      </c>
      <c r="CZ54" s="32">
        <f>SUM(InputTable[[#This Row],[measurement.E.4]],InputTable[[#This Row],[measurement.G.4]],InputTable[[#This Row],[measurement.S.4]],InputTable[[#This Row],[measurement.C.4]])</f>
        <v>997.28653331089163</v>
      </c>
      <c r="DA54" s="32">
        <f>SUM(InputTable[[#This Row],[measurement.E.5]],InputTable[[#This Row],[measurement.G.5]],InputTable[[#This Row],[measurement.S.5]],InputTable[[#This Row],[measurement.C.5]])</f>
        <v>1000.65695820512</v>
      </c>
      <c r="DB54" s="32">
        <f>SUM(InputTable[[#This Row],[measurement.E.6]],InputTable[[#This Row],[measurement.G.6]],InputTable[[#This Row],[measurement.S.6]],InputTable[[#This Row],[measurement.C.6]])</f>
        <v>1082.172514827643</v>
      </c>
      <c r="DC54" s="32">
        <f>SUM(InputTable[[#This Row],[measurement.E.7]],InputTable[[#This Row],[measurement.G.7]],InputTable[[#This Row],[measurement.S.7]],InputTable[[#This Row],[measurement.C.7]])</f>
        <v>1123.027567072822</v>
      </c>
      <c r="DD54" s="32">
        <f>SUM(InputTable[[#This Row],[measurement.E.8]],InputTable[[#This Row],[measurement.G.8]],InputTable[[#This Row],[measurement.S.8]],InputTable[[#This Row],[measurement.C.8]])</f>
        <v>1624.4922881376301</v>
      </c>
      <c r="DE54" s="32">
        <f>SUM(InputTable[[#This Row],[measurement.E.9]],InputTable[[#This Row],[measurement.G.9]],InputTable[[#This Row],[measurement.S.9]],InputTable[[#This Row],[measurement.C.9]])</f>
        <v>1571.732758129604</v>
      </c>
      <c r="DF54" s="32">
        <f>SUM(InputTable[[#This Row],[measurement.E.10]],InputTable[[#This Row],[measurement.G.10]],InputTable[[#This Row],[measurement.S.10]],InputTable[[#This Row],[measurement.C.10]])</f>
        <v>1482.554493043104</v>
      </c>
      <c r="DG54" s="32">
        <f>SUM(InputTable[[#This Row],[measurement.E.11]],InputTable[[#This Row],[measurement.G.11]],InputTable[[#This Row],[measurement.S.11]],InputTable[[#This Row],[measurement.C.11]])</f>
        <v>1265.129602850722</v>
      </c>
      <c r="DH54" s="32">
        <f>SUM(InputTable[[#This Row],[measurement.E.12]],InputTable[[#This Row],[measurement.G.12]],InputTable[[#This Row],[measurement.S.12]],InputTable[[#This Row],[measurement.C.12]])</f>
        <v>1071.01859628548</v>
      </c>
    </row>
    <row r="55" spans="1:112" s="32" customFormat="1" ht="30" customHeight="1" x14ac:dyDescent="0.3">
      <c r="A55" s="2" t="s">
        <v>286</v>
      </c>
      <c r="B55" s="3">
        <v>1525</v>
      </c>
      <c r="C55" s="3" t="s">
        <v>171</v>
      </c>
      <c r="D55" s="3" t="s">
        <v>212</v>
      </c>
      <c r="E55" s="4" t="s">
        <v>173</v>
      </c>
      <c r="F55" s="4" t="s">
        <v>174</v>
      </c>
      <c r="G55" s="4"/>
      <c r="H55" s="4" t="s">
        <v>175</v>
      </c>
      <c r="I55" s="5">
        <v>37.337460380000003</v>
      </c>
      <c r="J55" s="5">
        <v>-121.879389</v>
      </c>
      <c r="K55" s="48" t="s">
        <v>176</v>
      </c>
      <c r="L55" s="10"/>
      <c r="M55" s="3"/>
      <c r="N55" s="3" t="s">
        <v>231</v>
      </c>
      <c r="O55" s="4" t="s">
        <v>13</v>
      </c>
      <c r="P55" s="3">
        <v>2023</v>
      </c>
      <c r="Q55" s="59">
        <f>IF(COUNTBLANK(InputTable[[#This Row],[measurement.E.1]:[measurement.C.12]])=4*12,"",SUM(InputTable[[#This Row],[measurement.eui.E]:[measurement.eui.C]]))</f>
        <v>32.115150872687742</v>
      </c>
      <c r="R55" s="33" cm="1">
        <f t="array" ref="R5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5" s="33" cm="1">
        <f t="array" ref="S5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5" s="33" cm="1">
        <f t="array" ref="T5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5" s="33" cm="1">
        <f t="array" ref="U5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5" s="6">
        <v>1040.1226609311959</v>
      </c>
      <c r="W55" s="9">
        <v>1001.243099818638</v>
      </c>
      <c r="X55" s="9">
        <v>1042.165823501902</v>
      </c>
      <c r="Y55" s="9">
        <v>1001.885351316937</v>
      </c>
      <c r="Z55" s="9">
        <v>1005.2713183549459</v>
      </c>
      <c r="AA55" s="9">
        <v>1087.16277016611</v>
      </c>
      <c r="AB55" s="9">
        <v>1128.2062185678869</v>
      </c>
      <c r="AC55" s="9">
        <v>1631.9833592950499</v>
      </c>
      <c r="AD55" s="9">
        <v>1578.9805376466711</v>
      </c>
      <c r="AE55" s="9">
        <v>1489.3910420887571</v>
      </c>
      <c r="AF55" s="9">
        <v>1270.9635338256589</v>
      </c>
      <c r="AG55" s="9">
        <v>1075.9574172169671</v>
      </c>
      <c r="AH55" s="6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6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6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7"/>
      <c r="BS55" s="8"/>
      <c r="BT55" s="8"/>
      <c r="BU55" s="8"/>
      <c r="BX55" s="32" cm="1">
        <f t="array" ref="BX55">IFERROR(_xlfn.QUARTILE.INC(_xlfn._xlws.FILTER($Q$5:$Q$64,$C$5:$C$64=$C55,""),3),"")</f>
        <v>64.112055304293477</v>
      </c>
      <c r="BY55" s="32" cm="1">
        <f t="array" ref="BY55">IFERROR(_xlfn.QUARTILE.INC(_xlfn._xlws.FILTER($Q$5:$Q$64,$C$5:$C$64=$C55,""),2),"")</f>
        <v>39.725763352573587</v>
      </c>
      <c r="BZ55" s="32" cm="1">
        <f t="array" ref="BZ55">IFERROR(_xlfn.QUARTILE.INC(_xlfn._xlws.FILTER($Q$5:$Q$64,$C$5:$C$64=$C55,""),1),"")</f>
        <v>32.115150872687749</v>
      </c>
      <c r="CA55" s="32">
        <f t="shared" si="10"/>
        <v>31.996904431605728</v>
      </c>
      <c r="CB55" s="32">
        <f t="shared" si="11"/>
        <v>112.10741195170206</v>
      </c>
      <c r="CC55" s="32">
        <f t="shared" si="12"/>
        <v>-15.880205774720842</v>
      </c>
      <c r="CD55" s="32">
        <f t="shared" si="13"/>
        <v>0</v>
      </c>
      <c r="CE55" s="32">
        <f t="shared" si="14"/>
        <v>0</v>
      </c>
      <c r="CF55" s="32">
        <f t="shared" si="15"/>
        <v>0</v>
      </c>
      <c r="CG55" s="32">
        <f t="shared" si="16"/>
        <v>0</v>
      </c>
      <c r="CO5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5" s="32">
        <f>IF(AND(InputTable[[#This Row],[metadata.primary_cooling_system]]="District Cooling",InputTable[[#This Row],[measurement.eui.C]]&gt;=InputTable[[#This Row],[measurement.eui.total]]*0.6),1,0)*$CQ$2</f>
        <v>0</v>
      </c>
      <c r="CR55" s="32">
        <f>IF(AND(InputTable[[#This Row],[metadata.primary_cooling_system]]="District Cooling",InputTable[[#This Row],[measurement.eui.C]]&lt;=InputTable[[#This Row],[measurement.eui.total]]*0.1),1,0)*$CR$2</f>
        <v>0</v>
      </c>
      <c r="CS55" s="32">
        <f t="shared" si="17"/>
        <v>0.8</v>
      </c>
      <c r="CU55" s="32">
        <f t="shared" si="18"/>
        <v>0</v>
      </c>
      <c r="CV55" s="32">
        <f t="shared" si="19"/>
        <v>0</v>
      </c>
      <c r="CW55" s="32">
        <f>SUM(InputTable[[#This Row],[measurement.E.1]],InputTable[[#This Row],[measurement.G.1]],InputTable[[#This Row],[measurement.S.1]],InputTable[[#This Row],[measurement.C.1]])</f>
        <v>1040.1226609311959</v>
      </c>
      <c r="CX55" s="32">
        <f>SUM(InputTable[[#This Row],[measurement.E.2]],InputTable[[#This Row],[measurement.G.2]],InputTable[[#This Row],[measurement.S.2]],InputTable[[#This Row],[measurement.C.2]])</f>
        <v>1001.243099818638</v>
      </c>
      <c r="CY55" s="32">
        <f>SUM(InputTable[[#This Row],[measurement.E.3]],InputTable[[#This Row],[measurement.G.3]],InputTable[[#This Row],[measurement.S.3]],InputTable[[#This Row],[measurement.C.3]])</f>
        <v>1042.165823501902</v>
      </c>
      <c r="CZ55" s="32">
        <f>SUM(InputTable[[#This Row],[measurement.E.4]],InputTable[[#This Row],[measurement.G.4]],InputTable[[#This Row],[measurement.S.4]],InputTable[[#This Row],[measurement.C.4]])</f>
        <v>1001.885351316937</v>
      </c>
      <c r="DA55" s="32">
        <f>SUM(InputTable[[#This Row],[measurement.E.5]],InputTable[[#This Row],[measurement.G.5]],InputTable[[#This Row],[measurement.S.5]],InputTable[[#This Row],[measurement.C.5]])</f>
        <v>1005.2713183549459</v>
      </c>
      <c r="DB55" s="32">
        <f>SUM(InputTable[[#This Row],[measurement.E.6]],InputTable[[#This Row],[measurement.G.6]],InputTable[[#This Row],[measurement.S.6]],InputTable[[#This Row],[measurement.C.6]])</f>
        <v>1087.16277016611</v>
      </c>
      <c r="DC55" s="32">
        <f>SUM(InputTable[[#This Row],[measurement.E.7]],InputTable[[#This Row],[measurement.G.7]],InputTable[[#This Row],[measurement.S.7]],InputTable[[#This Row],[measurement.C.7]])</f>
        <v>1128.2062185678869</v>
      </c>
      <c r="DD55" s="32">
        <f>SUM(InputTable[[#This Row],[measurement.E.8]],InputTable[[#This Row],[measurement.G.8]],InputTable[[#This Row],[measurement.S.8]],InputTable[[#This Row],[measurement.C.8]])</f>
        <v>1631.9833592950499</v>
      </c>
      <c r="DE55" s="32">
        <f>SUM(InputTable[[#This Row],[measurement.E.9]],InputTable[[#This Row],[measurement.G.9]],InputTable[[#This Row],[measurement.S.9]],InputTable[[#This Row],[measurement.C.9]])</f>
        <v>1578.9805376466711</v>
      </c>
      <c r="DF55" s="32">
        <f>SUM(InputTable[[#This Row],[measurement.E.10]],InputTable[[#This Row],[measurement.G.10]],InputTable[[#This Row],[measurement.S.10]],InputTable[[#This Row],[measurement.C.10]])</f>
        <v>1489.3910420887571</v>
      </c>
      <c r="DG55" s="32">
        <f>SUM(InputTable[[#This Row],[measurement.E.11]],InputTable[[#This Row],[measurement.G.11]],InputTable[[#This Row],[measurement.S.11]],InputTable[[#This Row],[measurement.C.11]])</f>
        <v>1270.9635338256589</v>
      </c>
      <c r="DH55" s="32">
        <f>SUM(InputTable[[#This Row],[measurement.E.12]],InputTable[[#This Row],[measurement.G.12]],InputTable[[#This Row],[measurement.S.12]],InputTable[[#This Row],[measurement.C.12]])</f>
        <v>1075.9574172169671</v>
      </c>
    </row>
    <row r="56" spans="1:112" s="32" customFormat="1" ht="30" customHeight="1" x14ac:dyDescent="0.3">
      <c r="A56" s="2" t="s">
        <v>259</v>
      </c>
      <c r="B56" s="3">
        <v>1440</v>
      </c>
      <c r="C56" s="3" t="s">
        <v>171</v>
      </c>
      <c r="D56" s="3" t="s">
        <v>212</v>
      </c>
      <c r="E56" s="4" t="s">
        <v>173</v>
      </c>
      <c r="F56" s="4" t="s">
        <v>174</v>
      </c>
      <c r="G56" s="4"/>
      <c r="H56" s="4" t="s">
        <v>175</v>
      </c>
      <c r="I56" s="5">
        <v>37.320737350000002</v>
      </c>
      <c r="J56" s="5">
        <v>-121.8683399</v>
      </c>
      <c r="K56" s="48" t="s">
        <v>176</v>
      </c>
      <c r="L56" s="10"/>
      <c r="M56" s="3"/>
      <c r="N56" s="3" t="s">
        <v>231</v>
      </c>
      <c r="O56" s="4" t="s">
        <v>13</v>
      </c>
      <c r="P56" s="3">
        <v>2023</v>
      </c>
      <c r="Q56" s="59">
        <f>IF(COUNTBLANK(InputTable[[#This Row],[measurement.E.1]:[measurement.C.12]])=4*12,"",SUM(InputTable[[#This Row],[measurement.eui.E]:[measurement.eui.C]]))</f>
        <v>32.115150872687742</v>
      </c>
      <c r="R56" s="33" cm="1">
        <f t="array" ref="R5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6" s="33" cm="1">
        <f t="array" ref="S5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6" s="33" cm="1">
        <f t="array" ref="T5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6" s="33" cm="1">
        <f t="array" ref="U5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6" s="6">
        <v>982.14861097765413</v>
      </c>
      <c r="W56" s="9">
        <v>945.43610736972994</v>
      </c>
      <c r="X56" s="9">
        <v>984.07789235589428</v>
      </c>
      <c r="Y56" s="9">
        <v>946.04256124353356</v>
      </c>
      <c r="Z56" s="9">
        <v>949.23980224991624</v>
      </c>
      <c r="AA56" s="9">
        <v>1026.56681248472</v>
      </c>
      <c r="AB56" s="9">
        <v>1065.3225932706609</v>
      </c>
      <c r="AC56" s="9">
        <v>1541.020352383523</v>
      </c>
      <c r="AD56" s="9">
        <v>1490.9717863680039</v>
      </c>
      <c r="AE56" s="9">
        <v>1406.3758036772531</v>
      </c>
      <c r="AF56" s="9">
        <v>1200.122943415704</v>
      </c>
      <c r="AG56" s="9">
        <v>1015.9860201917591</v>
      </c>
      <c r="AH56" s="6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6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6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7"/>
      <c r="BS56" s="8"/>
      <c r="BT56" s="8"/>
      <c r="BU56" s="8"/>
      <c r="BX56" s="32" cm="1">
        <f t="array" ref="BX56">IFERROR(_xlfn.QUARTILE.INC(_xlfn._xlws.FILTER($Q$5:$Q$64,$C$5:$C$64=$C56,""),3),"")</f>
        <v>64.112055304293477</v>
      </c>
      <c r="BY56" s="32" cm="1">
        <f t="array" ref="BY56">IFERROR(_xlfn.QUARTILE.INC(_xlfn._xlws.FILTER($Q$5:$Q$64,$C$5:$C$64=$C56,""),2),"")</f>
        <v>39.725763352573587</v>
      </c>
      <c r="BZ56" s="32" cm="1">
        <f t="array" ref="BZ56">IFERROR(_xlfn.QUARTILE.INC(_xlfn._xlws.FILTER($Q$5:$Q$64,$C$5:$C$64=$C56,""),1),"")</f>
        <v>32.115150872687749</v>
      </c>
      <c r="CA56" s="32">
        <f t="shared" si="10"/>
        <v>31.996904431605728</v>
      </c>
      <c r="CB56" s="32">
        <f t="shared" si="11"/>
        <v>112.10741195170206</v>
      </c>
      <c r="CC56" s="32">
        <f t="shared" si="12"/>
        <v>-15.880205774720842</v>
      </c>
      <c r="CD56" s="32">
        <f t="shared" si="13"/>
        <v>0</v>
      </c>
      <c r="CE56" s="32">
        <f t="shared" si="14"/>
        <v>0</v>
      </c>
      <c r="CF56" s="32">
        <f t="shared" si="15"/>
        <v>0</v>
      </c>
      <c r="CG56" s="32">
        <f t="shared" si="16"/>
        <v>0</v>
      </c>
      <c r="CO5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6" s="32">
        <f>IF(AND(InputTable[[#This Row],[metadata.primary_cooling_system]]="District Cooling",InputTable[[#This Row],[measurement.eui.C]]&gt;=InputTable[[#This Row],[measurement.eui.total]]*0.6),1,0)*$CQ$2</f>
        <v>0</v>
      </c>
      <c r="CR56" s="32">
        <f>IF(AND(InputTable[[#This Row],[metadata.primary_cooling_system]]="District Cooling",InputTable[[#This Row],[measurement.eui.C]]&lt;=InputTable[[#This Row],[measurement.eui.total]]*0.1),1,0)*$CR$2</f>
        <v>0</v>
      </c>
      <c r="CS56" s="32">
        <f t="shared" si="17"/>
        <v>0.8</v>
      </c>
      <c r="CU56" s="32">
        <f t="shared" si="18"/>
        <v>0</v>
      </c>
      <c r="CV56" s="32">
        <f t="shared" si="19"/>
        <v>0</v>
      </c>
      <c r="CW56" s="32">
        <f>SUM(InputTable[[#This Row],[measurement.E.1]],InputTable[[#This Row],[measurement.G.1]],InputTable[[#This Row],[measurement.S.1]],InputTable[[#This Row],[measurement.C.1]])</f>
        <v>982.14861097765413</v>
      </c>
      <c r="CX56" s="32">
        <f>SUM(InputTable[[#This Row],[measurement.E.2]],InputTable[[#This Row],[measurement.G.2]],InputTable[[#This Row],[measurement.S.2]],InputTable[[#This Row],[measurement.C.2]])</f>
        <v>945.43610736972994</v>
      </c>
      <c r="CY56" s="32">
        <f>SUM(InputTable[[#This Row],[measurement.E.3]],InputTable[[#This Row],[measurement.G.3]],InputTable[[#This Row],[measurement.S.3]],InputTable[[#This Row],[measurement.C.3]])</f>
        <v>984.07789235589428</v>
      </c>
      <c r="CZ56" s="32">
        <f>SUM(InputTable[[#This Row],[measurement.E.4]],InputTable[[#This Row],[measurement.G.4]],InputTable[[#This Row],[measurement.S.4]],InputTable[[#This Row],[measurement.C.4]])</f>
        <v>946.04256124353356</v>
      </c>
      <c r="DA56" s="32">
        <f>SUM(InputTable[[#This Row],[measurement.E.5]],InputTable[[#This Row],[measurement.G.5]],InputTable[[#This Row],[measurement.S.5]],InputTable[[#This Row],[measurement.C.5]])</f>
        <v>949.23980224991624</v>
      </c>
      <c r="DB56" s="32">
        <f>SUM(InputTable[[#This Row],[measurement.E.6]],InputTable[[#This Row],[measurement.G.6]],InputTable[[#This Row],[measurement.S.6]],InputTable[[#This Row],[measurement.C.6]])</f>
        <v>1026.56681248472</v>
      </c>
      <c r="DC56" s="32">
        <f>SUM(InputTable[[#This Row],[measurement.E.7]],InputTable[[#This Row],[measurement.G.7]],InputTable[[#This Row],[measurement.S.7]],InputTable[[#This Row],[measurement.C.7]])</f>
        <v>1065.3225932706609</v>
      </c>
      <c r="DD56" s="32">
        <f>SUM(InputTable[[#This Row],[measurement.E.8]],InputTable[[#This Row],[measurement.G.8]],InputTable[[#This Row],[measurement.S.8]],InputTable[[#This Row],[measurement.C.8]])</f>
        <v>1541.020352383523</v>
      </c>
      <c r="DE56" s="32">
        <f>SUM(InputTable[[#This Row],[measurement.E.9]],InputTable[[#This Row],[measurement.G.9]],InputTable[[#This Row],[measurement.S.9]],InputTable[[#This Row],[measurement.C.9]])</f>
        <v>1490.9717863680039</v>
      </c>
      <c r="DF56" s="32">
        <f>SUM(InputTable[[#This Row],[measurement.E.10]],InputTable[[#This Row],[measurement.G.10]],InputTable[[#This Row],[measurement.S.10]],InputTable[[#This Row],[measurement.C.10]])</f>
        <v>1406.3758036772531</v>
      </c>
      <c r="DG56" s="32">
        <f>SUM(InputTable[[#This Row],[measurement.E.11]],InputTable[[#This Row],[measurement.G.11]],InputTable[[#This Row],[measurement.S.11]],InputTable[[#This Row],[measurement.C.11]])</f>
        <v>1200.122943415704</v>
      </c>
      <c r="DH56" s="32">
        <f>SUM(InputTable[[#This Row],[measurement.E.12]],InputTable[[#This Row],[measurement.G.12]],InputTable[[#This Row],[measurement.S.12]],InputTable[[#This Row],[measurement.C.12]])</f>
        <v>1015.9860201917591</v>
      </c>
    </row>
    <row r="57" spans="1:112" s="32" customFormat="1" ht="30" customHeight="1" x14ac:dyDescent="0.3">
      <c r="A57" s="2" t="s">
        <v>260</v>
      </c>
      <c r="B57" s="3">
        <v>8545</v>
      </c>
      <c r="C57" s="3" t="s">
        <v>215</v>
      </c>
      <c r="D57" s="3" t="s">
        <v>172</v>
      </c>
      <c r="E57" s="4" t="s">
        <v>173</v>
      </c>
      <c r="F57" s="4" t="s">
        <v>174</v>
      </c>
      <c r="G57" s="4"/>
      <c r="H57" s="4" t="s">
        <v>175</v>
      </c>
      <c r="I57" s="5">
        <v>37.335302730000002</v>
      </c>
      <c r="J57" s="5">
        <v>-121.8831399</v>
      </c>
      <c r="K57" s="48" t="s">
        <v>176</v>
      </c>
      <c r="L57" s="10"/>
      <c r="M57" s="3"/>
      <c r="N57" s="3" t="s">
        <v>15</v>
      </c>
      <c r="O57" s="4" t="s">
        <v>13</v>
      </c>
      <c r="P57" s="3">
        <v>2023</v>
      </c>
      <c r="Q57" s="59">
        <f>IF(COUNTBLANK(InputTable[[#This Row],[measurement.E.1]:[measurement.C.12]])=4*12,"",SUM(InputTable[[#This Row],[measurement.eui.E]:[measurement.eui.C]]))</f>
        <v>72.513506540327469</v>
      </c>
      <c r="R57" s="33" cm="1">
        <f t="array" ref="R5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57" s="33" cm="1">
        <f t="array" ref="S5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7" s="33" cm="1">
        <f t="array" ref="T5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4.3700503970578977</v>
      </c>
      <c r="U57" s="33" cm="1">
        <f t="array" ref="U5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7" s="6">
        <v>11778.602598244939</v>
      </c>
      <c r="W57" s="9">
        <v>10915.190993958249</v>
      </c>
      <c r="X57" s="9">
        <v>13095.692174830259</v>
      </c>
      <c r="Y57" s="9">
        <v>14364.531275726989</v>
      </c>
      <c r="Z57" s="9">
        <v>16006.471858190171</v>
      </c>
      <c r="AA57" s="9">
        <v>14172.75365331198</v>
      </c>
      <c r="AB57" s="9">
        <v>15606.916017298199</v>
      </c>
      <c r="AC57" s="9">
        <v>16009.23938255286</v>
      </c>
      <c r="AD57" s="9">
        <v>14796.67236306658</v>
      </c>
      <c r="AE57" s="9">
        <v>15720.31465119218</v>
      </c>
      <c r="AF57" s="9">
        <v>14326.642928104289</v>
      </c>
      <c r="AG57" s="9">
        <v>13858.105908825681</v>
      </c>
      <c r="AH57" s="6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6">
        <v>93.541021233707895</v>
      </c>
      <c r="AU57" s="9">
        <v>68.122654797134061</v>
      </c>
      <c r="AV57" s="9">
        <v>34.497601054563042</v>
      </c>
      <c r="AW57" s="9">
        <v>15.56186917119995</v>
      </c>
      <c r="AX57" s="9">
        <v>3.6113924970870821</v>
      </c>
      <c r="AY57" s="9">
        <v>0.79805450329719096</v>
      </c>
      <c r="AZ57" s="9">
        <v>18.08039213566402</v>
      </c>
      <c r="BA57" s="9">
        <v>9.6870351053299526</v>
      </c>
      <c r="BB57" s="9">
        <v>5.9987791437573632</v>
      </c>
      <c r="BC57" s="9">
        <v>11.78219832762538</v>
      </c>
      <c r="BD57" s="9">
        <v>39.71838360050279</v>
      </c>
      <c r="BE57" s="9">
        <v>72.021424858728594</v>
      </c>
      <c r="BF57" s="6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7"/>
      <c r="BS57" s="8"/>
      <c r="BT57" s="8"/>
      <c r="BU57" s="8"/>
      <c r="BX57" s="32" cm="1">
        <f t="array" ref="BX57">IFERROR(_xlfn.QUARTILE.INC(_xlfn._xlws.FILTER($Q$5:$Q$64,$C$5:$C$64=$C57,""),3),"")</f>
        <v>76.058783809279603</v>
      </c>
      <c r="BY57" s="32" cm="1">
        <f t="array" ref="BY57">IFERROR(_xlfn.QUARTILE.INC(_xlfn._xlws.FILTER($Q$5:$Q$64,$C$5:$C$64=$C57,""),2),"")</f>
        <v>72.513506540327469</v>
      </c>
      <c r="BZ57" s="32" cm="1">
        <f t="array" ref="BZ57">IFERROR(_xlfn.QUARTILE.INC(_xlfn._xlws.FILTER($Q$5:$Q$64,$C$5:$C$64=$C57,""),1),"")</f>
        <v>71.420993941063003</v>
      </c>
      <c r="CA57" s="32">
        <f t="shared" si="10"/>
        <v>4.6377898682166006</v>
      </c>
      <c r="CB57" s="32">
        <f t="shared" si="11"/>
        <v>83.015468611604504</v>
      </c>
      <c r="CC57" s="32">
        <f t="shared" si="12"/>
        <v>64.464309138738102</v>
      </c>
      <c r="CD57" s="32">
        <f t="shared" si="13"/>
        <v>0</v>
      </c>
      <c r="CE57" s="32">
        <f t="shared" si="14"/>
        <v>0</v>
      </c>
      <c r="CF57" s="32">
        <f t="shared" si="15"/>
        <v>0</v>
      </c>
      <c r="CG57" s="32">
        <f t="shared" si="16"/>
        <v>0</v>
      </c>
      <c r="CO5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57" s="32">
        <f>IF(AND(InputTable[[#This Row],[metadata.primary_cooling_system]]="District Cooling",InputTable[[#This Row],[measurement.eui.C]]&gt;=InputTable[[#This Row],[measurement.eui.total]]*0.6),1,0)*$CQ$2</f>
        <v>0</v>
      </c>
      <c r="CR57" s="32">
        <f>IF(AND(InputTable[[#This Row],[metadata.primary_cooling_system]]="District Cooling",InputTable[[#This Row],[measurement.eui.C]]&lt;=InputTable[[#This Row],[measurement.eui.total]]*0.1),1,0)*$CR$2</f>
        <v>0</v>
      </c>
      <c r="CS57" s="32">
        <f t="shared" si="17"/>
        <v>0.5</v>
      </c>
      <c r="CU57" s="32">
        <f t="shared" si="18"/>
        <v>65.519720883960943</v>
      </c>
      <c r="CV57" s="32">
        <f t="shared" si="19"/>
        <v>307.90108554463637</v>
      </c>
      <c r="CW57" s="32">
        <f>SUM(InputTable[[#This Row],[measurement.E.1]],InputTable[[#This Row],[measurement.G.1]],InputTable[[#This Row],[measurement.S.1]],InputTable[[#This Row],[measurement.C.1]])</f>
        <v>11872.143619478647</v>
      </c>
      <c r="CX57" s="32">
        <f>SUM(InputTable[[#This Row],[measurement.E.2]],InputTable[[#This Row],[measurement.G.2]],InputTable[[#This Row],[measurement.S.2]],InputTable[[#This Row],[measurement.C.2]])</f>
        <v>10983.313648755384</v>
      </c>
      <c r="CY57" s="32">
        <f>SUM(InputTable[[#This Row],[measurement.E.3]],InputTable[[#This Row],[measurement.G.3]],InputTable[[#This Row],[measurement.S.3]],InputTable[[#This Row],[measurement.C.3]])</f>
        <v>13130.189775884823</v>
      </c>
      <c r="CZ57" s="32">
        <f>SUM(InputTable[[#This Row],[measurement.E.4]],InputTable[[#This Row],[measurement.G.4]],InputTable[[#This Row],[measurement.S.4]],InputTable[[#This Row],[measurement.C.4]])</f>
        <v>14380.09314489819</v>
      </c>
      <c r="DA57" s="32">
        <f>SUM(InputTable[[#This Row],[measurement.E.5]],InputTable[[#This Row],[measurement.G.5]],InputTable[[#This Row],[measurement.S.5]],InputTable[[#This Row],[measurement.C.5]])</f>
        <v>16010.083250687258</v>
      </c>
      <c r="DB57" s="32">
        <f>SUM(InputTable[[#This Row],[measurement.E.6]],InputTable[[#This Row],[measurement.G.6]],InputTable[[#This Row],[measurement.S.6]],InputTable[[#This Row],[measurement.C.6]])</f>
        <v>14173.551707815277</v>
      </c>
      <c r="DC57" s="32">
        <f>SUM(InputTable[[#This Row],[measurement.E.7]],InputTable[[#This Row],[measurement.G.7]],InputTable[[#This Row],[measurement.S.7]],InputTable[[#This Row],[measurement.C.7]])</f>
        <v>15624.996409433863</v>
      </c>
      <c r="DD57" s="32">
        <f>SUM(InputTable[[#This Row],[measurement.E.8]],InputTable[[#This Row],[measurement.G.8]],InputTable[[#This Row],[measurement.S.8]],InputTable[[#This Row],[measurement.C.8]])</f>
        <v>16018.926417658189</v>
      </c>
      <c r="DE57" s="32">
        <f>SUM(InputTable[[#This Row],[measurement.E.9]],InputTable[[#This Row],[measurement.G.9]],InputTable[[#This Row],[measurement.S.9]],InputTable[[#This Row],[measurement.C.9]])</f>
        <v>14802.671142210338</v>
      </c>
      <c r="DF57" s="32">
        <f>SUM(InputTable[[#This Row],[measurement.E.10]],InputTable[[#This Row],[measurement.G.10]],InputTable[[#This Row],[measurement.S.10]],InputTable[[#This Row],[measurement.C.10]])</f>
        <v>15732.096849519807</v>
      </c>
      <c r="DG57" s="32">
        <f>SUM(InputTable[[#This Row],[measurement.E.11]],InputTable[[#This Row],[measurement.G.11]],InputTable[[#This Row],[measurement.S.11]],InputTable[[#This Row],[measurement.C.11]])</f>
        <v>14366.361311704792</v>
      </c>
      <c r="DH57" s="32">
        <f>SUM(InputTable[[#This Row],[measurement.E.12]],InputTable[[#This Row],[measurement.G.12]],InputTable[[#This Row],[measurement.S.12]],InputTable[[#This Row],[measurement.C.12]])</f>
        <v>13930.12733368441</v>
      </c>
    </row>
    <row r="58" spans="1:112" s="32" customFormat="1" ht="30" customHeight="1" x14ac:dyDescent="0.3">
      <c r="A58" s="2" t="s">
        <v>261</v>
      </c>
      <c r="B58" s="3">
        <v>4350</v>
      </c>
      <c r="C58" s="3" t="s">
        <v>190</v>
      </c>
      <c r="D58" s="3" t="s">
        <v>261</v>
      </c>
      <c r="E58" s="4" t="s">
        <v>173</v>
      </c>
      <c r="F58" s="4" t="s">
        <v>174</v>
      </c>
      <c r="G58" s="4"/>
      <c r="H58" s="4" t="s">
        <v>175</v>
      </c>
      <c r="I58" s="5">
        <v>37.33229515</v>
      </c>
      <c r="J58" s="5">
        <v>-121.9306799</v>
      </c>
      <c r="K58" s="48" t="s">
        <v>191</v>
      </c>
      <c r="L58" s="10"/>
      <c r="M58" s="3"/>
      <c r="N58" s="3" t="s">
        <v>182</v>
      </c>
      <c r="O58" s="4" t="s">
        <v>13</v>
      </c>
      <c r="P58" s="3">
        <v>2023</v>
      </c>
      <c r="Q58" s="59">
        <f>IF(COUNTBLANK(InputTable[[#This Row],[measurement.E.1]:[measurement.C.12]])=4*12,"",SUM(InputTable[[#This Row],[measurement.eui.E]:[measurement.eui.C]]))</f>
        <v>48.534960352017755</v>
      </c>
      <c r="R58" s="33" cm="1">
        <f t="array" ref="R5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15.090252611101592</v>
      </c>
      <c r="S58" s="33" cm="1">
        <f t="array" ref="S5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58" s="33" cm="1">
        <f t="array" ref="T5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8" s="33" cm="1">
        <f t="array" ref="U5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8" s="6">
        <v>1455.196414042771</v>
      </c>
      <c r="W58" s="9">
        <v>1477.8229562171771</v>
      </c>
      <c r="X58" s="9">
        <v>1661.533056393813</v>
      </c>
      <c r="Y58" s="9">
        <v>1654.808310666212</v>
      </c>
      <c r="Z58" s="9">
        <v>1612.431077546498</v>
      </c>
      <c r="AA58" s="9">
        <v>1485.544527081076</v>
      </c>
      <c r="AB58" s="9">
        <v>1597.2170499728211</v>
      </c>
      <c r="AC58" s="9">
        <v>1797.2905193082081</v>
      </c>
      <c r="AD58" s="9">
        <v>1805.4369062536371</v>
      </c>
      <c r="AE58" s="9">
        <v>1774.506030216816</v>
      </c>
      <c r="AF58" s="9">
        <v>1560.217401239503</v>
      </c>
      <c r="AG58" s="9">
        <v>1355.942634125149</v>
      </c>
      <c r="AH58" s="6">
        <v>162.96151200122071</v>
      </c>
      <c r="AI58" s="9">
        <v>178.48141848851009</v>
      </c>
      <c r="AJ58" s="9">
        <v>165.677624251308</v>
      </c>
      <c r="AK58" s="9">
        <v>129.50396392009529</v>
      </c>
      <c r="AL58" s="9">
        <v>106.5176614336502</v>
      </c>
      <c r="AM58" s="9">
        <v>81.025760587066287</v>
      </c>
      <c r="AN58" s="9">
        <v>68.809050603882156</v>
      </c>
      <c r="AO58" s="9">
        <v>70.207842837486325</v>
      </c>
      <c r="AP58" s="9">
        <v>97.411137440757429</v>
      </c>
      <c r="AQ58" s="9">
        <v>113.8710518782401</v>
      </c>
      <c r="AR58" s="9">
        <v>136.05831671983179</v>
      </c>
      <c r="AS58" s="9">
        <v>144.31944656780479</v>
      </c>
      <c r="AT58" s="6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6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7"/>
      <c r="BS58" s="8"/>
      <c r="BT58" s="8"/>
      <c r="BU58" s="8"/>
      <c r="BX58" s="32" cm="1">
        <f t="array" ref="BX58">IFERROR(_xlfn.QUARTILE.INC(_xlfn._xlws.FILTER($Q$5:$Q$64,$C$5:$C$64=$C58,""),3),"")</f>
        <v>57.783535949070853</v>
      </c>
      <c r="BY58" s="32" cm="1">
        <f t="array" ref="BY58">IFERROR(_xlfn.QUARTILE.INC(_xlfn._xlws.FILTER($Q$5:$Q$64,$C$5:$C$64=$C58,""),2),"")</f>
        <v>50.214307152072422</v>
      </c>
      <c r="BZ58" s="32" cm="1">
        <f t="array" ref="BZ58">IFERROR(_xlfn.QUARTILE.INC(_xlfn._xlws.FILTER($Q$5:$Q$64,$C$5:$C$64=$C58,""),1),"")</f>
        <v>48.922252420624055</v>
      </c>
      <c r="CA58" s="32">
        <f t="shared" si="10"/>
        <v>8.8612835284467977</v>
      </c>
      <c r="CB58" s="32">
        <f t="shared" si="11"/>
        <v>71.075461241741053</v>
      </c>
      <c r="CC58" s="32">
        <f t="shared" si="12"/>
        <v>35.630327127953862</v>
      </c>
      <c r="CD58" s="32">
        <f t="shared" si="13"/>
        <v>0</v>
      </c>
      <c r="CE58" s="32">
        <f t="shared" si="14"/>
        <v>0</v>
      </c>
      <c r="CF58" s="32">
        <f t="shared" si="15"/>
        <v>0.5</v>
      </c>
      <c r="CG58" s="32">
        <f t="shared" si="16"/>
        <v>0</v>
      </c>
      <c r="CO5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8" s="32">
        <f>IF(AND(InputTable[[#This Row],[metadata.primary_cooling_system]]="District Cooling",InputTable[[#This Row],[measurement.eui.C]]&gt;=InputTable[[#This Row],[measurement.eui.total]]*0.6),1,0)*$CQ$2</f>
        <v>0</v>
      </c>
      <c r="CR58" s="32">
        <f>IF(AND(InputTable[[#This Row],[metadata.primary_cooling_system]]="District Cooling",InputTable[[#This Row],[measurement.eui.C]]&lt;=InputTable[[#This Row],[measurement.eui.total]]*0.1),1,0)*$CR$2</f>
        <v>0</v>
      </c>
      <c r="CS58" s="32">
        <f t="shared" si="17"/>
        <v>1.3</v>
      </c>
      <c r="CU58" s="32">
        <f t="shared" si="18"/>
        <v>0</v>
      </c>
      <c r="CV58" s="32">
        <f t="shared" si="19"/>
        <v>0</v>
      </c>
      <c r="CW58" s="32">
        <f>SUM(InputTable[[#This Row],[measurement.E.1]],InputTable[[#This Row],[measurement.G.1]],InputTable[[#This Row],[measurement.S.1]],InputTable[[#This Row],[measurement.C.1]])</f>
        <v>1618.1579260439917</v>
      </c>
      <c r="CX58" s="32">
        <f>SUM(InputTable[[#This Row],[measurement.E.2]],InputTable[[#This Row],[measurement.G.2]],InputTable[[#This Row],[measurement.S.2]],InputTable[[#This Row],[measurement.C.2]])</f>
        <v>1656.3043747056872</v>
      </c>
      <c r="CY58" s="32">
        <f>SUM(InputTable[[#This Row],[measurement.E.3]],InputTable[[#This Row],[measurement.G.3]],InputTable[[#This Row],[measurement.S.3]],InputTable[[#This Row],[measurement.C.3]])</f>
        <v>1827.2106806451211</v>
      </c>
      <c r="CZ58" s="32">
        <f>SUM(InputTable[[#This Row],[measurement.E.4]],InputTable[[#This Row],[measurement.G.4]],InputTable[[#This Row],[measurement.S.4]],InputTable[[#This Row],[measurement.C.4]])</f>
        <v>1784.3122745863072</v>
      </c>
      <c r="DA58" s="32">
        <f>SUM(InputTable[[#This Row],[measurement.E.5]],InputTable[[#This Row],[measurement.G.5]],InputTable[[#This Row],[measurement.S.5]],InputTable[[#This Row],[measurement.C.5]])</f>
        <v>1718.9487389801482</v>
      </c>
      <c r="DB58" s="32">
        <f>SUM(InputTable[[#This Row],[measurement.E.6]],InputTable[[#This Row],[measurement.G.6]],InputTable[[#This Row],[measurement.S.6]],InputTable[[#This Row],[measurement.C.6]])</f>
        <v>1566.5702876681423</v>
      </c>
      <c r="DC58" s="32">
        <f>SUM(InputTable[[#This Row],[measurement.E.7]],InputTable[[#This Row],[measurement.G.7]],InputTable[[#This Row],[measurement.S.7]],InputTable[[#This Row],[measurement.C.7]])</f>
        <v>1666.0261005767034</v>
      </c>
      <c r="DD58" s="32">
        <f>SUM(InputTable[[#This Row],[measurement.E.8]],InputTable[[#This Row],[measurement.G.8]],InputTable[[#This Row],[measurement.S.8]],InputTable[[#This Row],[measurement.C.8]])</f>
        <v>1867.4983621456945</v>
      </c>
      <c r="DE58" s="32">
        <f>SUM(InputTable[[#This Row],[measurement.E.9]],InputTable[[#This Row],[measurement.G.9]],InputTable[[#This Row],[measurement.S.9]],InputTable[[#This Row],[measurement.C.9]])</f>
        <v>1902.8480436943944</v>
      </c>
      <c r="DF58" s="32">
        <f>SUM(InputTable[[#This Row],[measurement.E.10]],InputTable[[#This Row],[measurement.G.10]],InputTable[[#This Row],[measurement.S.10]],InputTable[[#This Row],[measurement.C.10]])</f>
        <v>1888.377082095056</v>
      </c>
      <c r="DG58" s="32">
        <f>SUM(InputTable[[#This Row],[measurement.E.11]],InputTable[[#This Row],[measurement.G.11]],InputTable[[#This Row],[measurement.S.11]],InputTable[[#This Row],[measurement.C.11]])</f>
        <v>1696.2757179593348</v>
      </c>
      <c r="DH58" s="32">
        <f>SUM(InputTable[[#This Row],[measurement.E.12]],InputTable[[#This Row],[measurement.G.12]],InputTable[[#This Row],[measurement.S.12]],InputTable[[#This Row],[measurement.C.12]])</f>
        <v>1500.2620806929538</v>
      </c>
    </row>
    <row r="59" spans="1:112" s="32" customFormat="1" ht="30" customHeight="1" x14ac:dyDescent="0.3">
      <c r="A59" s="2" t="s">
        <v>262</v>
      </c>
      <c r="B59" s="3">
        <v>6540</v>
      </c>
      <c r="C59" s="3" t="s">
        <v>171</v>
      </c>
      <c r="D59" s="3" t="s">
        <v>212</v>
      </c>
      <c r="E59" s="4" t="s">
        <v>173</v>
      </c>
      <c r="F59" s="4" t="s">
        <v>174</v>
      </c>
      <c r="G59" s="4"/>
      <c r="H59" s="4" t="s">
        <v>175</v>
      </c>
      <c r="I59" s="5">
        <v>37.322239209999999</v>
      </c>
      <c r="J59" s="5">
        <v>-121.8676938</v>
      </c>
      <c r="K59" s="48" t="s">
        <v>176</v>
      </c>
      <c r="L59" s="10"/>
      <c r="M59" s="3"/>
      <c r="N59" s="3" t="s">
        <v>231</v>
      </c>
      <c r="O59" s="4" t="s">
        <v>13</v>
      </c>
      <c r="P59" s="3">
        <v>2023</v>
      </c>
      <c r="Q59" s="59">
        <f>IF(COUNTBLANK(InputTable[[#This Row],[measurement.E.1]:[measurement.C.12]])=4*12,"",SUM(InputTable[[#This Row],[measurement.eui.E]:[measurement.eui.C]]))</f>
        <v>32.115150872687749</v>
      </c>
      <c r="R59" s="33" cm="1">
        <f t="array" ref="R5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9" s="33" cm="1">
        <f t="array" ref="S5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9" s="33" cm="1">
        <f t="array" ref="T5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9" s="33" cm="1">
        <f t="array" ref="U5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9" s="6">
        <v>4460.5916081901787</v>
      </c>
      <c r="W59" s="9">
        <v>4293.8556543041896</v>
      </c>
      <c r="X59" s="9">
        <v>4469.3537611163529</v>
      </c>
      <c r="Y59" s="9">
        <v>4296.6099656477136</v>
      </c>
      <c r="Z59" s="9">
        <v>4311.1307685517031</v>
      </c>
      <c r="AA59" s="9">
        <v>4662.3242733681054</v>
      </c>
      <c r="AB59" s="9">
        <v>4838.3401111042504</v>
      </c>
      <c r="AC59" s="9">
        <v>6998.8007670751649</v>
      </c>
      <c r="AD59" s="9">
        <v>6771.4968630880194</v>
      </c>
      <c r="AE59" s="9">
        <v>6387.2901083675224</v>
      </c>
      <c r="AF59" s="9">
        <v>5450.5583680129912</v>
      </c>
      <c r="AG59" s="9">
        <v>4614.2698417042402</v>
      </c>
      <c r="AH59" s="6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6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6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7"/>
      <c r="BS59" s="8"/>
      <c r="BT59" s="8"/>
      <c r="BU59" s="8"/>
      <c r="BX59" s="32" cm="1">
        <f t="array" ref="BX59">IFERROR(_xlfn.QUARTILE.INC(_xlfn._xlws.FILTER($Q$5:$Q$64,$C$5:$C$64=$C59,""),3),"")</f>
        <v>64.112055304293477</v>
      </c>
      <c r="BY59" s="32" cm="1">
        <f t="array" ref="BY59">IFERROR(_xlfn.QUARTILE.INC(_xlfn._xlws.FILTER($Q$5:$Q$64,$C$5:$C$64=$C59,""),2),"")</f>
        <v>39.725763352573587</v>
      </c>
      <c r="BZ59" s="32" cm="1">
        <f t="array" ref="BZ59">IFERROR(_xlfn.QUARTILE.INC(_xlfn._xlws.FILTER($Q$5:$Q$64,$C$5:$C$64=$C59,""),1),"")</f>
        <v>32.115150872687749</v>
      </c>
      <c r="CA59" s="32">
        <f t="shared" si="10"/>
        <v>31.996904431605728</v>
      </c>
      <c r="CB59" s="32">
        <f t="shared" si="11"/>
        <v>112.10741195170206</v>
      </c>
      <c r="CC59" s="32">
        <f t="shared" si="12"/>
        <v>-15.880205774720842</v>
      </c>
      <c r="CD59" s="32">
        <f t="shared" si="13"/>
        <v>0</v>
      </c>
      <c r="CE59" s="32">
        <f t="shared" si="14"/>
        <v>0</v>
      </c>
      <c r="CF59" s="32">
        <f t="shared" si="15"/>
        <v>0</v>
      </c>
      <c r="CG59" s="32">
        <f t="shared" si="16"/>
        <v>0</v>
      </c>
      <c r="CO5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9" s="32">
        <f>IF(AND(InputTable[[#This Row],[metadata.primary_cooling_system]]="District Cooling",InputTable[[#This Row],[measurement.eui.C]]&gt;=InputTable[[#This Row],[measurement.eui.total]]*0.6),1,0)*$CQ$2</f>
        <v>0</v>
      </c>
      <c r="CR59" s="32">
        <f>IF(AND(InputTable[[#This Row],[metadata.primary_cooling_system]]="District Cooling",InputTable[[#This Row],[measurement.eui.C]]&lt;=InputTable[[#This Row],[measurement.eui.total]]*0.1),1,0)*$CR$2</f>
        <v>0</v>
      </c>
      <c r="CS59" s="32">
        <f t="shared" si="17"/>
        <v>0.8</v>
      </c>
      <c r="CU59" s="32">
        <f t="shared" si="18"/>
        <v>0</v>
      </c>
      <c r="CV59" s="32">
        <f t="shared" si="19"/>
        <v>0</v>
      </c>
      <c r="CW59" s="32">
        <f>SUM(InputTable[[#This Row],[measurement.E.1]],InputTable[[#This Row],[measurement.G.1]],InputTable[[#This Row],[measurement.S.1]],InputTable[[#This Row],[measurement.C.1]])</f>
        <v>4460.5916081901787</v>
      </c>
      <c r="CX59" s="32">
        <f>SUM(InputTable[[#This Row],[measurement.E.2]],InputTable[[#This Row],[measurement.G.2]],InputTable[[#This Row],[measurement.S.2]],InputTable[[#This Row],[measurement.C.2]])</f>
        <v>4293.8556543041896</v>
      </c>
      <c r="CY59" s="32">
        <f>SUM(InputTable[[#This Row],[measurement.E.3]],InputTable[[#This Row],[measurement.G.3]],InputTable[[#This Row],[measurement.S.3]],InputTable[[#This Row],[measurement.C.3]])</f>
        <v>4469.3537611163529</v>
      </c>
      <c r="CZ59" s="32">
        <f>SUM(InputTable[[#This Row],[measurement.E.4]],InputTable[[#This Row],[measurement.G.4]],InputTable[[#This Row],[measurement.S.4]],InputTable[[#This Row],[measurement.C.4]])</f>
        <v>4296.6099656477136</v>
      </c>
      <c r="DA59" s="32">
        <f>SUM(InputTable[[#This Row],[measurement.E.5]],InputTable[[#This Row],[measurement.G.5]],InputTable[[#This Row],[measurement.S.5]],InputTable[[#This Row],[measurement.C.5]])</f>
        <v>4311.1307685517031</v>
      </c>
      <c r="DB59" s="32">
        <f>SUM(InputTable[[#This Row],[measurement.E.6]],InputTable[[#This Row],[measurement.G.6]],InputTable[[#This Row],[measurement.S.6]],InputTable[[#This Row],[measurement.C.6]])</f>
        <v>4662.3242733681054</v>
      </c>
      <c r="DC59" s="32">
        <f>SUM(InputTable[[#This Row],[measurement.E.7]],InputTable[[#This Row],[measurement.G.7]],InputTable[[#This Row],[measurement.S.7]],InputTable[[#This Row],[measurement.C.7]])</f>
        <v>4838.3401111042504</v>
      </c>
      <c r="DD59" s="32">
        <f>SUM(InputTable[[#This Row],[measurement.E.8]],InputTable[[#This Row],[measurement.G.8]],InputTable[[#This Row],[measurement.S.8]],InputTable[[#This Row],[measurement.C.8]])</f>
        <v>6998.8007670751649</v>
      </c>
      <c r="DE59" s="32">
        <f>SUM(InputTable[[#This Row],[measurement.E.9]],InputTable[[#This Row],[measurement.G.9]],InputTable[[#This Row],[measurement.S.9]],InputTable[[#This Row],[measurement.C.9]])</f>
        <v>6771.4968630880194</v>
      </c>
      <c r="DF59" s="32">
        <f>SUM(InputTable[[#This Row],[measurement.E.10]],InputTable[[#This Row],[measurement.G.10]],InputTable[[#This Row],[measurement.S.10]],InputTable[[#This Row],[measurement.C.10]])</f>
        <v>6387.2901083675224</v>
      </c>
      <c r="DG59" s="32">
        <f>SUM(InputTable[[#This Row],[measurement.E.11]],InputTable[[#This Row],[measurement.G.11]],InputTable[[#This Row],[measurement.S.11]],InputTable[[#This Row],[measurement.C.11]])</f>
        <v>5450.5583680129912</v>
      </c>
      <c r="DH59" s="32">
        <f>SUM(InputTable[[#This Row],[measurement.E.12]],InputTable[[#This Row],[measurement.G.12]],InputTable[[#This Row],[measurement.S.12]],InputTable[[#This Row],[measurement.C.12]])</f>
        <v>4614.2698417042402</v>
      </c>
    </row>
    <row r="60" spans="1:112" s="32" customFormat="1" ht="30" customHeight="1" x14ac:dyDescent="0.3">
      <c r="A60" s="2" t="s">
        <v>263</v>
      </c>
      <c r="B60" s="3">
        <v>55234</v>
      </c>
      <c r="C60" s="3" t="s">
        <v>171</v>
      </c>
      <c r="D60" s="3" t="s">
        <v>212</v>
      </c>
      <c r="E60" s="4" t="s">
        <v>173</v>
      </c>
      <c r="F60" s="4" t="s">
        <v>174</v>
      </c>
      <c r="G60" s="4"/>
      <c r="H60" s="4" t="s">
        <v>175</v>
      </c>
      <c r="I60" s="5">
        <v>37.320044510000002</v>
      </c>
      <c r="J60" s="5">
        <v>-121.86765509999999</v>
      </c>
      <c r="K60" s="48" t="s">
        <v>176</v>
      </c>
      <c r="L60" s="10"/>
      <c r="M60" s="3"/>
      <c r="N60" s="3" t="s">
        <v>231</v>
      </c>
      <c r="O60" s="4" t="s">
        <v>13</v>
      </c>
      <c r="P60" s="3">
        <v>2023</v>
      </c>
      <c r="Q60" s="59">
        <f>IF(COUNTBLANK(InputTable[[#This Row],[measurement.E.1]:[measurement.C.12]])=4*12,"",SUM(InputTable[[#This Row],[measurement.eui.E]:[measurement.eui.C]]))</f>
        <v>32.115150872687749</v>
      </c>
      <c r="R60" s="33" cm="1">
        <f t="array" ref="R6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60" s="33" cm="1">
        <f t="array" ref="S6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0" s="33" cm="1">
        <f t="array" ref="T6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0" s="33" cm="1">
        <f t="array" ref="U6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0" s="6">
        <v>37672.219707458164</v>
      </c>
      <c r="W60" s="9">
        <v>36264.040246152537</v>
      </c>
      <c r="X60" s="9">
        <v>37746.221046101018</v>
      </c>
      <c r="Y60" s="9">
        <v>36287.301963698148</v>
      </c>
      <c r="Z60" s="9">
        <v>36409.938359355467</v>
      </c>
      <c r="AA60" s="9">
        <v>39375.966194986853</v>
      </c>
      <c r="AB60" s="9">
        <v>40862.519525494223</v>
      </c>
      <c r="AC60" s="9">
        <v>59108.832044132978</v>
      </c>
      <c r="AD60" s="9">
        <v>57189.121977951632</v>
      </c>
      <c r="AE60" s="9">
        <v>53944.278569659291</v>
      </c>
      <c r="AF60" s="9">
        <v>46033.049067099317</v>
      </c>
      <c r="AG60" s="9">
        <v>38970.119332827533</v>
      </c>
      <c r="AH60" s="6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6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6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7"/>
      <c r="BS60" s="8"/>
      <c r="BT60" s="8"/>
      <c r="BU60" s="8"/>
      <c r="BX60" s="32" cm="1">
        <f t="array" ref="BX60">IFERROR(_xlfn.QUARTILE.INC(_xlfn._xlws.FILTER($Q$5:$Q$64,$C$5:$C$64=$C60,""),3),"")</f>
        <v>64.112055304293477</v>
      </c>
      <c r="BY60" s="32" cm="1">
        <f t="array" ref="BY60">IFERROR(_xlfn.QUARTILE.INC(_xlfn._xlws.FILTER($Q$5:$Q$64,$C$5:$C$64=$C60,""),2),"")</f>
        <v>39.725763352573587</v>
      </c>
      <c r="BZ60" s="32" cm="1">
        <f t="array" ref="BZ60">IFERROR(_xlfn.QUARTILE.INC(_xlfn._xlws.FILTER($Q$5:$Q$64,$C$5:$C$64=$C60,""),1),"")</f>
        <v>32.115150872687749</v>
      </c>
      <c r="CA60" s="32">
        <f t="shared" si="10"/>
        <v>31.996904431605728</v>
      </c>
      <c r="CB60" s="32">
        <f t="shared" si="11"/>
        <v>112.10741195170206</v>
      </c>
      <c r="CC60" s="32">
        <f t="shared" si="12"/>
        <v>-15.880205774720842</v>
      </c>
      <c r="CD60" s="32">
        <f t="shared" si="13"/>
        <v>0</v>
      </c>
      <c r="CE60" s="32">
        <f t="shared" si="14"/>
        <v>0</v>
      </c>
      <c r="CF60" s="32">
        <f t="shared" si="15"/>
        <v>0</v>
      </c>
      <c r="CG60" s="32">
        <f t="shared" si="16"/>
        <v>0</v>
      </c>
      <c r="CO6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0" s="32">
        <f>IF(AND(InputTable[[#This Row],[metadata.primary_cooling_system]]="District Cooling",InputTable[[#This Row],[measurement.eui.C]]&gt;=InputTable[[#This Row],[measurement.eui.total]]*0.6),1,0)*$CQ$2</f>
        <v>0</v>
      </c>
      <c r="CR60" s="32">
        <f>IF(AND(InputTable[[#This Row],[metadata.primary_cooling_system]]="District Cooling",InputTable[[#This Row],[measurement.eui.C]]&lt;=InputTable[[#This Row],[measurement.eui.total]]*0.1),1,0)*$CR$2</f>
        <v>0</v>
      </c>
      <c r="CS60" s="32">
        <f t="shared" si="17"/>
        <v>0.8</v>
      </c>
      <c r="CU60" s="32">
        <f t="shared" si="18"/>
        <v>0</v>
      </c>
      <c r="CV60" s="32">
        <f t="shared" si="19"/>
        <v>0</v>
      </c>
      <c r="CW60" s="32">
        <f>SUM(InputTable[[#This Row],[measurement.E.1]],InputTable[[#This Row],[measurement.G.1]],InputTable[[#This Row],[measurement.S.1]],InputTable[[#This Row],[measurement.C.1]])</f>
        <v>37672.219707458164</v>
      </c>
      <c r="CX60" s="32">
        <f>SUM(InputTable[[#This Row],[measurement.E.2]],InputTable[[#This Row],[measurement.G.2]],InputTable[[#This Row],[measurement.S.2]],InputTable[[#This Row],[measurement.C.2]])</f>
        <v>36264.040246152537</v>
      </c>
      <c r="CY60" s="32">
        <f>SUM(InputTable[[#This Row],[measurement.E.3]],InputTable[[#This Row],[measurement.G.3]],InputTable[[#This Row],[measurement.S.3]],InputTable[[#This Row],[measurement.C.3]])</f>
        <v>37746.221046101018</v>
      </c>
      <c r="CZ60" s="32">
        <f>SUM(InputTable[[#This Row],[measurement.E.4]],InputTable[[#This Row],[measurement.G.4]],InputTable[[#This Row],[measurement.S.4]],InputTable[[#This Row],[measurement.C.4]])</f>
        <v>36287.301963698148</v>
      </c>
      <c r="DA60" s="32">
        <f>SUM(InputTable[[#This Row],[measurement.E.5]],InputTable[[#This Row],[measurement.G.5]],InputTable[[#This Row],[measurement.S.5]],InputTable[[#This Row],[measurement.C.5]])</f>
        <v>36409.938359355467</v>
      </c>
      <c r="DB60" s="32">
        <f>SUM(InputTable[[#This Row],[measurement.E.6]],InputTable[[#This Row],[measurement.G.6]],InputTable[[#This Row],[measurement.S.6]],InputTable[[#This Row],[measurement.C.6]])</f>
        <v>39375.966194986853</v>
      </c>
      <c r="DC60" s="32">
        <f>SUM(InputTable[[#This Row],[measurement.E.7]],InputTable[[#This Row],[measurement.G.7]],InputTable[[#This Row],[measurement.S.7]],InputTable[[#This Row],[measurement.C.7]])</f>
        <v>40862.519525494223</v>
      </c>
      <c r="DD60" s="32">
        <f>SUM(InputTable[[#This Row],[measurement.E.8]],InputTable[[#This Row],[measurement.G.8]],InputTable[[#This Row],[measurement.S.8]],InputTable[[#This Row],[measurement.C.8]])</f>
        <v>59108.832044132978</v>
      </c>
      <c r="DE60" s="32">
        <f>SUM(InputTable[[#This Row],[measurement.E.9]],InputTable[[#This Row],[measurement.G.9]],InputTable[[#This Row],[measurement.S.9]],InputTable[[#This Row],[measurement.C.9]])</f>
        <v>57189.121977951632</v>
      </c>
      <c r="DF60" s="32">
        <f>SUM(InputTable[[#This Row],[measurement.E.10]],InputTable[[#This Row],[measurement.G.10]],InputTable[[#This Row],[measurement.S.10]],InputTable[[#This Row],[measurement.C.10]])</f>
        <v>53944.278569659291</v>
      </c>
      <c r="DG60" s="32">
        <f>SUM(InputTable[[#This Row],[measurement.E.11]],InputTable[[#This Row],[measurement.G.11]],InputTable[[#This Row],[measurement.S.11]],InputTable[[#This Row],[measurement.C.11]])</f>
        <v>46033.049067099317</v>
      </c>
      <c r="DH60" s="32">
        <f>SUM(InputTable[[#This Row],[measurement.E.12]],InputTable[[#This Row],[measurement.G.12]],InputTable[[#This Row],[measurement.S.12]],InputTable[[#This Row],[measurement.C.12]])</f>
        <v>38970.119332827533</v>
      </c>
    </row>
    <row r="61" spans="1:112" s="32" customFormat="1" ht="30" customHeight="1" x14ac:dyDescent="0.3">
      <c r="A61" s="2" t="s">
        <v>264</v>
      </c>
      <c r="B61" s="3">
        <v>2300</v>
      </c>
      <c r="C61" s="3" t="s">
        <v>215</v>
      </c>
      <c r="D61" s="3" t="s">
        <v>172</v>
      </c>
      <c r="E61" s="4" t="s">
        <v>173</v>
      </c>
      <c r="F61" s="4" t="s">
        <v>174</v>
      </c>
      <c r="G61" s="4"/>
      <c r="H61" s="4" t="s">
        <v>175</v>
      </c>
      <c r="I61" s="5">
        <v>37.334239779999997</v>
      </c>
      <c r="J61" s="5">
        <v>-121.88333129999999</v>
      </c>
      <c r="K61" s="48" t="s">
        <v>176</v>
      </c>
      <c r="L61" s="10"/>
      <c r="M61" s="3" t="s">
        <v>265</v>
      </c>
      <c r="N61" s="3" t="s">
        <v>231</v>
      </c>
      <c r="O61" s="4" t="s">
        <v>13</v>
      </c>
      <c r="P61" s="3">
        <v>2023</v>
      </c>
      <c r="Q61" s="59">
        <f>IF(COUNTBLANK(InputTable[[#This Row],[measurement.E.1]:[measurement.C.12]])=4*12,"",SUM(InputTable[[#This Row],[measurement.eui.E]:[measurement.eui.C]]))</f>
        <v>68.143456143269589</v>
      </c>
      <c r="R61" s="33" cm="1">
        <f t="array" ref="R6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68.143456143269589</v>
      </c>
      <c r="S61" s="33" cm="1">
        <f t="array" ref="S6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1" s="33" cm="1">
        <f t="array" ref="T6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1" s="33" cm="1">
        <f t="array" ref="U6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1" s="6">
        <v>3170.366995431641</v>
      </c>
      <c r="W61" s="9">
        <v>2937.968319029138</v>
      </c>
      <c r="X61" s="9">
        <v>3524.87911083787</v>
      </c>
      <c r="Y61" s="9">
        <v>3866.403971231372</v>
      </c>
      <c r="Z61" s="9">
        <v>4308.3540402384297</v>
      </c>
      <c r="AA61" s="9">
        <v>3814.7844824596309</v>
      </c>
      <c r="AB61" s="9">
        <v>4200.8082902031447</v>
      </c>
      <c r="AC61" s="9">
        <v>4309.0989560996586</v>
      </c>
      <c r="AD61" s="9">
        <v>3982.7204722121869</v>
      </c>
      <c r="AE61" s="9">
        <v>4231.3310354291407</v>
      </c>
      <c r="AF61" s="9">
        <v>3856.2058203206411</v>
      </c>
      <c r="AG61" s="9">
        <v>3730.0928718898849</v>
      </c>
      <c r="AH61" s="6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6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6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7"/>
      <c r="BS61" s="8"/>
      <c r="BT61" s="8"/>
      <c r="BU61" s="8"/>
      <c r="BX61" s="32" cm="1">
        <f t="array" ref="BX61">IFERROR(_xlfn.QUARTILE.INC(_xlfn._xlws.FILTER($Q$5:$Q$64,$C$5:$C$64=$C61,""),3),"")</f>
        <v>76.058783809279603</v>
      </c>
      <c r="BY61" s="32" cm="1">
        <f t="array" ref="BY61">IFERROR(_xlfn.QUARTILE.INC(_xlfn._xlws.FILTER($Q$5:$Q$64,$C$5:$C$64=$C61,""),2),"")</f>
        <v>72.513506540327469</v>
      </c>
      <c r="BZ61" s="32" cm="1">
        <f t="array" ref="BZ61">IFERROR(_xlfn.QUARTILE.INC(_xlfn._xlws.FILTER($Q$5:$Q$64,$C$5:$C$64=$C61,""),1),"")</f>
        <v>71.420993941063003</v>
      </c>
      <c r="CA61" s="32">
        <f t="shared" si="10"/>
        <v>4.6377898682166006</v>
      </c>
      <c r="CB61" s="32">
        <f t="shared" si="11"/>
        <v>83.015468611604504</v>
      </c>
      <c r="CC61" s="32">
        <f t="shared" si="12"/>
        <v>64.464309138738102</v>
      </c>
      <c r="CD61" s="32">
        <f t="shared" si="13"/>
        <v>0</v>
      </c>
      <c r="CE61" s="32">
        <f t="shared" si="14"/>
        <v>0</v>
      </c>
      <c r="CF61" s="32">
        <f t="shared" si="15"/>
        <v>0.5</v>
      </c>
      <c r="CG61" s="32">
        <f t="shared" si="16"/>
        <v>0</v>
      </c>
      <c r="CO6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1" s="32">
        <f>IF(AND(InputTable[[#This Row],[metadata.primary_cooling_system]]="District Cooling",InputTable[[#This Row],[measurement.eui.C]]&gt;=InputTable[[#This Row],[measurement.eui.total]]*0.6),1,0)*$CQ$2</f>
        <v>0</v>
      </c>
      <c r="CR61" s="32">
        <f>IF(AND(InputTable[[#This Row],[metadata.primary_cooling_system]]="District Cooling",InputTable[[#This Row],[measurement.eui.C]]&lt;=InputTable[[#This Row],[measurement.eui.total]]*0.1),1,0)*$CR$2</f>
        <v>0</v>
      </c>
      <c r="CS61" s="32">
        <f t="shared" si="17"/>
        <v>1.3</v>
      </c>
      <c r="CU61" s="32">
        <f t="shared" si="18"/>
        <v>0</v>
      </c>
      <c r="CV61" s="32">
        <f t="shared" si="19"/>
        <v>0</v>
      </c>
      <c r="CW61" s="32">
        <f>SUM(InputTable[[#This Row],[measurement.E.1]],InputTable[[#This Row],[measurement.G.1]],InputTable[[#This Row],[measurement.S.1]],InputTable[[#This Row],[measurement.C.1]])</f>
        <v>3170.366995431641</v>
      </c>
      <c r="CX61" s="32">
        <f>SUM(InputTable[[#This Row],[measurement.E.2]],InputTable[[#This Row],[measurement.G.2]],InputTable[[#This Row],[measurement.S.2]],InputTable[[#This Row],[measurement.C.2]])</f>
        <v>2937.968319029138</v>
      </c>
      <c r="CY61" s="32">
        <f>SUM(InputTable[[#This Row],[measurement.E.3]],InputTable[[#This Row],[measurement.G.3]],InputTable[[#This Row],[measurement.S.3]],InputTable[[#This Row],[measurement.C.3]])</f>
        <v>3524.87911083787</v>
      </c>
      <c r="CZ61" s="32">
        <f>SUM(InputTable[[#This Row],[measurement.E.4]],InputTable[[#This Row],[measurement.G.4]],InputTable[[#This Row],[measurement.S.4]],InputTable[[#This Row],[measurement.C.4]])</f>
        <v>3866.403971231372</v>
      </c>
      <c r="DA61" s="32">
        <f>SUM(InputTable[[#This Row],[measurement.E.5]],InputTable[[#This Row],[measurement.G.5]],InputTable[[#This Row],[measurement.S.5]],InputTable[[#This Row],[measurement.C.5]])</f>
        <v>4308.3540402384297</v>
      </c>
      <c r="DB61" s="32">
        <f>SUM(InputTable[[#This Row],[measurement.E.6]],InputTable[[#This Row],[measurement.G.6]],InputTable[[#This Row],[measurement.S.6]],InputTable[[#This Row],[measurement.C.6]])</f>
        <v>3814.7844824596309</v>
      </c>
      <c r="DC61" s="32">
        <f>SUM(InputTable[[#This Row],[measurement.E.7]],InputTable[[#This Row],[measurement.G.7]],InputTable[[#This Row],[measurement.S.7]],InputTable[[#This Row],[measurement.C.7]])</f>
        <v>4200.8082902031447</v>
      </c>
      <c r="DD61" s="32">
        <f>SUM(InputTable[[#This Row],[measurement.E.8]],InputTable[[#This Row],[measurement.G.8]],InputTable[[#This Row],[measurement.S.8]],InputTable[[#This Row],[measurement.C.8]])</f>
        <v>4309.0989560996586</v>
      </c>
      <c r="DE61" s="32">
        <f>SUM(InputTable[[#This Row],[measurement.E.9]],InputTable[[#This Row],[measurement.G.9]],InputTable[[#This Row],[measurement.S.9]],InputTable[[#This Row],[measurement.C.9]])</f>
        <v>3982.7204722121869</v>
      </c>
      <c r="DF61" s="32">
        <f>SUM(InputTable[[#This Row],[measurement.E.10]],InputTable[[#This Row],[measurement.G.10]],InputTable[[#This Row],[measurement.S.10]],InputTable[[#This Row],[measurement.C.10]])</f>
        <v>4231.3310354291407</v>
      </c>
      <c r="DG61" s="32">
        <f>SUM(InputTable[[#This Row],[measurement.E.11]],InputTable[[#This Row],[measurement.G.11]],InputTable[[#This Row],[measurement.S.11]],InputTable[[#This Row],[measurement.C.11]])</f>
        <v>3856.2058203206411</v>
      </c>
      <c r="DH61" s="32">
        <f>SUM(InputTable[[#This Row],[measurement.E.12]],InputTable[[#This Row],[measurement.G.12]],InputTable[[#This Row],[measurement.S.12]],InputTable[[#This Row],[measurement.C.12]])</f>
        <v>3730.0928718898849</v>
      </c>
    </row>
    <row r="62" spans="1:112" s="32" customFormat="1" ht="30" customHeight="1" x14ac:dyDescent="0.3">
      <c r="A62" s="2" t="s">
        <v>266</v>
      </c>
      <c r="B62" s="3">
        <v>13096</v>
      </c>
      <c r="C62" s="3" t="s">
        <v>215</v>
      </c>
      <c r="D62" s="3" t="s">
        <v>172</v>
      </c>
      <c r="E62" s="4" t="s">
        <v>173</v>
      </c>
      <c r="F62" s="4" t="s">
        <v>174</v>
      </c>
      <c r="G62" s="4"/>
      <c r="H62" s="4" t="s">
        <v>175</v>
      </c>
      <c r="I62" s="5">
        <v>37.33525187</v>
      </c>
      <c r="J62" s="5">
        <v>-121.8833802</v>
      </c>
      <c r="K62" s="48" t="s">
        <v>176</v>
      </c>
      <c r="L62" s="10"/>
      <c r="M62" s="3" t="s">
        <v>265</v>
      </c>
      <c r="N62" s="3" t="s">
        <v>15</v>
      </c>
      <c r="O62" s="4" t="s">
        <v>13</v>
      </c>
      <c r="P62" s="3">
        <v>2023</v>
      </c>
      <c r="Q62" s="59">
        <f>IF(COUNTBLANK(InputTable[[#This Row],[measurement.E.1]:[measurement.C.12]])=4*12,"",SUM(InputTable[[#This Row],[measurement.eui.E]:[measurement.eui.C]]))</f>
        <v>72.513506540327469</v>
      </c>
      <c r="R62" s="33" cm="1">
        <f t="array" ref="R6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62" s="33" cm="1">
        <f t="array" ref="S6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2" s="33" cm="1">
        <f t="array" ref="T6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4.3700503970578968</v>
      </c>
      <c r="U62" s="33" cm="1">
        <f t="array" ref="U6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2" s="6">
        <v>18051.793987901201</v>
      </c>
      <c r="W62" s="9">
        <v>16728.536133045909</v>
      </c>
      <c r="X62" s="9">
        <v>20070.355145883801</v>
      </c>
      <c r="Y62" s="9">
        <v>22014.96800315045</v>
      </c>
      <c r="Z62" s="9">
        <v>24531.393265635859</v>
      </c>
      <c r="AA62" s="9">
        <v>21721.05112273536</v>
      </c>
      <c r="AB62" s="9">
        <v>23919.037116739299</v>
      </c>
      <c r="AC62" s="9">
        <v>24535.6347517744</v>
      </c>
      <c r="AD62" s="9">
        <v>22677.26404525687</v>
      </c>
      <c r="AE62" s="9">
        <v>24092.830973904362</v>
      </c>
      <c r="AF62" s="9">
        <v>21956.900618660489</v>
      </c>
      <c r="AG62" s="9">
        <v>21238.8244566391</v>
      </c>
      <c r="AH62" s="6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6">
        <v>143.36023570235679</v>
      </c>
      <c r="AU62" s="9">
        <v>104.404246603074</v>
      </c>
      <c r="AV62" s="9">
        <v>52.870752885963441</v>
      </c>
      <c r="AW62" s="9">
        <v>23.849998673614341</v>
      </c>
      <c r="AX62" s="9">
        <v>5.5347918246755317</v>
      </c>
      <c r="AY62" s="9">
        <v>1.2230920743335301</v>
      </c>
      <c r="AZ62" s="9">
        <v>27.70986722160983</v>
      </c>
      <c r="BA62" s="9">
        <v>14.84627404791118</v>
      </c>
      <c r="BB62" s="9">
        <v>9.1936818802394882</v>
      </c>
      <c r="BC62" s="9">
        <v>18.057304774556119</v>
      </c>
      <c r="BD62" s="9">
        <v>60.872083280536508</v>
      </c>
      <c r="BE62" s="9">
        <v>110.37947102983139</v>
      </c>
      <c r="BF62" s="6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7"/>
      <c r="BS62" s="8"/>
      <c r="BT62" s="8"/>
      <c r="BU62" s="8"/>
      <c r="BX62" s="32" cm="1">
        <f t="array" ref="BX62">IFERROR(_xlfn.QUARTILE.INC(_xlfn._xlws.FILTER($Q$5:$Q$64,$C$5:$C$64=$C62,""),3),"")</f>
        <v>76.058783809279603</v>
      </c>
      <c r="BY62" s="32" cm="1">
        <f t="array" ref="BY62">IFERROR(_xlfn.QUARTILE.INC(_xlfn._xlws.FILTER($Q$5:$Q$64,$C$5:$C$64=$C62,""),2),"")</f>
        <v>72.513506540327469</v>
      </c>
      <c r="BZ62" s="32" cm="1">
        <f t="array" ref="BZ62">IFERROR(_xlfn.QUARTILE.INC(_xlfn._xlws.FILTER($Q$5:$Q$64,$C$5:$C$64=$C62,""),1),"")</f>
        <v>71.420993941063003</v>
      </c>
      <c r="CA62" s="32">
        <f t="shared" si="10"/>
        <v>4.6377898682166006</v>
      </c>
      <c r="CB62" s="32">
        <f t="shared" si="11"/>
        <v>83.015468611604504</v>
      </c>
      <c r="CC62" s="32">
        <f t="shared" si="12"/>
        <v>64.464309138738102</v>
      </c>
      <c r="CD62" s="32">
        <f t="shared" si="13"/>
        <v>0</v>
      </c>
      <c r="CE62" s="32">
        <f t="shared" si="14"/>
        <v>0</v>
      </c>
      <c r="CF62" s="32">
        <f t="shared" si="15"/>
        <v>0</v>
      </c>
      <c r="CG62" s="32">
        <f t="shared" si="16"/>
        <v>0</v>
      </c>
      <c r="CO6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62" s="32">
        <f>IF(AND(InputTable[[#This Row],[metadata.primary_cooling_system]]="District Cooling",InputTable[[#This Row],[measurement.eui.C]]&gt;=InputTable[[#This Row],[measurement.eui.total]]*0.6),1,0)*$CQ$2</f>
        <v>0</v>
      </c>
      <c r="CR62" s="32">
        <f>IF(AND(InputTable[[#This Row],[metadata.primary_cooling_system]]="District Cooling",InputTable[[#This Row],[measurement.eui.C]]&lt;=InputTable[[#This Row],[measurement.eui.total]]*0.1),1,0)*$CR$2</f>
        <v>0</v>
      </c>
      <c r="CS62" s="32">
        <f t="shared" si="17"/>
        <v>0.5</v>
      </c>
      <c r="CU62" s="32">
        <f t="shared" si="18"/>
        <v>100.41501049694003</v>
      </c>
      <c r="CV62" s="32">
        <f t="shared" si="19"/>
        <v>471.88678950176217</v>
      </c>
      <c r="CW62" s="32">
        <f>SUM(InputTable[[#This Row],[measurement.E.1]],InputTable[[#This Row],[measurement.G.1]],InputTable[[#This Row],[measurement.S.1]],InputTable[[#This Row],[measurement.C.1]])</f>
        <v>18195.154223603557</v>
      </c>
      <c r="CX62" s="32">
        <f>SUM(InputTable[[#This Row],[measurement.E.2]],InputTable[[#This Row],[measurement.G.2]],InputTable[[#This Row],[measurement.S.2]],InputTable[[#This Row],[measurement.C.2]])</f>
        <v>16832.940379648982</v>
      </c>
      <c r="CY62" s="32">
        <f>SUM(InputTable[[#This Row],[measurement.E.3]],InputTable[[#This Row],[measurement.G.3]],InputTable[[#This Row],[measurement.S.3]],InputTable[[#This Row],[measurement.C.3]])</f>
        <v>20123.225898769764</v>
      </c>
      <c r="CZ62" s="32">
        <f>SUM(InputTable[[#This Row],[measurement.E.4]],InputTable[[#This Row],[measurement.G.4]],InputTable[[#This Row],[measurement.S.4]],InputTable[[#This Row],[measurement.C.4]])</f>
        <v>22038.818001824064</v>
      </c>
      <c r="DA62" s="32">
        <f>SUM(InputTable[[#This Row],[measurement.E.5]],InputTable[[#This Row],[measurement.G.5]],InputTable[[#This Row],[measurement.S.5]],InputTable[[#This Row],[measurement.C.5]])</f>
        <v>24536.928057460536</v>
      </c>
      <c r="DB62" s="32">
        <f>SUM(InputTable[[#This Row],[measurement.E.6]],InputTable[[#This Row],[measurement.G.6]],InputTable[[#This Row],[measurement.S.6]],InputTable[[#This Row],[measurement.C.6]])</f>
        <v>21722.274214809695</v>
      </c>
      <c r="DC62" s="32">
        <f>SUM(InputTable[[#This Row],[measurement.E.7]],InputTable[[#This Row],[measurement.G.7]],InputTable[[#This Row],[measurement.S.7]],InputTable[[#This Row],[measurement.C.7]])</f>
        <v>23946.746983960908</v>
      </c>
      <c r="DD62" s="32">
        <f>SUM(InputTable[[#This Row],[measurement.E.8]],InputTable[[#This Row],[measurement.G.8]],InputTable[[#This Row],[measurement.S.8]],InputTable[[#This Row],[measurement.C.8]])</f>
        <v>24550.481025822311</v>
      </c>
      <c r="DE62" s="32">
        <f>SUM(InputTable[[#This Row],[measurement.E.9]],InputTable[[#This Row],[measurement.G.9]],InputTable[[#This Row],[measurement.S.9]],InputTable[[#This Row],[measurement.C.9]])</f>
        <v>22686.457727137109</v>
      </c>
      <c r="DF62" s="32">
        <f>SUM(InputTable[[#This Row],[measurement.E.10]],InputTable[[#This Row],[measurement.G.10]],InputTable[[#This Row],[measurement.S.10]],InputTable[[#This Row],[measurement.C.10]])</f>
        <v>24110.888278678918</v>
      </c>
      <c r="DG62" s="32">
        <f>SUM(InputTable[[#This Row],[measurement.E.11]],InputTable[[#This Row],[measurement.G.11]],InputTable[[#This Row],[measurement.S.11]],InputTable[[#This Row],[measurement.C.11]])</f>
        <v>22017.772701941027</v>
      </c>
      <c r="DH62" s="32">
        <f>SUM(InputTable[[#This Row],[measurement.E.12]],InputTable[[#This Row],[measurement.G.12]],InputTable[[#This Row],[measurement.S.12]],InputTable[[#This Row],[measurement.C.12]])</f>
        <v>21349.203927668932</v>
      </c>
    </row>
    <row r="63" spans="1:112" s="32" customFormat="1" ht="30" customHeight="1" x14ac:dyDescent="0.3">
      <c r="A63" s="2" t="s">
        <v>267</v>
      </c>
      <c r="B63" s="3">
        <v>2684</v>
      </c>
      <c r="C63" s="3" t="s">
        <v>211</v>
      </c>
      <c r="D63" s="3" t="s">
        <v>212</v>
      </c>
      <c r="E63" s="4" t="s">
        <v>173</v>
      </c>
      <c r="F63" s="4" t="s">
        <v>174</v>
      </c>
      <c r="G63" s="4"/>
      <c r="H63" s="4" t="s">
        <v>175</v>
      </c>
      <c r="I63" s="5">
        <v>37.320549800000002</v>
      </c>
      <c r="J63" s="5">
        <v>-121.8687706</v>
      </c>
      <c r="K63" s="48" t="s">
        <v>176</v>
      </c>
      <c r="L63" s="10"/>
      <c r="M63" s="3" t="s">
        <v>265</v>
      </c>
      <c r="N63" s="3" t="s">
        <v>231</v>
      </c>
      <c r="O63" s="4" t="s">
        <v>13</v>
      </c>
      <c r="P63" s="3">
        <v>2023</v>
      </c>
      <c r="Q63" s="59">
        <f>IF(COUNTBLANK(InputTable[[#This Row],[measurement.E.1]:[measurement.C.12]])=4*12,"",SUM(InputTable[[#This Row],[measurement.eui.E]:[measurement.eui.C]]))</f>
        <v>26.942383564768409</v>
      </c>
      <c r="R63" s="33" cm="1">
        <f t="array" ref="R6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26.942383564768409</v>
      </c>
      <c r="S63" s="33" cm="1">
        <f t="array" ref="S6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3" s="33" cm="1">
        <f t="array" ref="T6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3" s="33" cm="1">
        <f t="array" ref="U6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3" s="6">
        <v>1495.4482061073861</v>
      </c>
      <c r="W63" s="9">
        <v>1444.7998694553951</v>
      </c>
      <c r="X63" s="9">
        <v>1614.540321627147</v>
      </c>
      <c r="Y63" s="9">
        <v>1471.8812664728</v>
      </c>
      <c r="Z63" s="9">
        <v>1490.0781243788761</v>
      </c>
      <c r="AA63" s="9">
        <v>1611.4629273563719</v>
      </c>
      <c r="AB63" s="9">
        <v>1672.300179445331</v>
      </c>
      <c r="AC63" s="9">
        <v>2240.072234284185</v>
      </c>
      <c r="AD63" s="9">
        <v>2239.509700134774</v>
      </c>
      <c r="AE63" s="9">
        <v>2223.6655026466751</v>
      </c>
      <c r="AF63" s="9">
        <v>1969.969038995675</v>
      </c>
      <c r="AG63" s="9">
        <v>1719.225901561686</v>
      </c>
      <c r="AH63" s="6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6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6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7"/>
      <c r="BS63" s="8"/>
      <c r="BT63" s="8"/>
      <c r="BU63" s="8"/>
      <c r="BX63" s="32" cm="1">
        <f t="array" ref="BX63">IFERROR(_xlfn.QUARTILE.INC(_xlfn._xlws.FILTER($Q$5:$Q$64,$C$5:$C$64=$C63,""),3),"")</f>
        <v>110.27378312085324</v>
      </c>
      <c r="BY63" s="32" cm="1">
        <f t="array" ref="BY63">IFERROR(_xlfn.QUARTILE.INC(_xlfn._xlws.FILTER($Q$5:$Q$64,$C$5:$C$64=$C63,""),2),"")</f>
        <v>50.945706184815123</v>
      </c>
      <c r="BZ63" s="32" cm="1">
        <f t="array" ref="BZ63">IFERROR(_xlfn.QUARTILE.INC(_xlfn._xlws.FILTER($Q$5:$Q$64,$C$5:$C$64=$C63,""),1),"")</f>
        <v>35.324923465665997</v>
      </c>
      <c r="CA63" s="32">
        <f t="shared" si="10"/>
        <v>74.948859655187249</v>
      </c>
      <c r="CB63" s="32">
        <f t="shared" si="11"/>
        <v>222.69707260363413</v>
      </c>
      <c r="CC63" s="32">
        <f t="shared" si="12"/>
        <v>-77.09836601711487</v>
      </c>
      <c r="CD63" s="32">
        <f t="shared" si="13"/>
        <v>0</v>
      </c>
      <c r="CE63" s="32">
        <f t="shared" si="14"/>
        <v>0</v>
      </c>
      <c r="CF63" s="32">
        <f t="shared" si="15"/>
        <v>0.5</v>
      </c>
      <c r="CG63" s="32">
        <f t="shared" si="16"/>
        <v>0</v>
      </c>
      <c r="CO6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3" s="32">
        <f>IF(AND(InputTable[[#This Row],[metadata.primary_cooling_system]]="District Cooling",InputTable[[#This Row],[measurement.eui.C]]&gt;=InputTable[[#This Row],[measurement.eui.total]]*0.6),1,0)*$CQ$2</f>
        <v>0</v>
      </c>
      <c r="CR63" s="32">
        <f>IF(AND(InputTable[[#This Row],[metadata.primary_cooling_system]]="District Cooling",InputTable[[#This Row],[measurement.eui.C]]&lt;=InputTable[[#This Row],[measurement.eui.total]]*0.1),1,0)*$CR$2</f>
        <v>0</v>
      </c>
      <c r="CS63" s="32">
        <f t="shared" si="17"/>
        <v>1.3</v>
      </c>
      <c r="CU63" s="32">
        <f t="shared" si="18"/>
        <v>0</v>
      </c>
      <c r="CV63" s="32">
        <f t="shared" si="19"/>
        <v>0</v>
      </c>
      <c r="CW63" s="32">
        <f>SUM(InputTable[[#This Row],[measurement.E.1]],InputTable[[#This Row],[measurement.G.1]],InputTable[[#This Row],[measurement.S.1]],InputTable[[#This Row],[measurement.C.1]])</f>
        <v>1495.4482061073861</v>
      </c>
      <c r="CX63" s="32">
        <f>SUM(InputTable[[#This Row],[measurement.E.2]],InputTable[[#This Row],[measurement.G.2]],InputTable[[#This Row],[measurement.S.2]],InputTable[[#This Row],[measurement.C.2]])</f>
        <v>1444.7998694553951</v>
      </c>
      <c r="CY63" s="32">
        <f>SUM(InputTable[[#This Row],[measurement.E.3]],InputTable[[#This Row],[measurement.G.3]],InputTable[[#This Row],[measurement.S.3]],InputTable[[#This Row],[measurement.C.3]])</f>
        <v>1614.540321627147</v>
      </c>
      <c r="CZ63" s="32">
        <f>SUM(InputTable[[#This Row],[measurement.E.4]],InputTable[[#This Row],[measurement.G.4]],InputTable[[#This Row],[measurement.S.4]],InputTable[[#This Row],[measurement.C.4]])</f>
        <v>1471.8812664728</v>
      </c>
      <c r="DA63" s="32">
        <f>SUM(InputTable[[#This Row],[measurement.E.5]],InputTable[[#This Row],[measurement.G.5]],InputTable[[#This Row],[measurement.S.5]],InputTable[[#This Row],[measurement.C.5]])</f>
        <v>1490.0781243788761</v>
      </c>
      <c r="DB63" s="32">
        <f>SUM(InputTable[[#This Row],[measurement.E.6]],InputTable[[#This Row],[measurement.G.6]],InputTable[[#This Row],[measurement.S.6]],InputTable[[#This Row],[measurement.C.6]])</f>
        <v>1611.4629273563719</v>
      </c>
      <c r="DC63" s="32">
        <f>SUM(InputTable[[#This Row],[measurement.E.7]],InputTable[[#This Row],[measurement.G.7]],InputTable[[#This Row],[measurement.S.7]],InputTable[[#This Row],[measurement.C.7]])</f>
        <v>1672.300179445331</v>
      </c>
      <c r="DD63" s="32">
        <f>SUM(InputTable[[#This Row],[measurement.E.8]],InputTable[[#This Row],[measurement.G.8]],InputTable[[#This Row],[measurement.S.8]],InputTable[[#This Row],[measurement.C.8]])</f>
        <v>2240.072234284185</v>
      </c>
      <c r="DE63" s="32">
        <f>SUM(InputTable[[#This Row],[measurement.E.9]],InputTable[[#This Row],[measurement.G.9]],InputTable[[#This Row],[measurement.S.9]],InputTable[[#This Row],[measurement.C.9]])</f>
        <v>2239.509700134774</v>
      </c>
      <c r="DF63" s="32">
        <f>SUM(InputTable[[#This Row],[measurement.E.10]],InputTable[[#This Row],[measurement.G.10]],InputTable[[#This Row],[measurement.S.10]],InputTable[[#This Row],[measurement.C.10]])</f>
        <v>2223.6655026466751</v>
      </c>
      <c r="DG63" s="32">
        <f>SUM(InputTable[[#This Row],[measurement.E.11]],InputTable[[#This Row],[measurement.G.11]],InputTable[[#This Row],[measurement.S.11]],InputTable[[#This Row],[measurement.C.11]])</f>
        <v>1969.969038995675</v>
      </c>
      <c r="DH63" s="32">
        <f>SUM(InputTable[[#This Row],[measurement.E.12]],InputTable[[#This Row],[measurement.G.12]],InputTable[[#This Row],[measurement.S.12]],InputTable[[#This Row],[measurement.C.12]])</f>
        <v>1719.225901561686</v>
      </c>
    </row>
    <row r="64" spans="1:112" s="32" customFormat="1" ht="30" customHeight="1" x14ac:dyDescent="0.3">
      <c r="A64" s="2" t="s">
        <v>268</v>
      </c>
      <c r="B64" s="3">
        <v>25391</v>
      </c>
      <c r="C64" s="3" t="s">
        <v>171</v>
      </c>
      <c r="D64" s="3" t="s">
        <v>172</v>
      </c>
      <c r="E64" s="4" t="s">
        <v>173</v>
      </c>
      <c r="F64" s="4" t="s">
        <v>174</v>
      </c>
      <c r="G64" s="4"/>
      <c r="H64" s="4" t="s">
        <v>175</v>
      </c>
      <c r="I64" s="5">
        <v>37.333495079999999</v>
      </c>
      <c r="J64" s="5">
        <v>-121.880162</v>
      </c>
      <c r="K64" s="48" t="s">
        <v>176</v>
      </c>
      <c r="L64" s="10"/>
      <c r="M64" s="3" t="s">
        <v>265</v>
      </c>
      <c r="N64" s="3" t="s">
        <v>15</v>
      </c>
      <c r="O64" s="4" t="s">
        <v>16</v>
      </c>
      <c r="P64" s="3">
        <v>2023</v>
      </c>
      <c r="Q64" s="59">
        <f>IF(COUNTBLANK(InputTable[[#This Row],[measurement.E.1]:[measurement.C.12]])=4*12,"",SUM(InputTable[[#This Row],[measurement.eui.E]:[measurement.eui.C]]))</f>
        <v>63.596442944030706</v>
      </c>
      <c r="R64" s="33" cm="1">
        <f t="array" ref="R6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26.958612330405188</v>
      </c>
      <c r="S64" s="33" cm="1">
        <f t="array" ref="S6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4" s="33" cm="1">
        <f t="array" ref="T6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64" s="33" cm="1">
        <f t="array" ref="U6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64" s="6">
        <v>17363.173597709028</v>
      </c>
      <c r="W64" s="9">
        <v>16493.29750277429</v>
      </c>
      <c r="X64" s="9">
        <v>17370.971721692171</v>
      </c>
      <c r="Y64" s="9">
        <v>17258.635349822991</v>
      </c>
      <c r="Z64" s="9">
        <v>16462.232189707069</v>
      </c>
      <c r="AA64" s="9">
        <v>15874.40932766387</v>
      </c>
      <c r="AB64" s="9">
        <v>16410.020427723819</v>
      </c>
      <c r="AC64" s="9">
        <v>17498.24770124357</v>
      </c>
      <c r="AD64" s="9">
        <v>16511.776011945971</v>
      </c>
      <c r="AE64" s="9">
        <v>16374.649714168039</v>
      </c>
      <c r="AF64" s="9">
        <v>15865.743823702869</v>
      </c>
      <c r="AG64" s="9">
        <v>17125.787372392289</v>
      </c>
      <c r="AH64" s="6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6">
        <v>1095.510481793277</v>
      </c>
      <c r="AU64" s="9">
        <v>1066.0636592741989</v>
      </c>
      <c r="AV64" s="9">
        <v>927.00368992624124</v>
      </c>
      <c r="AW64" s="9">
        <v>568.23133179163267</v>
      </c>
      <c r="AX64" s="9">
        <v>423.3746742320842</v>
      </c>
      <c r="AY64" s="9">
        <v>265.11654801359549</v>
      </c>
      <c r="AZ64" s="9">
        <v>269.51927400548612</v>
      </c>
      <c r="BA64" s="9">
        <v>208.27243320959749</v>
      </c>
      <c r="BB64" s="9">
        <v>247.39213795089211</v>
      </c>
      <c r="BC64" s="9">
        <v>362.98163881164493</v>
      </c>
      <c r="BD64" s="9">
        <v>653.85237547307156</v>
      </c>
      <c r="BE64" s="9">
        <v>942.61452863232478</v>
      </c>
      <c r="BF64" s="6">
        <v>917.63959235388597</v>
      </c>
      <c r="BG64" s="9">
        <v>729.68530060798389</v>
      </c>
      <c r="BH64" s="9">
        <v>1276.730967927183</v>
      </c>
      <c r="BI64" s="9">
        <v>1685.005522527689</v>
      </c>
      <c r="BJ64" s="9">
        <v>1958.4216517137299</v>
      </c>
      <c r="BK64" s="9">
        <v>1838.9311340649119</v>
      </c>
      <c r="BL64" s="9">
        <v>2083.319008334674</v>
      </c>
      <c r="BM64" s="9">
        <v>2154.982463501799</v>
      </c>
      <c r="BN64" s="9">
        <v>1890.6092099456721</v>
      </c>
      <c r="BO64" s="9">
        <v>1887.916714142824</v>
      </c>
      <c r="BP64" s="9">
        <v>1420.3383560151231</v>
      </c>
      <c r="BQ64" s="9">
        <v>1096.243395461255</v>
      </c>
      <c r="BR64" s="7"/>
      <c r="BS64" s="8"/>
      <c r="BT64" s="8"/>
      <c r="BU64" s="8"/>
      <c r="BX64" s="32" cm="1">
        <f t="array" ref="BX64">IFERROR(_xlfn.QUARTILE.INC(_xlfn._xlws.FILTER($Q$5:$Q$64,$C$5:$C$64=$C64,""),3),"")</f>
        <v>64.112055304293477</v>
      </c>
      <c r="BY64" s="32" cm="1">
        <f t="array" ref="BY64">IFERROR(_xlfn.QUARTILE.INC(_xlfn._xlws.FILTER($Q$5:$Q$64,$C$5:$C$64=$C64,""),2),"")</f>
        <v>39.725763352573587</v>
      </c>
      <c r="BZ64" s="32" cm="1">
        <f t="array" ref="BZ64">IFERROR(_xlfn.QUARTILE.INC(_xlfn._xlws.FILTER($Q$5:$Q$64,$C$5:$C$64=$C64,""),1),"")</f>
        <v>32.115150872687749</v>
      </c>
      <c r="CA64" s="32">
        <f t="shared" si="10"/>
        <v>31.996904431605728</v>
      </c>
      <c r="CB64" s="32">
        <f t="shared" si="11"/>
        <v>112.10741195170206</v>
      </c>
      <c r="CC64" s="32">
        <f t="shared" si="12"/>
        <v>-15.880205774720842</v>
      </c>
      <c r="CD64" s="32">
        <f t="shared" si="13"/>
        <v>0</v>
      </c>
      <c r="CE64" s="32">
        <f t="shared" si="14"/>
        <v>0</v>
      </c>
      <c r="CF64" s="32">
        <f t="shared" si="15"/>
        <v>0</v>
      </c>
      <c r="CG64" s="32">
        <f t="shared" si="16"/>
        <v>0</v>
      </c>
      <c r="CO6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4" s="32">
        <f>IF(AND(InputTable[[#This Row],[metadata.primary_cooling_system]]="District Cooling",InputTable[[#This Row],[measurement.eui.C]]&gt;=InputTable[[#This Row],[measurement.eui.total]]*0.6),1,0)*$CQ$2</f>
        <v>0</v>
      </c>
      <c r="CR64" s="32">
        <f>IF(AND(InputTable[[#This Row],[metadata.primary_cooling_system]]="District Cooling",InputTable[[#This Row],[measurement.eui.C]]&lt;=InputTable[[#This Row],[measurement.eui.total]]*0.1),1,0)*$CR$2</f>
        <v>0</v>
      </c>
      <c r="CS64" s="32">
        <f t="shared" si="17"/>
        <v>0</v>
      </c>
      <c r="CU64" s="32">
        <f t="shared" si="18"/>
        <v>2344.888038014933</v>
      </c>
      <c r="CV64" s="32">
        <f t="shared" si="19"/>
        <v>4685.0447350991135</v>
      </c>
      <c r="CW64" s="32">
        <f>SUM(InputTable[[#This Row],[measurement.E.1]],InputTable[[#This Row],[measurement.G.1]],InputTable[[#This Row],[measurement.S.1]],InputTable[[#This Row],[measurement.C.1]])</f>
        <v>19376.323671856193</v>
      </c>
      <c r="CX64" s="32">
        <f>SUM(InputTable[[#This Row],[measurement.E.2]],InputTable[[#This Row],[measurement.G.2]],InputTable[[#This Row],[measurement.S.2]],InputTable[[#This Row],[measurement.C.2]])</f>
        <v>18289.046462656472</v>
      </c>
      <c r="CY64" s="32">
        <f>SUM(InputTable[[#This Row],[measurement.E.3]],InputTable[[#This Row],[measurement.G.3]],InputTable[[#This Row],[measurement.S.3]],InputTable[[#This Row],[measurement.C.3]])</f>
        <v>19574.706379545594</v>
      </c>
      <c r="CZ64" s="32">
        <f>SUM(InputTable[[#This Row],[measurement.E.4]],InputTable[[#This Row],[measurement.G.4]],InputTable[[#This Row],[measurement.S.4]],InputTable[[#This Row],[measurement.C.4]])</f>
        <v>19511.872204142313</v>
      </c>
      <c r="DA64" s="32">
        <f>SUM(InputTable[[#This Row],[measurement.E.5]],InputTable[[#This Row],[measurement.G.5]],InputTable[[#This Row],[measurement.S.5]],InputTable[[#This Row],[measurement.C.5]])</f>
        <v>18844.028515652881</v>
      </c>
      <c r="DB64" s="32">
        <f>SUM(InputTable[[#This Row],[measurement.E.6]],InputTable[[#This Row],[measurement.G.6]],InputTable[[#This Row],[measurement.S.6]],InputTable[[#This Row],[measurement.C.6]])</f>
        <v>17978.457009742378</v>
      </c>
      <c r="DC64" s="32">
        <f>SUM(InputTable[[#This Row],[measurement.E.7]],InputTable[[#This Row],[measurement.G.7]],InputTable[[#This Row],[measurement.S.7]],InputTable[[#This Row],[measurement.C.7]])</f>
        <v>18762.858710063978</v>
      </c>
      <c r="DD64" s="32">
        <f>SUM(InputTable[[#This Row],[measurement.E.8]],InputTable[[#This Row],[measurement.G.8]],InputTable[[#This Row],[measurement.S.8]],InputTable[[#This Row],[measurement.C.8]])</f>
        <v>19861.502597954965</v>
      </c>
      <c r="DE64" s="32">
        <f>SUM(InputTable[[#This Row],[measurement.E.9]],InputTable[[#This Row],[measurement.G.9]],InputTable[[#This Row],[measurement.S.9]],InputTable[[#This Row],[measurement.C.9]])</f>
        <v>18649.777359842537</v>
      </c>
      <c r="DF64" s="32">
        <f>SUM(InputTable[[#This Row],[measurement.E.10]],InputTable[[#This Row],[measurement.G.10]],InputTable[[#This Row],[measurement.S.10]],InputTable[[#This Row],[measurement.C.10]])</f>
        <v>18625.548067122505</v>
      </c>
      <c r="DG64" s="32">
        <f>SUM(InputTable[[#This Row],[measurement.E.11]],InputTable[[#This Row],[measurement.G.11]],InputTable[[#This Row],[measurement.S.11]],InputTable[[#This Row],[measurement.C.11]])</f>
        <v>17939.934555191063</v>
      </c>
      <c r="DH64" s="32">
        <f>SUM(InputTable[[#This Row],[measurement.E.12]],InputTable[[#This Row],[measurement.G.12]],InputTable[[#This Row],[measurement.S.12]],InputTable[[#This Row],[measurement.C.12]])</f>
        <v>19164.645296485869</v>
      </c>
    </row>
    <row r="65" spans="1:21" customFormat="1" ht="30" customHeight="1" x14ac:dyDescent="0.3">
      <c r="A65" t="s">
        <v>287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customFormat="1" ht="30" customHeight="1" x14ac:dyDescent="0.3"/>
    <row r="67" spans="1:21" customFormat="1" ht="30" customHeight="1" x14ac:dyDescent="0.3"/>
    <row r="68" spans="1:21" customFormat="1" ht="30" customHeight="1" x14ac:dyDescent="0.3"/>
    <row r="69" spans="1:21" customFormat="1" ht="30" customHeight="1" x14ac:dyDescent="0.3"/>
    <row r="70" spans="1:21" customFormat="1" ht="30" customHeight="1" x14ac:dyDescent="0.3"/>
    <row r="71" spans="1:21" customFormat="1" ht="30" customHeight="1" x14ac:dyDescent="0.3"/>
    <row r="72" spans="1:21" customFormat="1" ht="30" customHeight="1" x14ac:dyDescent="0.3"/>
    <row r="73" spans="1:21" customFormat="1" ht="30" customHeight="1" x14ac:dyDescent="0.3"/>
    <row r="74" spans="1:21" customFormat="1" ht="30" customHeight="1" x14ac:dyDescent="0.3"/>
    <row r="75" spans="1:21" customFormat="1" ht="30" customHeight="1" x14ac:dyDescent="0.3"/>
    <row r="76" spans="1:21" customFormat="1" ht="30" customHeight="1" x14ac:dyDescent="0.3"/>
    <row r="77" spans="1:21" customFormat="1" ht="30" customHeight="1" x14ac:dyDescent="0.3"/>
    <row r="78" spans="1:21" customFormat="1" ht="30" customHeight="1" x14ac:dyDescent="0.3"/>
    <row r="79" spans="1:21" customFormat="1" ht="30" customHeight="1" x14ac:dyDescent="0.3"/>
    <row r="80" spans="1:21" customFormat="1" ht="30" customHeight="1" x14ac:dyDescent="0.3"/>
    <row r="81" customFormat="1" ht="30" customHeight="1" x14ac:dyDescent="0.3"/>
    <row r="82" customFormat="1" ht="30" customHeight="1" x14ac:dyDescent="0.3"/>
    <row r="83" customFormat="1" ht="30" customHeight="1" x14ac:dyDescent="0.3"/>
    <row r="84" customFormat="1" ht="30" customHeight="1" x14ac:dyDescent="0.3"/>
    <row r="85" customFormat="1" ht="30" customHeight="1" x14ac:dyDescent="0.3"/>
    <row r="86" customFormat="1" ht="30" customHeight="1" x14ac:dyDescent="0.3"/>
    <row r="87" customFormat="1" ht="30" customHeight="1" x14ac:dyDescent="0.3"/>
    <row r="88" customFormat="1" ht="30" customHeight="1" x14ac:dyDescent="0.3"/>
    <row r="89" customFormat="1" ht="30" customHeight="1" x14ac:dyDescent="0.3"/>
    <row r="90" customFormat="1" ht="30" customHeight="1" x14ac:dyDescent="0.3"/>
    <row r="91" customFormat="1" ht="30" customHeight="1" x14ac:dyDescent="0.3"/>
    <row r="92" customFormat="1" ht="30" customHeight="1" x14ac:dyDescent="0.3"/>
    <row r="93" customFormat="1" ht="30" customHeight="1" x14ac:dyDescent="0.3"/>
    <row r="94" customFormat="1" ht="30" customHeight="1" x14ac:dyDescent="0.3"/>
    <row r="95" customFormat="1" ht="30" customHeight="1" x14ac:dyDescent="0.3"/>
    <row r="96" customFormat="1" ht="30" customHeight="1" x14ac:dyDescent="0.3"/>
    <row r="97" customFormat="1" ht="30" customHeight="1" x14ac:dyDescent="0.3"/>
    <row r="98" customFormat="1" ht="30" customHeight="1" x14ac:dyDescent="0.3"/>
    <row r="99" customFormat="1" ht="30" customHeight="1" x14ac:dyDescent="0.3"/>
    <row r="100" customFormat="1" ht="30" customHeight="1" x14ac:dyDescent="0.3"/>
    <row r="101" customFormat="1" ht="30" customHeight="1" x14ac:dyDescent="0.3"/>
    <row r="102" customFormat="1" ht="30" customHeight="1" x14ac:dyDescent="0.3"/>
    <row r="103" customFormat="1" ht="30" customHeight="1" x14ac:dyDescent="0.3"/>
    <row r="104" customFormat="1" ht="30" customHeight="1" x14ac:dyDescent="0.3"/>
    <row r="105" customFormat="1" ht="30" customHeight="1" x14ac:dyDescent="0.3"/>
    <row r="106" customFormat="1" ht="30" customHeight="1" x14ac:dyDescent="0.3"/>
    <row r="107" customFormat="1" ht="30" customHeight="1" x14ac:dyDescent="0.3"/>
    <row r="108" customFormat="1" ht="30" customHeight="1" x14ac:dyDescent="0.3"/>
    <row r="109" customFormat="1" ht="30" customHeight="1" x14ac:dyDescent="0.3"/>
    <row r="110" customFormat="1" ht="30" customHeight="1" x14ac:dyDescent="0.3"/>
    <row r="111" customFormat="1" ht="30" customHeight="1" x14ac:dyDescent="0.3"/>
    <row r="112" customFormat="1" ht="30" customHeight="1" x14ac:dyDescent="0.3"/>
    <row r="113" customFormat="1" ht="30" customHeight="1" x14ac:dyDescent="0.3"/>
    <row r="114" customFormat="1" ht="30" customHeight="1" x14ac:dyDescent="0.3"/>
    <row r="115" customFormat="1" ht="30" customHeight="1" x14ac:dyDescent="0.3"/>
    <row r="116" customFormat="1" ht="30" customHeight="1" x14ac:dyDescent="0.3"/>
    <row r="117" customFormat="1" ht="30" customHeight="1" x14ac:dyDescent="0.3"/>
    <row r="118" customFormat="1" ht="30" customHeight="1" x14ac:dyDescent="0.3"/>
    <row r="119" customFormat="1" ht="30" customHeight="1" x14ac:dyDescent="0.3"/>
    <row r="120" customFormat="1" ht="30" customHeight="1" x14ac:dyDescent="0.3"/>
    <row r="121" customFormat="1" ht="30" customHeight="1" x14ac:dyDescent="0.3"/>
    <row r="122" customFormat="1" ht="30" customHeight="1" x14ac:dyDescent="0.3"/>
    <row r="123" customFormat="1" ht="30" customHeight="1" x14ac:dyDescent="0.3"/>
    <row r="124" customFormat="1" ht="30" customHeight="1" x14ac:dyDescent="0.3"/>
    <row r="125" customFormat="1" ht="30" customHeight="1" x14ac:dyDescent="0.3"/>
    <row r="126" customFormat="1" ht="30" customHeight="1" x14ac:dyDescent="0.3"/>
    <row r="127" customFormat="1" ht="30" customHeight="1" x14ac:dyDescent="0.3"/>
    <row r="128" customFormat="1" ht="30" customHeight="1" x14ac:dyDescent="0.3"/>
    <row r="129" customFormat="1" ht="30" customHeight="1" x14ac:dyDescent="0.3"/>
    <row r="130" customFormat="1" ht="30" customHeight="1" x14ac:dyDescent="0.3"/>
    <row r="131" customFormat="1" ht="30" customHeight="1" x14ac:dyDescent="0.3"/>
    <row r="132" customFormat="1" ht="30" customHeight="1" x14ac:dyDescent="0.3"/>
    <row r="133" customFormat="1" ht="30" customHeight="1" x14ac:dyDescent="0.3"/>
    <row r="134" customFormat="1" ht="30" customHeight="1" x14ac:dyDescent="0.3"/>
    <row r="135" customFormat="1" ht="30" customHeight="1" x14ac:dyDescent="0.3"/>
    <row r="136" customFormat="1" ht="30" customHeight="1" x14ac:dyDescent="0.3"/>
    <row r="137" customFormat="1" ht="30" customHeight="1" x14ac:dyDescent="0.3"/>
    <row r="138" customFormat="1" ht="30" customHeight="1" x14ac:dyDescent="0.3"/>
    <row r="139" customFormat="1" ht="30" customHeight="1" x14ac:dyDescent="0.3"/>
    <row r="140" customFormat="1" ht="30" customHeight="1" x14ac:dyDescent="0.3"/>
    <row r="141" customFormat="1" ht="30" customHeight="1" x14ac:dyDescent="0.3"/>
    <row r="142" customFormat="1" ht="30" customHeight="1" x14ac:dyDescent="0.3"/>
    <row r="143" customFormat="1" ht="30" customHeight="1" x14ac:dyDescent="0.3"/>
    <row r="144" customFormat="1" ht="30" customHeight="1" x14ac:dyDescent="0.3"/>
    <row r="145" customFormat="1" ht="30" customHeight="1" x14ac:dyDescent="0.3"/>
    <row r="146" customFormat="1" ht="30" customHeight="1" x14ac:dyDescent="0.3"/>
    <row r="147" customFormat="1" ht="30" customHeight="1" x14ac:dyDescent="0.3"/>
    <row r="148" customFormat="1" ht="30" customHeight="1" x14ac:dyDescent="0.3"/>
    <row r="149" customFormat="1" ht="30" customHeight="1" x14ac:dyDescent="0.3"/>
    <row r="150" customFormat="1" ht="30" customHeight="1" x14ac:dyDescent="0.3"/>
    <row r="151" customFormat="1" ht="30" customHeight="1" x14ac:dyDescent="0.3"/>
    <row r="152" customFormat="1" ht="30" customHeight="1" x14ac:dyDescent="0.3"/>
    <row r="153" customFormat="1" ht="30" customHeight="1" x14ac:dyDescent="0.3"/>
    <row r="154" customFormat="1" ht="30" customHeight="1" x14ac:dyDescent="0.3"/>
    <row r="155" customFormat="1" ht="30" customHeight="1" x14ac:dyDescent="0.3"/>
    <row r="156" customFormat="1" ht="30" customHeight="1" x14ac:dyDescent="0.3"/>
    <row r="157" customFormat="1" ht="30" customHeight="1" x14ac:dyDescent="0.3"/>
    <row r="158" customFormat="1" ht="30" customHeight="1" x14ac:dyDescent="0.3"/>
    <row r="159" customFormat="1" ht="30" customHeight="1" x14ac:dyDescent="0.3"/>
    <row r="160" customFormat="1" ht="30" customHeight="1" x14ac:dyDescent="0.3"/>
    <row r="161" customFormat="1" ht="30" customHeight="1" x14ac:dyDescent="0.3"/>
    <row r="162" customFormat="1" ht="30" customHeight="1" x14ac:dyDescent="0.3"/>
    <row r="163" customFormat="1" ht="30" customHeight="1" x14ac:dyDescent="0.3"/>
    <row r="164" customFormat="1" ht="30" customHeight="1" x14ac:dyDescent="0.3"/>
    <row r="165" customFormat="1" ht="30" customHeight="1" x14ac:dyDescent="0.3"/>
    <row r="166" customFormat="1" ht="30" customHeight="1" x14ac:dyDescent="0.3"/>
    <row r="167" customFormat="1" ht="30" customHeight="1" x14ac:dyDescent="0.3"/>
    <row r="168" customFormat="1" ht="30" customHeight="1" x14ac:dyDescent="0.3"/>
    <row r="169" customFormat="1" ht="30" customHeight="1" x14ac:dyDescent="0.3"/>
    <row r="170" customFormat="1" ht="30" customHeight="1" x14ac:dyDescent="0.3"/>
    <row r="171" customFormat="1" ht="30" customHeight="1" x14ac:dyDescent="0.3"/>
    <row r="172" customFormat="1" ht="30" customHeight="1" x14ac:dyDescent="0.3"/>
    <row r="173" customFormat="1" ht="30" customHeight="1" x14ac:dyDescent="0.3"/>
    <row r="174" customFormat="1" ht="30" customHeight="1" x14ac:dyDescent="0.3"/>
    <row r="175" customFormat="1" ht="30" customHeight="1" x14ac:dyDescent="0.3"/>
    <row r="176" customFormat="1" ht="30" customHeight="1" x14ac:dyDescent="0.3"/>
    <row r="177" customFormat="1" ht="30" customHeight="1" x14ac:dyDescent="0.3"/>
    <row r="178" customFormat="1" ht="30" customHeight="1" x14ac:dyDescent="0.3"/>
    <row r="179" customFormat="1" ht="30" customHeight="1" x14ac:dyDescent="0.3"/>
    <row r="180" customFormat="1" ht="30" customHeight="1" x14ac:dyDescent="0.3"/>
    <row r="181" customFormat="1" ht="30" customHeight="1" x14ac:dyDescent="0.3"/>
    <row r="182" customFormat="1" ht="30" customHeight="1" x14ac:dyDescent="0.3"/>
    <row r="183" customFormat="1" ht="30" customHeight="1" x14ac:dyDescent="0.3"/>
    <row r="184" customFormat="1" ht="30" customHeight="1" x14ac:dyDescent="0.3"/>
    <row r="185" customFormat="1" ht="30" customHeight="1" x14ac:dyDescent="0.3"/>
    <row r="186" customFormat="1" ht="30" customHeight="1" x14ac:dyDescent="0.3"/>
    <row r="187" customFormat="1" ht="30" customHeight="1" x14ac:dyDescent="0.3"/>
    <row r="188" customFormat="1" ht="30" customHeight="1" x14ac:dyDescent="0.3"/>
    <row r="189" customFormat="1" ht="30" customHeight="1" x14ac:dyDescent="0.3"/>
    <row r="190" customFormat="1" ht="30" customHeight="1" x14ac:dyDescent="0.3"/>
    <row r="191" customFormat="1" ht="30" customHeight="1" x14ac:dyDescent="0.3"/>
    <row r="192" customFormat="1" ht="30" customHeight="1" x14ac:dyDescent="0.3"/>
    <row r="193" customFormat="1" ht="30" customHeight="1" x14ac:dyDescent="0.3"/>
    <row r="194" customFormat="1" ht="30" customHeight="1" x14ac:dyDescent="0.3"/>
    <row r="195" customFormat="1" ht="30" customHeight="1" x14ac:dyDescent="0.3"/>
    <row r="196" customFormat="1" ht="30" customHeight="1" x14ac:dyDescent="0.3"/>
    <row r="197" customFormat="1" ht="30" customHeight="1" x14ac:dyDescent="0.3"/>
    <row r="198" customFormat="1" ht="30" customHeight="1" x14ac:dyDescent="0.3"/>
    <row r="199" customFormat="1" ht="30" customHeight="1" x14ac:dyDescent="0.3"/>
    <row r="200" customFormat="1" ht="30" customHeight="1" x14ac:dyDescent="0.3"/>
    <row r="201" customFormat="1" ht="30" customHeight="1" x14ac:dyDescent="0.3"/>
    <row r="202" customFormat="1" ht="30" customHeight="1" x14ac:dyDescent="0.3"/>
    <row r="203" customFormat="1" ht="30" customHeight="1" x14ac:dyDescent="0.3"/>
    <row r="204" customFormat="1" ht="30" customHeight="1" x14ac:dyDescent="0.3"/>
    <row r="205" customFormat="1" ht="30" customHeight="1" x14ac:dyDescent="0.3"/>
    <row r="206" customFormat="1" ht="30" customHeight="1" x14ac:dyDescent="0.3"/>
    <row r="207" customFormat="1" ht="30" customHeight="1" x14ac:dyDescent="0.3"/>
    <row r="208" customFormat="1" ht="30" customHeight="1" x14ac:dyDescent="0.3"/>
    <row r="209" customFormat="1" ht="30" customHeight="1" x14ac:dyDescent="0.3"/>
    <row r="210" customFormat="1" ht="30" customHeight="1" x14ac:dyDescent="0.3"/>
    <row r="211" customFormat="1" ht="30" customHeight="1" x14ac:dyDescent="0.3"/>
    <row r="212" customFormat="1" ht="30" customHeight="1" x14ac:dyDescent="0.3"/>
    <row r="213" customFormat="1" ht="30" customHeight="1" x14ac:dyDescent="0.3"/>
    <row r="214" customFormat="1" ht="30" customHeight="1" x14ac:dyDescent="0.3"/>
    <row r="215" customFormat="1" ht="30" customHeight="1" x14ac:dyDescent="0.3"/>
    <row r="216" customFormat="1" ht="30" customHeight="1" x14ac:dyDescent="0.3"/>
    <row r="217" customFormat="1" ht="30" customHeight="1" x14ac:dyDescent="0.3"/>
    <row r="218" customFormat="1" ht="30" customHeight="1" x14ac:dyDescent="0.3"/>
    <row r="219" customFormat="1" ht="30" customHeight="1" x14ac:dyDescent="0.3"/>
    <row r="220" customFormat="1" ht="30" customHeight="1" x14ac:dyDescent="0.3"/>
    <row r="221" customFormat="1" ht="30" customHeight="1" x14ac:dyDescent="0.3"/>
    <row r="222" customFormat="1" ht="30" customHeight="1" x14ac:dyDescent="0.3"/>
    <row r="223" customFormat="1" ht="30" customHeight="1" x14ac:dyDescent="0.3"/>
    <row r="224" customFormat="1" ht="30" customHeight="1" x14ac:dyDescent="0.3"/>
    <row r="225" customFormat="1" ht="30" customHeight="1" x14ac:dyDescent="0.3"/>
    <row r="226" customFormat="1" ht="30" customHeight="1" x14ac:dyDescent="0.3"/>
    <row r="227" customFormat="1" ht="30" customHeight="1" x14ac:dyDescent="0.3"/>
    <row r="228" customFormat="1" ht="30" customHeight="1" x14ac:dyDescent="0.3"/>
    <row r="229" customFormat="1" ht="30" customHeight="1" x14ac:dyDescent="0.3"/>
    <row r="230" customFormat="1" ht="30" customHeight="1" x14ac:dyDescent="0.3"/>
    <row r="231" customFormat="1" ht="30" customHeight="1" x14ac:dyDescent="0.3"/>
    <row r="232" customFormat="1" ht="30" customHeight="1" x14ac:dyDescent="0.3"/>
    <row r="233" customFormat="1" ht="30" customHeight="1" x14ac:dyDescent="0.3"/>
    <row r="234" customFormat="1" ht="30" customHeight="1" x14ac:dyDescent="0.3"/>
    <row r="235" customFormat="1" ht="30" customHeight="1" x14ac:dyDescent="0.3"/>
    <row r="236" customFormat="1" ht="30" customHeight="1" x14ac:dyDescent="0.3"/>
    <row r="237" customFormat="1" ht="30" customHeight="1" x14ac:dyDescent="0.3"/>
    <row r="238" customFormat="1" ht="30" customHeight="1" x14ac:dyDescent="0.3"/>
    <row r="239" customFormat="1" ht="30" customHeight="1" x14ac:dyDescent="0.3"/>
    <row r="240" customFormat="1" ht="30" customHeight="1" x14ac:dyDescent="0.3"/>
    <row r="241" customFormat="1" ht="30" customHeight="1" x14ac:dyDescent="0.3"/>
    <row r="242" customFormat="1" ht="30" customHeight="1" x14ac:dyDescent="0.3"/>
    <row r="243" customFormat="1" ht="30" customHeight="1" x14ac:dyDescent="0.3"/>
    <row r="244" customFormat="1" ht="30" customHeight="1" x14ac:dyDescent="0.3"/>
    <row r="245" customFormat="1" ht="30" customHeight="1" x14ac:dyDescent="0.3"/>
    <row r="246" customFormat="1" ht="30" customHeight="1" x14ac:dyDescent="0.3"/>
    <row r="247" customFormat="1" ht="30" customHeight="1" x14ac:dyDescent="0.3"/>
    <row r="248" customFormat="1" ht="30" customHeight="1" x14ac:dyDescent="0.3"/>
    <row r="249" customFormat="1" ht="30" customHeight="1" x14ac:dyDescent="0.3"/>
    <row r="250" customFormat="1" ht="30" customHeight="1" x14ac:dyDescent="0.3"/>
    <row r="251" customFormat="1" ht="30" customHeight="1" x14ac:dyDescent="0.3"/>
    <row r="252" customFormat="1" ht="30" customHeight="1" x14ac:dyDescent="0.3"/>
    <row r="253" customFormat="1" ht="30" customHeight="1" x14ac:dyDescent="0.3"/>
    <row r="254" customFormat="1" ht="30" customHeight="1" x14ac:dyDescent="0.3"/>
    <row r="255" customFormat="1" ht="30" customHeight="1" x14ac:dyDescent="0.3"/>
    <row r="256" customFormat="1" ht="30" customHeight="1" x14ac:dyDescent="0.3"/>
    <row r="257" customFormat="1" ht="30" customHeight="1" x14ac:dyDescent="0.3"/>
    <row r="258" customFormat="1" ht="30" customHeight="1" x14ac:dyDescent="0.3"/>
    <row r="259" customFormat="1" ht="30" customHeight="1" x14ac:dyDescent="0.3"/>
    <row r="260" customFormat="1" ht="30" customHeight="1" x14ac:dyDescent="0.3"/>
    <row r="261" customFormat="1" ht="30" customHeight="1" x14ac:dyDescent="0.3"/>
    <row r="262" customFormat="1" ht="30" customHeight="1" x14ac:dyDescent="0.3"/>
    <row r="263" customFormat="1" ht="30" customHeight="1" x14ac:dyDescent="0.3"/>
    <row r="264" customFormat="1" ht="30" customHeight="1" x14ac:dyDescent="0.3"/>
    <row r="265" customFormat="1" ht="30" customHeight="1" x14ac:dyDescent="0.3"/>
    <row r="266" customFormat="1" ht="30" customHeight="1" x14ac:dyDescent="0.3"/>
    <row r="267" customFormat="1" ht="30" customHeight="1" x14ac:dyDescent="0.3"/>
    <row r="268" customFormat="1" ht="30" customHeight="1" x14ac:dyDescent="0.3"/>
    <row r="269" customFormat="1" ht="30" customHeight="1" x14ac:dyDescent="0.3"/>
    <row r="270" customFormat="1" ht="30" customHeight="1" x14ac:dyDescent="0.3"/>
    <row r="271" customFormat="1" ht="30" customHeight="1" x14ac:dyDescent="0.3"/>
    <row r="272" customFormat="1" ht="30" customHeight="1" x14ac:dyDescent="0.3"/>
    <row r="273" customFormat="1" ht="30" customHeight="1" x14ac:dyDescent="0.3"/>
    <row r="274" customFormat="1" ht="30" customHeight="1" x14ac:dyDescent="0.3"/>
    <row r="275" customFormat="1" ht="30" customHeight="1" x14ac:dyDescent="0.3"/>
    <row r="276" customFormat="1" ht="30" customHeight="1" x14ac:dyDescent="0.3"/>
    <row r="277" customFormat="1" ht="30" customHeight="1" x14ac:dyDescent="0.3"/>
    <row r="278" customFormat="1" ht="30" customHeight="1" x14ac:dyDescent="0.3"/>
    <row r="279" customFormat="1" ht="30" customHeight="1" x14ac:dyDescent="0.3"/>
    <row r="280" customFormat="1" ht="30" customHeight="1" x14ac:dyDescent="0.3"/>
    <row r="281" customFormat="1" ht="30" customHeight="1" x14ac:dyDescent="0.3"/>
    <row r="282" customFormat="1" ht="30" customHeight="1" x14ac:dyDescent="0.3"/>
    <row r="283" customFormat="1" ht="30" customHeight="1" x14ac:dyDescent="0.3"/>
    <row r="284" customFormat="1" ht="30" customHeight="1" x14ac:dyDescent="0.3"/>
    <row r="285" customFormat="1" ht="30" customHeight="1" x14ac:dyDescent="0.3"/>
    <row r="286" customFormat="1" ht="30" customHeight="1" x14ac:dyDescent="0.3"/>
    <row r="287" customFormat="1" ht="30" customHeight="1" x14ac:dyDescent="0.3"/>
    <row r="288" customFormat="1" ht="30" customHeight="1" x14ac:dyDescent="0.3"/>
    <row r="289" customFormat="1" ht="30" customHeight="1" x14ac:dyDescent="0.3"/>
    <row r="290" customFormat="1" ht="30" customHeight="1" x14ac:dyDescent="0.3"/>
    <row r="291" customFormat="1" ht="30" customHeight="1" x14ac:dyDescent="0.3"/>
    <row r="292" customFormat="1" ht="30" customHeight="1" x14ac:dyDescent="0.3"/>
    <row r="293" customFormat="1" ht="30" customHeight="1" x14ac:dyDescent="0.3"/>
    <row r="294" customFormat="1" ht="30" customHeight="1" x14ac:dyDescent="0.3"/>
    <row r="295" customFormat="1" ht="30" customHeight="1" x14ac:dyDescent="0.3"/>
    <row r="296" customFormat="1" ht="30" customHeight="1" x14ac:dyDescent="0.3"/>
    <row r="297" customFormat="1" ht="30" customHeight="1" x14ac:dyDescent="0.3"/>
    <row r="298" customFormat="1" ht="30" customHeight="1" x14ac:dyDescent="0.3"/>
    <row r="299" customFormat="1" ht="30" customHeight="1" x14ac:dyDescent="0.3"/>
    <row r="300" customFormat="1" ht="30" customHeight="1" x14ac:dyDescent="0.3"/>
    <row r="301" customFormat="1" ht="30" customHeight="1" x14ac:dyDescent="0.3"/>
    <row r="302" customFormat="1" ht="30" customHeight="1" x14ac:dyDescent="0.3"/>
    <row r="303" customFormat="1" ht="30" customHeight="1" x14ac:dyDescent="0.3"/>
    <row r="304" customFormat="1" ht="30" customHeight="1" x14ac:dyDescent="0.3"/>
    <row r="305" customFormat="1" ht="30" customHeight="1" x14ac:dyDescent="0.3"/>
    <row r="306" customFormat="1" ht="30" customHeight="1" x14ac:dyDescent="0.3"/>
    <row r="307" customFormat="1" ht="30" customHeight="1" x14ac:dyDescent="0.3"/>
    <row r="308" customFormat="1" ht="30" customHeight="1" x14ac:dyDescent="0.3"/>
    <row r="309" customFormat="1" ht="30" customHeight="1" x14ac:dyDescent="0.3"/>
    <row r="310" customFormat="1" ht="30" customHeight="1" x14ac:dyDescent="0.3"/>
    <row r="311" customFormat="1" ht="30" customHeight="1" x14ac:dyDescent="0.3"/>
    <row r="312" customFormat="1" ht="30" customHeight="1" x14ac:dyDescent="0.3"/>
    <row r="313" customFormat="1" ht="30" customHeight="1" x14ac:dyDescent="0.3"/>
    <row r="314" customFormat="1" ht="30" customHeight="1" x14ac:dyDescent="0.3"/>
    <row r="315" customFormat="1" ht="30" customHeight="1" x14ac:dyDescent="0.3"/>
    <row r="316" customFormat="1" ht="30" customHeight="1" x14ac:dyDescent="0.3"/>
    <row r="317" customFormat="1" ht="30" customHeight="1" x14ac:dyDescent="0.3"/>
    <row r="318" customFormat="1" ht="30" customHeight="1" x14ac:dyDescent="0.3"/>
    <row r="319" customFormat="1" ht="30" customHeight="1" x14ac:dyDescent="0.3"/>
    <row r="320" customFormat="1" ht="30" customHeight="1" x14ac:dyDescent="0.3"/>
    <row r="321" customFormat="1" ht="30" customHeight="1" x14ac:dyDescent="0.3"/>
    <row r="322" customFormat="1" ht="30" customHeight="1" x14ac:dyDescent="0.3"/>
    <row r="323" customFormat="1" ht="30" customHeight="1" x14ac:dyDescent="0.3"/>
    <row r="324" customFormat="1" ht="30" customHeight="1" x14ac:dyDescent="0.3"/>
    <row r="325" customFormat="1" ht="30" customHeight="1" x14ac:dyDescent="0.3"/>
    <row r="326" customFormat="1" ht="30" customHeight="1" x14ac:dyDescent="0.3"/>
    <row r="327" customFormat="1" ht="30" customHeight="1" x14ac:dyDescent="0.3"/>
    <row r="328" customFormat="1" ht="30" customHeight="1" x14ac:dyDescent="0.3"/>
    <row r="329" customFormat="1" ht="30" customHeight="1" x14ac:dyDescent="0.3"/>
    <row r="330" customFormat="1" ht="30" customHeight="1" x14ac:dyDescent="0.3"/>
    <row r="331" customFormat="1" ht="30" customHeight="1" x14ac:dyDescent="0.3"/>
    <row r="332" customFormat="1" ht="30" customHeight="1" x14ac:dyDescent="0.3"/>
    <row r="333" customFormat="1" ht="30" customHeight="1" x14ac:dyDescent="0.3"/>
    <row r="334" customFormat="1" ht="30" customHeight="1" x14ac:dyDescent="0.3"/>
    <row r="335" customFormat="1" ht="30" customHeight="1" x14ac:dyDescent="0.3"/>
    <row r="336" customFormat="1" ht="30" customHeight="1" x14ac:dyDescent="0.3"/>
    <row r="337" customFormat="1" ht="30" customHeight="1" x14ac:dyDescent="0.3"/>
    <row r="338" customFormat="1" ht="30" customHeight="1" x14ac:dyDescent="0.3"/>
    <row r="339" customFormat="1" ht="30" customHeight="1" x14ac:dyDescent="0.3"/>
    <row r="340" customFormat="1" ht="30" customHeight="1" x14ac:dyDescent="0.3"/>
    <row r="341" customFormat="1" ht="30" customHeight="1" x14ac:dyDescent="0.3"/>
    <row r="342" customFormat="1" ht="30" customHeight="1" x14ac:dyDescent="0.3"/>
    <row r="343" customFormat="1" ht="30" customHeight="1" x14ac:dyDescent="0.3"/>
    <row r="344" customFormat="1" ht="30" customHeight="1" x14ac:dyDescent="0.3"/>
    <row r="345" customFormat="1" ht="30" customHeight="1" x14ac:dyDescent="0.3"/>
    <row r="346" customFormat="1" ht="30" customHeight="1" x14ac:dyDescent="0.3"/>
    <row r="347" customFormat="1" ht="30" customHeight="1" x14ac:dyDescent="0.3"/>
    <row r="348" customFormat="1" ht="30" customHeight="1" x14ac:dyDescent="0.3"/>
    <row r="349" customFormat="1" ht="30" customHeight="1" x14ac:dyDescent="0.3"/>
    <row r="350" customFormat="1" ht="30" customHeight="1" x14ac:dyDescent="0.3"/>
    <row r="351" customFormat="1" ht="30" customHeight="1" x14ac:dyDescent="0.3"/>
    <row r="352" customFormat="1" ht="30" customHeight="1" x14ac:dyDescent="0.3"/>
    <row r="353" customFormat="1" ht="30" customHeight="1" x14ac:dyDescent="0.3"/>
    <row r="354" customFormat="1" ht="30" customHeight="1" x14ac:dyDescent="0.3"/>
    <row r="355" customFormat="1" ht="30" customHeight="1" x14ac:dyDescent="0.3"/>
    <row r="356" customFormat="1" ht="30" customHeight="1" x14ac:dyDescent="0.3"/>
    <row r="357" customFormat="1" ht="30" customHeight="1" x14ac:dyDescent="0.3"/>
    <row r="358" customFormat="1" ht="30" customHeight="1" x14ac:dyDescent="0.3"/>
    <row r="359" customFormat="1" ht="30" customHeight="1" x14ac:dyDescent="0.3"/>
    <row r="360" customFormat="1" ht="30" customHeight="1" x14ac:dyDescent="0.3"/>
    <row r="361" customFormat="1" ht="30" customHeight="1" x14ac:dyDescent="0.3"/>
    <row r="362" customFormat="1" ht="30" customHeight="1" x14ac:dyDescent="0.3"/>
    <row r="363" customFormat="1" ht="30" customHeight="1" x14ac:dyDescent="0.3"/>
    <row r="364" customFormat="1" ht="30" customHeight="1" x14ac:dyDescent="0.3"/>
    <row r="365" customFormat="1" ht="30" customHeight="1" x14ac:dyDescent="0.3"/>
    <row r="366" customFormat="1" ht="30" customHeight="1" x14ac:dyDescent="0.3"/>
    <row r="367" customFormat="1" ht="30" customHeight="1" x14ac:dyDescent="0.3"/>
    <row r="368" customFormat="1" ht="30" customHeight="1" x14ac:dyDescent="0.3"/>
    <row r="369" customFormat="1" ht="30" customHeight="1" x14ac:dyDescent="0.3"/>
    <row r="370" customFormat="1" ht="30" customHeight="1" x14ac:dyDescent="0.3"/>
    <row r="371" customFormat="1" ht="30" customHeight="1" x14ac:dyDescent="0.3"/>
    <row r="372" customFormat="1" ht="30" customHeight="1" x14ac:dyDescent="0.3"/>
    <row r="373" customFormat="1" ht="30" customHeight="1" x14ac:dyDescent="0.3"/>
    <row r="374" customFormat="1" ht="30" customHeight="1" x14ac:dyDescent="0.3"/>
    <row r="375" customFormat="1" ht="30" customHeight="1" x14ac:dyDescent="0.3"/>
    <row r="376" customFormat="1" ht="30" customHeight="1" x14ac:dyDescent="0.3"/>
    <row r="377" customFormat="1" ht="30" customHeight="1" x14ac:dyDescent="0.3"/>
    <row r="378" customFormat="1" ht="30" customHeight="1" x14ac:dyDescent="0.3"/>
    <row r="379" customFormat="1" ht="30" customHeight="1" x14ac:dyDescent="0.3"/>
    <row r="380" customFormat="1" ht="30" customHeight="1" x14ac:dyDescent="0.3"/>
    <row r="381" customFormat="1" ht="30" customHeight="1" x14ac:dyDescent="0.3"/>
    <row r="382" customFormat="1" ht="30" customHeight="1" x14ac:dyDescent="0.3"/>
    <row r="383" customFormat="1" ht="30" customHeight="1" x14ac:dyDescent="0.3"/>
    <row r="384" customFormat="1" ht="30" customHeight="1" x14ac:dyDescent="0.3"/>
    <row r="385" customFormat="1" ht="30" customHeight="1" x14ac:dyDescent="0.3"/>
    <row r="386" customFormat="1" ht="30" customHeight="1" x14ac:dyDescent="0.3"/>
    <row r="387" customFormat="1" ht="30" customHeight="1" x14ac:dyDescent="0.3"/>
    <row r="388" customFormat="1" ht="30" customHeight="1" x14ac:dyDescent="0.3"/>
    <row r="389" customFormat="1" ht="30" customHeight="1" x14ac:dyDescent="0.3"/>
    <row r="390" customFormat="1" ht="30" customHeight="1" x14ac:dyDescent="0.3"/>
    <row r="391" customFormat="1" ht="30" customHeight="1" x14ac:dyDescent="0.3"/>
    <row r="392" customFormat="1" ht="30" customHeight="1" x14ac:dyDescent="0.3"/>
    <row r="393" customFormat="1" ht="30" customHeight="1" x14ac:dyDescent="0.3"/>
    <row r="394" customFormat="1" ht="30" customHeight="1" x14ac:dyDescent="0.3"/>
    <row r="395" customFormat="1" ht="30" customHeight="1" x14ac:dyDescent="0.3"/>
    <row r="396" customFormat="1" ht="30" customHeight="1" x14ac:dyDescent="0.3"/>
    <row r="397" customFormat="1" ht="30" customHeight="1" x14ac:dyDescent="0.3"/>
    <row r="398" customFormat="1" ht="30" customHeight="1" x14ac:dyDescent="0.3"/>
    <row r="399" customFormat="1" ht="30" customHeight="1" x14ac:dyDescent="0.3"/>
    <row r="400" customFormat="1" ht="30" customHeight="1" x14ac:dyDescent="0.3"/>
    <row r="401" customFormat="1" ht="30" customHeight="1" x14ac:dyDescent="0.3"/>
    <row r="402" customFormat="1" ht="30" customHeight="1" x14ac:dyDescent="0.3"/>
    <row r="403" customFormat="1" ht="30" customHeight="1" x14ac:dyDescent="0.3"/>
    <row r="404" customFormat="1" ht="30" customHeight="1" x14ac:dyDescent="0.3"/>
    <row r="405" customFormat="1" ht="30" customHeight="1" x14ac:dyDescent="0.3"/>
    <row r="406" customFormat="1" ht="30" customHeight="1" x14ac:dyDescent="0.3"/>
    <row r="407" customFormat="1" ht="30" customHeight="1" x14ac:dyDescent="0.3"/>
    <row r="408" customFormat="1" ht="30" customHeight="1" x14ac:dyDescent="0.3"/>
    <row r="409" customFormat="1" ht="30" customHeight="1" x14ac:dyDescent="0.3"/>
    <row r="410" customFormat="1" ht="30" customHeight="1" x14ac:dyDescent="0.3"/>
    <row r="411" customFormat="1" ht="30" customHeight="1" x14ac:dyDescent="0.3"/>
    <row r="412" customFormat="1" ht="30" customHeight="1" x14ac:dyDescent="0.3"/>
    <row r="413" customFormat="1" ht="30" customHeight="1" x14ac:dyDescent="0.3"/>
    <row r="414" customFormat="1" ht="30" customHeight="1" x14ac:dyDescent="0.3"/>
    <row r="415" customFormat="1" ht="30" customHeight="1" x14ac:dyDescent="0.3"/>
    <row r="416" customFormat="1" ht="30" customHeight="1" x14ac:dyDescent="0.3"/>
    <row r="417" customFormat="1" ht="30" customHeight="1" x14ac:dyDescent="0.3"/>
    <row r="418" customFormat="1" ht="30" customHeight="1" x14ac:dyDescent="0.3"/>
    <row r="419" customFormat="1" ht="30" customHeight="1" x14ac:dyDescent="0.3"/>
    <row r="420" customFormat="1" ht="30" customHeight="1" x14ac:dyDescent="0.3"/>
    <row r="421" customFormat="1" ht="30" customHeight="1" x14ac:dyDescent="0.3"/>
    <row r="422" customFormat="1" ht="30" customHeight="1" x14ac:dyDescent="0.3"/>
    <row r="423" customFormat="1" ht="30" customHeight="1" x14ac:dyDescent="0.3"/>
    <row r="424" customFormat="1" ht="30" customHeight="1" x14ac:dyDescent="0.3"/>
    <row r="425" customFormat="1" ht="30" customHeight="1" x14ac:dyDescent="0.3"/>
    <row r="426" customFormat="1" ht="30" customHeight="1" x14ac:dyDescent="0.3"/>
    <row r="427" customFormat="1" ht="30" customHeight="1" x14ac:dyDescent="0.3"/>
    <row r="428" customFormat="1" ht="30" customHeight="1" x14ac:dyDescent="0.3"/>
    <row r="429" customFormat="1" ht="30" customHeight="1" x14ac:dyDescent="0.3"/>
    <row r="430" customFormat="1" ht="30" customHeight="1" x14ac:dyDescent="0.3"/>
    <row r="431" customFormat="1" ht="30" customHeight="1" x14ac:dyDescent="0.3"/>
    <row r="432" customFormat="1" ht="30" customHeight="1" x14ac:dyDescent="0.3"/>
    <row r="433" customFormat="1" ht="30" customHeight="1" x14ac:dyDescent="0.3"/>
    <row r="434" customFormat="1" ht="30" customHeight="1" x14ac:dyDescent="0.3"/>
    <row r="435" customFormat="1" ht="30" customHeight="1" x14ac:dyDescent="0.3"/>
    <row r="436" customFormat="1" ht="30" customHeight="1" x14ac:dyDescent="0.3"/>
    <row r="437" customFormat="1" ht="30" customHeight="1" x14ac:dyDescent="0.3"/>
    <row r="438" customFormat="1" ht="30" customHeight="1" x14ac:dyDescent="0.3"/>
    <row r="439" customFormat="1" ht="30" customHeight="1" x14ac:dyDescent="0.3"/>
    <row r="440" customFormat="1" ht="30" customHeight="1" x14ac:dyDescent="0.3"/>
    <row r="441" customFormat="1" ht="30" customHeight="1" x14ac:dyDescent="0.3"/>
    <row r="442" customFormat="1" ht="30" customHeight="1" x14ac:dyDescent="0.3"/>
    <row r="443" customFormat="1" ht="30" customHeight="1" x14ac:dyDescent="0.3"/>
    <row r="444" customFormat="1" ht="30" customHeight="1" x14ac:dyDescent="0.3"/>
    <row r="445" customFormat="1" ht="30" customHeight="1" x14ac:dyDescent="0.3"/>
    <row r="446" customFormat="1" ht="30" customHeight="1" x14ac:dyDescent="0.3"/>
    <row r="447" customFormat="1" ht="30" customHeight="1" x14ac:dyDescent="0.3"/>
    <row r="448" customFormat="1" ht="30" customHeight="1" x14ac:dyDescent="0.3"/>
    <row r="449" customFormat="1" ht="30" customHeight="1" x14ac:dyDescent="0.3"/>
    <row r="450" customFormat="1" ht="30" customHeight="1" x14ac:dyDescent="0.3"/>
    <row r="451" customFormat="1" ht="30" customHeight="1" x14ac:dyDescent="0.3"/>
    <row r="452" customFormat="1" ht="30" customHeight="1" x14ac:dyDescent="0.3"/>
    <row r="453" customFormat="1" ht="30" customHeight="1" x14ac:dyDescent="0.3"/>
    <row r="454" customFormat="1" ht="30" customHeight="1" x14ac:dyDescent="0.3"/>
    <row r="455" customFormat="1" ht="30" customHeight="1" x14ac:dyDescent="0.3"/>
    <row r="456" customFormat="1" ht="30" customHeight="1" x14ac:dyDescent="0.3"/>
    <row r="457" customFormat="1" ht="30" customHeight="1" x14ac:dyDescent="0.3"/>
    <row r="458" customFormat="1" ht="30" customHeight="1" x14ac:dyDescent="0.3"/>
    <row r="459" customFormat="1" ht="30" customHeight="1" x14ac:dyDescent="0.3"/>
    <row r="460" customFormat="1" ht="30" customHeight="1" x14ac:dyDescent="0.3"/>
    <row r="461" customFormat="1" ht="30" customHeight="1" x14ac:dyDescent="0.3"/>
    <row r="462" customFormat="1" ht="30" customHeight="1" x14ac:dyDescent="0.3"/>
    <row r="463" customFormat="1" ht="30" customHeight="1" x14ac:dyDescent="0.3"/>
    <row r="464" customFormat="1" ht="30" customHeight="1" x14ac:dyDescent="0.3"/>
    <row r="465" customFormat="1" ht="30" customHeight="1" x14ac:dyDescent="0.3"/>
    <row r="466" customFormat="1" ht="30" customHeight="1" x14ac:dyDescent="0.3"/>
    <row r="467" customFormat="1" ht="30" customHeight="1" x14ac:dyDescent="0.3"/>
    <row r="468" customFormat="1" ht="30" customHeight="1" x14ac:dyDescent="0.3"/>
    <row r="469" customFormat="1" ht="30" customHeight="1" x14ac:dyDescent="0.3"/>
    <row r="470" customFormat="1" ht="30" customHeight="1" x14ac:dyDescent="0.3"/>
    <row r="471" customFormat="1" ht="30" customHeight="1" x14ac:dyDescent="0.3"/>
    <row r="472" customFormat="1" ht="30" customHeight="1" x14ac:dyDescent="0.3"/>
    <row r="473" customFormat="1" ht="30" customHeight="1" x14ac:dyDescent="0.3"/>
    <row r="474" customFormat="1" ht="30" customHeight="1" x14ac:dyDescent="0.3"/>
    <row r="475" customFormat="1" ht="30" customHeight="1" x14ac:dyDescent="0.3"/>
    <row r="476" customFormat="1" ht="30" customHeight="1" x14ac:dyDescent="0.3"/>
    <row r="477" customFormat="1" ht="30" customHeight="1" x14ac:dyDescent="0.3"/>
    <row r="478" customFormat="1" ht="30" customHeight="1" x14ac:dyDescent="0.3"/>
    <row r="479" customFormat="1" ht="30" customHeight="1" x14ac:dyDescent="0.3"/>
    <row r="480" customFormat="1" ht="30" customHeight="1" x14ac:dyDescent="0.3"/>
    <row r="481" customFormat="1" ht="30" customHeight="1" x14ac:dyDescent="0.3"/>
    <row r="482" customFormat="1" ht="30" customHeight="1" x14ac:dyDescent="0.3"/>
    <row r="483" customFormat="1" ht="30" customHeight="1" x14ac:dyDescent="0.3"/>
    <row r="484" customFormat="1" ht="30" customHeight="1" x14ac:dyDescent="0.3"/>
    <row r="485" customFormat="1" ht="30" customHeight="1" x14ac:dyDescent="0.3"/>
    <row r="486" customFormat="1" ht="30" customHeight="1" x14ac:dyDescent="0.3"/>
    <row r="487" customFormat="1" ht="30" customHeight="1" x14ac:dyDescent="0.3"/>
    <row r="488" customFormat="1" ht="30" customHeight="1" x14ac:dyDescent="0.3"/>
    <row r="489" customFormat="1" ht="30" customHeight="1" x14ac:dyDescent="0.3"/>
    <row r="490" customFormat="1" ht="30" customHeight="1" x14ac:dyDescent="0.3"/>
    <row r="491" customFormat="1" ht="30" customHeight="1" x14ac:dyDescent="0.3"/>
    <row r="492" customFormat="1" ht="30" customHeight="1" x14ac:dyDescent="0.3"/>
    <row r="493" customFormat="1" ht="30" customHeight="1" x14ac:dyDescent="0.3"/>
    <row r="494" customFormat="1" ht="30" customHeight="1" x14ac:dyDescent="0.3"/>
    <row r="495" customFormat="1" ht="30" customHeight="1" x14ac:dyDescent="0.3"/>
    <row r="496" customFormat="1" ht="30" customHeight="1" x14ac:dyDescent="0.3"/>
    <row r="497" customFormat="1" ht="30" customHeight="1" x14ac:dyDescent="0.3"/>
    <row r="498" customFormat="1" ht="30" customHeight="1" x14ac:dyDescent="0.3"/>
    <row r="499" customFormat="1" ht="30" customHeight="1" x14ac:dyDescent="0.3"/>
    <row r="500" customFormat="1" ht="30" customHeight="1" x14ac:dyDescent="0.3"/>
    <row r="501" customFormat="1" ht="30" customHeight="1" x14ac:dyDescent="0.3"/>
    <row r="502" customFormat="1" ht="30" customHeight="1" x14ac:dyDescent="0.3"/>
    <row r="503" customFormat="1" ht="30" customHeight="1" x14ac:dyDescent="0.3"/>
    <row r="504" customFormat="1" ht="30" customHeight="1" x14ac:dyDescent="0.3"/>
    <row r="505" customFormat="1" ht="30" customHeight="1" x14ac:dyDescent="0.3"/>
    <row r="506" customFormat="1" ht="30" customHeight="1" x14ac:dyDescent="0.3"/>
    <row r="507" customFormat="1" ht="30" customHeight="1" x14ac:dyDescent="0.3"/>
    <row r="508" customFormat="1" ht="30" customHeight="1" x14ac:dyDescent="0.3"/>
    <row r="509" customFormat="1" ht="30" customHeight="1" x14ac:dyDescent="0.3"/>
    <row r="510" customFormat="1" ht="30" customHeight="1" x14ac:dyDescent="0.3"/>
    <row r="511" customFormat="1" ht="30" customHeight="1" x14ac:dyDescent="0.3"/>
    <row r="512" customFormat="1" ht="30" customHeight="1" x14ac:dyDescent="0.3"/>
    <row r="513" customFormat="1" ht="30" customHeight="1" x14ac:dyDescent="0.3"/>
    <row r="514" customFormat="1" ht="30" customHeight="1" x14ac:dyDescent="0.3"/>
    <row r="515" customFormat="1" ht="30" customHeight="1" x14ac:dyDescent="0.3"/>
    <row r="516" customFormat="1" ht="30" customHeight="1" x14ac:dyDescent="0.3"/>
    <row r="517" customFormat="1" ht="30" customHeight="1" x14ac:dyDescent="0.3"/>
    <row r="518" customFormat="1" ht="30" customHeight="1" x14ac:dyDescent="0.3"/>
    <row r="519" customFormat="1" ht="30" customHeight="1" x14ac:dyDescent="0.3"/>
    <row r="520" customFormat="1" ht="30" customHeight="1" x14ac:dyDescent="0.3"/>
    <row r="521" customFormat="1" ht="30" customHeight="1" x14ac:dyDescent="0.3"/>
    <row r="522" customFormat="1" ht="30" customHeight="1" x14ac:dyDescent="0.3"/>
    <row r="523" customFormat="1" ht="30" customHeight="1" x14ac:dyDescent="0.3"/>
    <row r="524" customFormat="1" ht="30" customHeight="1" x14ac:dyDescent="0.3"/>
    <row r="525" customFormat="1" ht="30" customHeight="1" x14ac:dyDescent="0.3"/>
    <row r="526" customFormat="1" ht="30" customHeight="1" x14ac:dyDescent="0.3"/>
    <row r="527" customFormat="1" ht="30" customHeight="1" x14ac:dyDescent="0.3"/>
    <row r="528" customFormat="1" ht="30" customHeight="1" x14ac:dyDescent="0.3"/>
    <row r="529" customFormat="1" ht="30" customHeight="1" x14ac:dyDescent="0.3"/>
    <row r="530" customFormat="1" ht="30" customHeight="1" x14ac:dyDescent="0.3"/>
    <row r="531" customFormat="1" ht="30" customHeight="1" x14ac:dyDescent="0.3"/>
    <row r="532" customFormat="1" ht="30" customHeight="1" x14ac:dyDescent="0.3"/>
    <row r="533" customFormat="1" ht="30" customHeight="1" x14ac:dyDescent="0.3"/>
    <row r="534" customFormat="1" ht="30" customHeight="1" x14ac:dyDescent="0.3"/>
    <row r="535" customFormat="1" ht="30" customHeight="1" x14ac:dyDescent="0.3"/>
    <row r="536" customFormat="1" ht="30" customHeight="1" x14ac:dyDescent="0.3"/>
    <row r="537" customFormat="1" ht="30" customHeight="1" x14ac:dyDescent="0.3"/>
    <row r="538" customFormat="1" ht="30" customHeight="1" x14ac:dyDescent="0.3"/>
    <row r="539" customFormat="1" ht="30" customHeight="1" x14ac:dyDescent="0.3"/>
    <row r="540" customFormat="1" ht="30" customHeight="1" x14ac:dyDescent="0.3"/>
    <row r="541" customFormat="1" ht="30" customHeight="1" x14ac:dyDescent="0.3"/>
    <row r="542" customFormat="1" ht="30" customHeight="1" x14ac:dyDescent="0.3"/>
    <row r="543" customFormat="1" ht="30" customHeight="1" x14ac:dyDescent="0.3"/>
    <row r="544" customFormat="1" ht="30" customHeight="1" x14ac:dyDescent="0.3"/>
    <row r="545" customFormat="1" ht="30" customHeight="1" x14ac:dyDescent="0.3"/>
    <row r="546" customFormat="1" ht="30" customHeight="1" x14ac:dyDescent="0.3"/>
    <row r="547" customFormat="1" ht="30" customHeight="1" x14ac:dyDescent="0.3"/>
    <row r="548" customFormat="1" ht="30" customHeight="1" x14ac:dyDescent="0.3"/>
    <row r="549" customFormat="1" ht="30" customHeight="1" x14ac:dyDescent="0.3"/>
    <row r="550" customFormat="1" ht="30" customHeight="1" x14ac:dyDescent="0.3"/>
    <row r="551" customFormat="1" ht="30" customHeight="1" x14ac:dyDescent="0.3"/>
    <row r="552" customFormat="1" ht="30" customHeight="1" x14ac:dyDescent="0.3"/>
    <row r="553" customFormat="1" ht="30" customHeight="1" x14ac:dyDescent="0.3"/>
    <row r="554" customFormat="1" ht="30" customHeight="1" x14ac:dyDescent="0.3"/>
    <row r="555" customFormat="1" ht="30" customHeight="1" x14ac:dyDescent="0.3"/>
    <row r="556" customFormat="1" ht="30" customHeight="1" x14ac:dyDescent="0.3"/>
    <row r="557" customFormat="1" ht="30" customHeight="1" x14ac:dyDescent="0.3"/>
    <row r="558" customFormat="1" ht="30" customHeight="1" x14ac:dyDescent="0.3"/>
    <row r="559" customFormat="1" ht="30" customHeight="1" x14ac:dyDescent="0.3"/>
    <row r="560" customFormat="1" ht="30" customHeight="1" x14ac:dyDescent="0.3"/>
    <row r="561" customFormat="1" ht="30" customHeight="1" x14ac:dyDescent="0.3"/>
    <row r="562" customFormat="1" ht="30" customHeight="1" x14ac:dyDescent="0.3"/>
    <row r="563" customFormat="1" ht="30" customHeight="1" x14ac:dyDescent="0.3"/>
    <row r="564" customFormat="1" ht="30" customHeight="1" x14ac:dyDescent="0.3"/>
    <row r="565" customFormat="1" ht="30" customHeight="1" x14ac:dyDescent="0.3"/>
    <row r="566" customFormat="1" ht="30" customHeight="1" x14ac:dyDescent="0.3"/>
    <row r="567" customFormat="1" ht="30" customHeight="1" x14ac:dyDescent="0.3"/>
    <row r="568" customFormat="1" ht="30" customHeight="1" x14ac:dyDescent="0.3"/>
    <row r="569" customFormat="1" ht="30" customHeight="1" x14ac:dyDescent="0.3"/>
    <row r="570" customFormat="1" ht="30" customHeight="1" x14ac:dyDescent="0.3"/>
    <row r="571" customFormat="1" ht="30" customHeight="1" x14ac:dyDescent="0.3"/>
    <row r="572" customFormat="1" ht="30" customHeight="1" x14ac:dyDescent="0.3"/>
    <row r="573" customFormat="1" ht="30" customHeight="1" x14ac:dyDescent="0.3"/>
    <row r="574" customFormat="1" ht="30" customHeight="1" x14ac:dyDescent="0.3"/>
    <row r="575" customFormat="1" ht="30" customHeight="1" x14ac:dyDescent="0.3"/>
    <row r="576" customFormat="1" ht="30" customHeight="1" x14ac:dyDescent="0.3"/>
    <row r="577" customFormat="1" ht="30" customHeight="1" x14ac:dyDescent="0.3"/>
    <row r="578" customFormat="1" ht="30" customHeight="1" x14ac:dyDescent="0.3"/>
    <row r="579" customFormat="1" ht="30" customHeight="1" x14ac:dyDescent="0.3"/>
    <row r="580" customFormat="1" ht="30" customHeight="1" x14ac:dyDescent="0.3"/>
    <row r="581" customFormat="1" ht="30" customHeight="1" x14ac:dyDescent="0.3"/>
    <row r="582" customFormat="1" ht="30" customHeight="1" x14ac:dyDescent="0.3"/>
    <row r="583" customFormat="1" ht="30" customHeight="1" x14ac:dyDescent="0.3"/>
    <row r="584" customFormat="1" ht="30" customHeight="1" x14ac:dyDescent="0.3"/>
    <row r="585" customFormat="1" ht="30" customHeight="1" x14ac:dyDescent="0.3"/>
    <row r="586" customFormat="1" ht="30" customHeight="1" x14ac:dyDescent="0.3"/>
    <row r="587" customFormat="1" ht="30" customHeight="1" x14ac:dyDescent="0.3"/>
    <row r="588" customFormat="1" ht="30" customHeight="1" x14ac:dyDescent="0.3"/>
    <row r="589" customFormat="1" ht="30" customHeight="1" x14ac:dyDescent="0.3"/>
    <row r="590" customFormat="1" ht="30" customHeight="1" x14ac:dyDescent="0.3"/>
    <row r="591" customFormat="1" ht="30" customHeight="1" x14ac:dyDescent="0.3"/>
    <row r="592" customFormat="1" ht="30" customHeight="1" x14ac:dyDescent="0.3"/>
    <row r="593" customFormat="1" ht="30" customHeight="1" x14ac:dyDescent="0.3"/>
    <row r="594" customFormat="1" ht="30" customHeight="1" x14ac:dyDescent="0.3"/>
    <row r="595" customFormat="1" ht="30" customHeight="1" x14ac:dyDescent="0.3"/>
    <row r="596" customFormat="1" ht="30" customHeight="1" x14ac:dyDescent="0.3"/>
    <row r="597" customFormat="1" ht="30" customHeight="1" x14ac:dyDescent="0.3"/>
    <row r="598" customFormat="1" ht="30" customHeight="1" x14ac:dyDescent="0.3"/>
    <row r="599" customFormat="1" ht="30" customHeight="1" x14ac:dyDescent="0.3"/>
    <row r="600" customFormat="1" ht="30" customHeight="1" x14ac:dyDescent="0.3"/>
    <row r="601" customFormat="1" ht="30" customHeight="1" x14ac:dyDescent="0.3"/>
    <row r="602" customFormat="1" ht="30" customHeight="1" x14ac:dyDescent="0.3"/>
    <row r="603" customFormat="1" ht="30" customHeight="1" x14ac:dyDescent="0.3"/>
    <row r="604" customFormat="1" ht="30" customHeight="1" x14ac:dyDescent="0.3"/>
    <row r="605" customFormat="1" ht="30" customHeight="1" x14ac:dyDescent="0.3"/>
    <row r="606" customFormat="1" ht="30" customHeight="1" x14ac:dyDescent="0.3"/>
    <row r="607" customFormat="1" ht="30" customHeight="1" x14ac:dyDescent="0.3"/>
    <row r="608" customFormat="1" ht="30" customHeight="1" x14ac:dyDescent="0.3"/>
    <row r="609" customFormat="1" ht="30" customHeight="1" x14ac:dyDescent="0.3"/>
    <row r="610" customFormat="1" ht="30" customHeight="1" x14ac:dyDescent="0.3"/>
    <row r="611" customFormat="1" ht="30" customHeight="1" x14ac:dyDescent="0.3"/>
    <row r="612" customFormat="1" ht="30" customHeight="1" x14ac:dyDescent="0.3"/>
    <row r="613" customFormat="1" ht="30" customHeight="1" x14ac:dyDescent="0.3"/>
    <row r="614" customFormat="1" ht="30" customHeight="1" x14ac:dyDescent="0.3"/>
    <row r="615" customFormat="1" ht="30" customHeight="1" x14ac:dyDescent="0.3"/>
    <row r="616" customFormat="1" ht="30" customHeight="1" x14ac:dyDescent="0.3"/>
    <row r="617" customFormat="1" ht="30" customHeight="1" x14ac:dyDescent="0.3"/>
    <row r="618" customFormat="1" ht="30" customHeight="1" x14ac:dyDescent="0.3"/>
    <row r="619" customFormat="1" ht="30" customHeight="1" x14ac:dyDescent="0.3"/>
    <row r="620" customFormat="1" ht="30" customHeight="1" x14ac:dyDescent="0.3"/>
    <row r="621" customFormat="1" ht="30" customHeight="1" x14ac:dyDescent="0.3"/>
    <row r="622" customFormat="1" ht="30" customHeight="1" x14ac:dyDescent="0.3"/>
    <row r="623" customFormat="1" ht="30" customHeight="1" x14ac:dyDescent="0.3"/>
    <row r="624" customFormat="1" ht="30" customHeight="1" x14ac:dyDescent="0.3"/>
    <row r="625" customFormat="1" ht="30" customHeight="1" x14ac:dyDescent="0.3"/>
    <row r="626" customFormat="1" ht="30" customHeight="1" x14ac:dyDescent="0.3"/>
    <row r="627" customFormat="1" ht="30" customHeight="1" x14ac:dyDescent="0.3"/>
    <row r="628" customFormat="1" ht="30" customHeight="1" x14ac:dyDescent="0.3"/>
    <row r="629" customFormat="1" ht="30" customHeight="1" x14ac:dyDescent="0.3"/>
    <row r="630" customFormat="1" ht="30" customHeight="1" x14ac:dyDescent="0.3"/>
    <row r="631" customFormat="1" ht="30" customHeight="1" x14ac:dyDescent="0.3"/>
    <row r="632" customFormat="1" ht="30" customHeight="1" x14ac:dyDescent="0.3"/>
    <row r="633" customFormat="1" ht="30" customHeight="1" x14ac:dyDescent="0.3"/>
    <row r="634" customFormat="1" ht="30" customHeight="1" x14ac:dyDescent="0.3"/>
    <row r="635" customFormat="1" ht="30" customHeight="1" x14ac:dyDescent="0.3"/>
    <row r="636" customFormat="1" ht="30" customHeight="1" x14ac:dyDescent="0.3"/>
    <row r="637" customFormat="1" ht="30" customHeight="1" x14ac:dyDescent="0.3"/>
    <row r="638" customFormat="1" ht="30" customHeight="1" x14ac:dyDescent="0.3"/>
    <row r="639" customFormat="1" ht="30" customHeight="1" x14ac:dyDescent="0.3"/>
    <row r="640" customFormat="1" ht="30" customHeight="1" x14ac:dyDescent="0.3"/>
    <row r="641" customFormat="1" ht="30" customHeight="1" x14ac:dyDescent="0.3"/>
    <row r="642" customFormat="1" ht="30" customHeight="1" x14ac:dyDescent="0.3"/>
    <row r="643" customFormat="1" ht="30" customHeight="1" x14ac:dyDescent="0.3"/>
    <row r="644" customFormat="1" ht="30" customHeight="1" x14ac:dyDescent="0.3"/>
    <row r="645" customFormat="1" ht="30" customHeight="1" x14ac:dyDescent="0.3"/>
    <row r="646" customFormat="1" ht="30" customHeight="1" x14ac:dyDescent="0.3"/>
    <row r="647" customFormat="1" ht="30" customHeight="1" x14ac:dyDescent="0.3"/>
    <row r="648" customFormat="1" ht="30" customHeight="1" x14ac:dyDescent="0.3"/>
    <row r="649" customFormat="1" ht="30" customHeight="1" x14ac:dyDescent="0.3"/>
    <row r="650" customFormat="1" ht="30" customHeight="1" x14ac:dyDescent="0.3"/>
    <row r="651" customFormat="1" ht="30" customHeight="1" x14ac:dyDescent="0.3"/>
    <row r="652" customFormat="1" ht="30" customHeight="1" x14ac:dyDescent="0.3"/>
    <row r="653" customFormat="1" ht="30" customHeight="1" x14ac:dyDescent="0.3"/>
    <row r="654" customFormat="1" ht="30" customHeight="1" x14ac:dyDescent="0.3"/>
    <row r="655" customFormat="1" ht="30" customHeight="1" x14ac:dyDescent="0.3"/>
    <row r="656" customFormat="1" ht="30" customHeight="1" x14ac:dyDescent="0.3"/>
    <row r="657" customFormat="1" ht="30" customHeight="1" x14ac:dyDescent="0.3"/>
    <row r="658" customFormat="1" ht="30" customHeight="1" x14ac:dyDescent="0.3"/>
    <row r="659" customFormat="1" ht="30" customHeight="1" x14ac:dyDescent="0.3"/>
    <row r="660" customFormat="1" ht="30" customHeight="1" x14ac:dyDescent="0.3"/>
    <row r="661" customFormat="1" ht="30" customHeight="1" x14ac:dyDescent="0.3"/>
    <row r="662" customFormat="1" ht="30" customHeight="1" x14ac:dyDescent="0.3"/>
    <row r="663" customFormat="1" ht="30" customHeight="1" x14ac:dyDescent="0.3"/>
    <row r="664" customFormat="1" ht="30" customHeight="1" x14ac:dyDescent="0.3"/>
    <row r="665" customFormat="1" ht="30" customHeight="1" x14ac:dyDescent="0.3"/>
    <row r="666" customFormat="1" ht="30" customHeight="1" x14ac:dyDescent="0.3"/>
    <row r="667" customFormat="1" ht="30" customHeight="1" x14ac:dyDescent="0.3"/>
    <row r="668" customFormat="1" ht="30" customHeight="1" x14ac:dyDescent="0.3"/>
    <row r="669" customFormat="1" ht="30" customHeight="1" x14ac:dyDescent="0.3"/>
    <row r="670" customFormat="1" ht="30" customHeight="1" x14ac:dyDescent="0.3"/>
    <row r="671" customFormat="1" ht="30" customHeight="1" x14ac:dyDescent="0.3"/>
    <row r="672" customFormat="1" ht="30" customHeight="1" x14ac:dyDescent="0.3"/>
    <row r="673" customFormat="1" ht="30" customHeight="1" x14ac:dyDescent="0.3"/>
    <row r="674" customFormat="1" ht="30" customHeight="1" x14ac:dyDescent="0.3"/>
    <row r="675" customFormat="1" ht="30" customHeight="1" x14ac:dyDescent="0.3"/>
    <row r="676" customFormat="1" ht="30" customHeight="1" x14ac:dyDescent="0.3"/>
    <row r="677" customFormat="1" ht="30" customHeight="1" x14ac:dyDescent="0.3"/>
    <row r="678" customFormat="1" ht="30" customHeight="1" x14ac:dyDescent="0.3"/>
    <row r="679" customFormat="1" ht="30" customHeight="1" x14ac:dyDescent="0.3"/>
    <row r="680" customFormat="1" ht="30" customHeight="1" x14ac:dyDescent="0.3"/>
    <row r="681" customFormat="1" ht="30" customHeight="1" x14ac:dyDescent="0.3"/>
    <row r="682" customFormat="1" ht="30" customHeight="1" x14ac:dyDescent="0.3"/>
    <row r="683" customFormat="1" ht="30" customHeight="1" x14ac:dyDescent="0.3"/>
    <row r="684" customFormat="1" ht="30" customHeight="1" x14ac:dyDescent="0.3"/>
    <row r="685" customFormat="1" ht="30" customHeight="1" x14ac:dyDescent="0.3"/>
    <row r="686" customFormat="1" ht="30" customHeight="1" x14ac:dyDescent="0.3"/>
    <row r="687" customFormat="1" ht="30" customHeight="1" x14ac:dyDescent="0.3"/>
    <row r="688" customFormat="1" ht="30" customHeight="1" x14ac:dyDescent="0.3"/>
    <row r="689" customFormat="1" ht="30" customHeight="1" x14ac:dyDescent="0.3"/>
    <row r="690" customFormat="1" ht="30" customHeight="1" x14ac:dyDescent="0.3"/>
    <row r="691" customFormat="1" ht="30" customHeight="1" x14ac:dyDescent="0.3"/>
    <row r="692" customFormat="1" ht="30" customHeight="1" x14ac:dyDescent="0.3"/>
    <row r="693" customFormat="1" ht="30" customHeight="1" x14ac:dyDescent="0.3"/>
    <row r="694" customFormat="1" ht="30" customHeight="1" x14ac:dyDescent="0.3"/>
    <row r="695" customFormat="1" ht="30" customHeight="1" x14ac:dyDescent="0.3"/>
    <row r="696" customFormat="1" ht="30" customHeight="1" x14ac:dyDescent="0.3"/>
    <row r="697" customFormat="1" ht="30" customHeight="1" x14ac:dyDescent="0.3"/>
    <row r="698" customFormat="1" ht="30" customHeight="1" x14ac:dyDescent="0.3"/>
    <row r="699" customFormat="1" ht="30" customHeight="1" x14ac:dyDescent="0.3"/>
    <row r="700" customFormat="1" ht="30" customHeight="1" x14ac:dyDescent="0.3"/>
    <row r="701" customFormat="1" ht="30" customHeight="1" x14ac:dyDescent="0.3"/>
    <row r="702" customFormat="1" ht="30" customHeight="1" x14ac:dyDescent="0.3"/>
    <row r="703" customFormat="1" ht="30" customHeight="1" x14ac:dyDescent="0.3"/>
    <row r="704" customFormat="1" ht="30" customHeight="1" x14ac:dyDescent="0.3"/>
    <row r="705" customFormat="1" ht="30" customHeight="1" x14ac:dyDescent="0.3"/>
    <row r="706" customFormat="1" ht="30" customHeight="1" x14ac:dyDescent="0.3"/>
    <row r="707" customFormat="1" ht="30" customHeight="1" x14ac:dyDescent="0.3"/>
    <row r="708" customFormat="1" ht="30" customHeight="1" x14ac:dyDescent="0.3"/>
    <row r="709" customFormat="1" ht="30" customHeight="1" x14ac:dyDescent="0.3"/>
    <row r="710" customFormat="1" ht="30" customHeight="1" x14ac:dyDescent="0.3"/>
    <row r="711" customFormat="1" ht="30" customHeight="1" x14ac:dyDescent="0.3"/>
    <row r="712" customFormat="1" ht="30" customHeight="1" x14ac:dyDescent="0.3"/>
    <row r="713" customFormat="1" ht="30" customHeight="1" x14ac:dyDescent="0.3"/>
    <row r="714" customFormat="1" ht="30" customHeight="1" x14ac:dyDescent="0.3"/>
    <row r="715" customFormat="1" ht="30" customHeight="1" x14ac:dyDescent="0.3"/>
    <row r="716" customFormat="1" ht="30" customHeight="1" x14ac:dyDescent="0.3"/>
    <row r="717" customFormat="1" ht="30" customHeight="1" x14ac:dyDescent="0.3"/>
    <row r="718" customFormat="1" ht="30" customHeight="1" x14ac:dyDescent="0.3"/>
    <row r="719" customFormat="1" ht="30" customHeight="1" x14ac:dyDescent="0.3"/>
    <row r="720" customFormat="1" ht="30" customHeight="1" x14ac:dyDescent="0.3"/>
    <row r="721" customFormat="1" ht="30" customHeight="1" x14ac:dyDescent="0.3"/>
    <row r="722" customFormat="1" ht="30" customHeight="1" x14ac:dyDescent="0.3"/>
    <row r="723" customFormat="1" ht="30" customHeight="1" x14ac:dyDescent="0.3"/>
    <row r="724" customFormat="1" ht="30" customHeight="1" x14ac:dyDescent="0.3"/>
    <row r="725" customFormat="1" ht="30" customHeight="1" x14ac:dyDescent="0.3"/>
    <row r="726" customFormat="1" ht="30" customHeight="1" x14ac:dyDescent="0.3"/>
    <row r="727" customFormat="1" ht="30" customHeight="1" x14ac:dyDescent="0.3"/>
    <row r="728" customFormat="1" ht="30" customHeight="1" x14ac:dyDescent="0.3"/>
    <row r="729" customFormat="1" ht="30" customHeight="1" x14ac:dyDescent="0.3"/>
    <row r="730" customFormat="1" ht="30" customHeight="1" x14ac:dyDescent="0.3"/>
    <row r="731" customFormat="1" ht="30" customHeight="1" x14ac:dyDescent="0.3"/>
    <row r="732" customFormat="1" ht="30" customHeight="1" x14ac:dyDescent="0.3"/>
    <row r="733" customFormat="1" ht="30" customHeight="1" x14ac:dyDescent="0.3"/>
    <row r="734" customFormat="1" ht="30" customHeight="1" x14ac:dyDescent="0.3"/>
    <row r="735" customFormat="1" ht="30" customHeight="1" x14ac:dyDescent="0.3"/>
    <row r="736" customFormat="1" ht="30" customHeight="1" x14ac:dyDescent="0.3"/>
    <row r="737" customFormat="1" ht="30" customHeight="1" x14ac:dyDescent="0.3"/>
    <row r="738" customFormat="1" ht="30" customHeight="1" x14ac:dyDescent="0.3"/>
    <row r="739" customFormat="1" ht="30" customHeight="1" x14ac:dyDescent="0.3"/>
    <row r="740" customFormat="1" ht="30" customHeight="1" x14ac:dyDescent="0.3"/>
    <row r="741" customFormat="1" ht="30" customHeight="1" x14ac:dyDescent="0.3"/>
    <row r="742" customFormat="1" ht="30" customHeight="1" x14ac:dyDescent="0.3"/>
    <row r="743" customFormat="1" ht="30" customHeight="1" x14ac:dyDescent="0.3"/>
    <row r="744" customFormat="1" ht="30" customHeight="1" x14ac:dyDescent="0.3"/>
    <row r="745" customFormat="1" ht="30" customHeight="1" x14ac:dyDescent="0.3"/>
    <row r="746" customFormat="1" ht="30" customHeight="1" x14ac:dyDescent="0.3"/>
    <row r="747" customFormat="1" ht="30" customHeight="1" x14ac:dyDescent="0.3"/>
    <row r="748" customFormat="1" ht="30" customHeight="1" x14ac:dyDescent="0.3"/>
    <row r="749" customFormat="1" ht="30" customHeight="1" x14ac:dyDescent="0.3"/>
    <row r="750" customFormat="1" ht="30" customHeight="1" x14ac:dyDescent="0.3"/>
    <row r="751" customFormat="1" ht="30" customHeight="1" x14ac:dyDescent="0.3"/>
    <row r="752" customFormat="1" ht="30" customHeight="1" x14ac:dyDescent="0.3"/>
    <row r="753" customFormat="1" ht="30" customHeight="1" x14ac:dyDescent="0.3"/>
    <row r="754" customFormat="1" ht="30" customHeight="1" x14ac:dyDescent="0.3"/>
    <row r="755" customFormat="1" ht="30" customHeight="1" x14ac:dyDescent="0.3"/>
    <row r="756" customFormat="1" ht="30" customHeight="1" x14ac:dyDescent="0.3"/>
    <row r="757" customFormat="1" ht="30" customHeight="1" x14ac:dyDescent="0.3"/>
    <row r="758" customFormat="1" ht="30" customHeight="1" x14ac:dyDescent="0.3"/>
    <row r="759" customFormat="1" ht="30" customHeight="1" x14ac:dyDescent="0.3"/>
    <row r="760" customFormat="1" ht="30" customHeight="1" x14ac:dyDescent="0.3"/>
    <row r="761" customFormat="1" ht="30" customHeight="1" x14ac:dyDescent="0.3"/>
    <row r="762" customFormat="1" ht="30" customHeight="1" x14ac:dyDescent="0.3"/>
    <row r="763" customFormat="1" ht="30" customHeight="1" x14ac:dyDescent="0.3"/>
    <row r="764" customFormat="1" ht="30" customHeight="1" x14ac:dyDescent="0.3"/>
    <row r="765" customFormat="1" ht="30" customHeight="1" x14ac:dyDescent="0.3"/>
    <row r="766" customFormat="1" ht="30" customHeight="1" x14ac:dyDescent="0.3"/>
    <row r="767" customFormat="1" ht="30" customHeight="1" x14ac:dyDescent="0.3"/>
    <row r="768" customFormat="1" ht="30" customHeight="1" x14ac:dyDescent="0.3"/>
    <row r="769" customFormat="1" ht="30" customHeight="1" x14ac:dyDescent="0.3"/>
    <row r="770" customFormat="1" ht="30" customHeight="1" x14ac:dyDescent="0.3"/>
    <row r="771" customFormat="1" ht="30" customHeight="1" x14ac:dyDescent="0.3"/>
    <row r="772" customFormat="1" ht="30" customHeight="1" x14ac:dyDescent="0.3"/>
    <row r="773" customFormat="1" ht="30" customHeight="1" x14ac:dyDescent="0.3"/>
    <row r="774" customFormat="1" ht="30" customHeight="1" x14ac:dyDescent="0.3"/>
    <row r="775" customFormat="1" ht="30" customHeight="1" x14ac:dyDescent="0.3"/>
    <row r="776" customFormat="1" ht="30" customHeight="1" x14ac:dyDescent="0.3"/>
    <row r="777" customFormat="1" ht="30" customHeight="1" x14ac:dyDescent="0.3"/>
    <row r="778" customFormat="1" ht="30" customHeight="1" x14ac:dyDescent="0.3"/>
    <row r="779" customFormat="1" ht="30" customHeight="1" x14ac:dyDescent="0.3"/>
    <row r="780" customFormat="1" ht="30" customHeight="1" x14ac:dyDescent="0.3"/>
    <row r="781" customFormat="1" ht="30" customHeight="1" x14ac:dyDescent="0.3"/>
    <row r="782" customFormat="1" ht="30" customHeight="1" x14ac:dyDescent="0.3"/>
    <row r="783" customFormat="1" ht="30" customHeight="1" x14ac:dyDescent="0.3"/>
    <row r="784" customFormat="1" ht="30" customHeight="1" x14ac:dyDescent="0.3"/>
    <row r="785" customFormat="1" ht="30" customHeight="1" x14ac:dyDescent="0.3"/>
    <row r="786" customFormat="1" ht="30" customHeight="1" x14ac:dyDescent="0.3"/>
    <row r="787" customFormat="1" ht="30" customHeight="1" x14ac:dyDescent="0.3"/>
    <row r="788" customFormat="1" ht="30" customHeight="1" x14ac:dyDescent="0.3"/>
    <row r="789" customFormat="1" ht="30" customHeight="1" x14ac:dyDescent="0.3"/>
    <row r="790" customFormat="1" ht="30" customHeight="1" x14ac:dyDescent="0.3"/>
    <row r="791" customFormat="1" ht="30" customHeight="1" x14ac:dyDescent="0.3"/>
    <row r="792" customFormat="1" ht="30" customHeight="1" x14ac:dyDescent="0.3"/>
    <row r="793" customFormat="1" ht="30" customHeight="1" x14ac:dyDescent="0.3"/>
    <row r="794" customFormat="1" ht="30" customHeight="1" x14ac:dyDescent="0.3"/>
    <row r="795" customFormat="1" ht="30" customHeight="1" x14ac:dyDescent="0.3"/>
    <row r="796" customFormat="1" ht="30" customHeight="1" x14ac:dyDescent="0.3"/>
    <row r="797" customFormat="1" ht="30" customHeight="1" x14ac:dyDescent="0.3"/>
    <row r="798" customFormat="1" ht="30" customHeight="1" x14ac:dyDescent="0.3"/>
    <row r="799" customFormat="1" ht="30" customHeight="1" x14ac:dyDescent="0.3"/>
    <row r="800" customFormat="1" ht="30" customHeight="1" x14ac:dyDescent="0.3"/>
    <row r="801" customFormat="1" ht="30" customHeight="1" x14ac:dyDescent="0.3"/>
    <row r="802" customFormat="1" ht="30" customHeight="1" x14ac:dyDescent="0.3"/>
    <row r="803" customFormat="1" ht="30" customHeight="1" x14ac:dyDescent="0.3"/>
    <row r="804" customFormat="1" ht="30" customHeight="1" x14ac:dyDescent="0.3"/>
    <row r="805" customFormat="1" ht="30" customHeight="1" x14ac:dyDescent="0.3"/>
    <row r="806" customFormat="1" ht="30" customHeight="1" x14ac:dyDescent="0.3"/>
    <row r="807" customFormat="1" ht="30" customHeight="1" x14ac:dyDescent="0.3"/>
    <row r="808" customFormat="1" ht="30" customHeight="1" x14ac:dyDescent="0.3"/>
    <row r="809" customFormat="1" ht="30" customHeight="1" x14ac:dyDescent="0.3"/>
    <row r="810" customFormat="1" ht="30" customHeight="1" x14ac:dyDescent="0.3"/>
    <row r="811" customFormat="1" ht="30" customHeight="1" x14ac:dyDescent="0.3"/>
    <row r="812" customFormat="1" ht="30" customHeight="1" x14ac:dyDescent="0.3"/>
    <row r="813" customFormat="1" ht="30" customHeight="1" x14ac:dyDescent="0.3"/>
    <row r="814" customFormat="1" ht="30" customHeight="1" x14ac:dyDescent="0.3"/>
    <row r="815" customFormat="1" ht="30" customHeight="1" x14ac:dyDescent="0.3"/>
    <row r="816" customFormat="1" ht="30" customHeight="1" x14ac:dyDescent="0.3"/>
    <row r="817" customFormat="1" ht="30" customHeight="1" x14ac:dyDescent="0.3"/>
    <row r="818" customFormat="1" ht="30" customHeight="1" x14ac:dyDescent="0.3"/>
    <row r="819" customFormat="1" ht="30" customHeight="1" x14ac:dyDescent="0.3"/>
    <row r="820" customFormat="1" ht="30" customHeight="1" x14ac:dyDescent="0.3"/>
    <row r="821" customFormat="1" ht="30" customHeight="1" x14ac:dyDescent="0.3"/>
    <row r="822" customFormat="1" ht="30" customHeight="1" x14ac:dyDescent="0.3"/>
    <row r="823" customFormat="1" ht="30" customHeight="1" x14ac:dyDescent="0.3"/>
    <row r="824" customFormat="1" ht="30" customHeight="1" x14ac:dyDescent="0.3"/>
    <row r="825" customFormat="1" ht="30" customHeight="1" x14ac:dyDescent="0.3"/>
    <row r="826" customFormat="1" ht="30" customHeight="1" x14ac:dyDescent="0.3"/>
    <row r="827" customFormat="1" ht="30" customHeight="1" x14ac:dyDescent="0.3"/>
    <row r="828" customFormat="1" ht="30" customHeight="1" x14ac:dyDescent="0.3"/>
    <row r="829" customFormat="1" ht="30" customHeight="1" x14ac:dyDescent="0.3"/>
    <row r="830" customFormat="1" ht="30" customHeight="1" x14ac:dyDescent="0.3"/>
    <row r="831" customFormat="1" ht="30" customHeight="1" x14ac:dyDescent="0.3"/>
    <row r="832" customFormat="1" ht="30" customHeight="1" x14ac:dyDescent="0.3"/>
    <row r="833" customFormat="1" ht="30" customHeight="1" x14ac:dyDescent="0.3"/>
    <row r="834" customFormat="1" ht="30" customHeight="1" x14ac:dyDescent="0.3"/>
    <row r="835" customFormat="1" ht="30" customHeight="1" x14ac:dyDescent="0.3"/>
    <row r="836" customFormat="1" ht="30" customHeight="1" x14ac:dyDescent="0.3"/>
    <row r="837" customFormat="1" ht="30" customHeight="1" x14ac:dyDescent="0.3"/>
    <row r="838" customFormat="1" ht="30" customHeight="1" x14ac:dyDescent="0.3"/>
    <row r="839" customFormat="1" ht="30" customHeight="1" x14ac:dyDescent="0.3"/>
    <row r="840" customFormat="1" ht="30" customHeight="1" x14ac:dyDescent="0.3"/>
    <row r="841" customFormat="1" ht="30" customHeight="1" x14ac:dyDescent="0.3"/>
    <row r="842" customFormat="1" ht="30" customHeight="1" x14ac:dyDescent="0.3"/>
    <row r="843" customFormat="1" ht="30" customHeight="1" x14ac:dyDescent="0.3"/>
    <row r="844" customFormat="1" ht="30" customHeight="1" x14ac:dyDescent="0.3"/>
    <row r="845" customFormat="1" ht="30" customHeight="1" x14ac:dyDescent="0.3"/>
    <row r="846" customFormat="1" ht="30" customHeight="1" x14ac:dyDescent="0.3"/>
    <row r="847" customFormat="1" ht="30" customHeight="1" x14ac:dyDescent="0.3"/>
    <row r="848" customFormat="1" ht="30" customHeight="1" x14ac:dyDescent="0.3"/>
    <row r="849" customFormat="1" ht="30" customHeight="1" x14ac:dyDescent="0.3"/>
    <row r="850" customFormat="1" ht="30" customHeight="1" x14ac:dyDescent="0.3"/>
    <row r="851" customFormat="1" ht="30" customHeight="1" x14ac:dyDescent="0.3"/>
    <row r="852" customFormat="1" ht="30" customHeight="1" x14ac:dyDescent="0.3"/>
    <row r="853" customFormat="1" ht="30" customHeight="1" x14ac:dyDescent="0.3"/>
    <row r="854" customFormat="1" ht="30" customHeight="1" x14ac:dyDescent="0.3"/>
    <row r="855" customFormat="1" ht="30" customHeight="1" x14ac:dyDescent="0.3"/>
    <row r="856" customFormat="1" ht="30" customHeight="1" x14ac:dyDescent="0.3"/>
    <row r="857" customFormat="1" ht="30" customHeight="1" x14ac:dyDescent="0.3"/>
    <row r="858" customFormat="1" ht="30" customHeight="1" x14ac:dyDescent="0.3"/>
    <row r="859" customFormat="1" ht="30" customHeight="1" x14ac:dyDescent="0.3"/>
    <row r="860" customFormat="1" ht="30" customHeight="1" x14ac:dyDescent="0.3"/>
    <row r="861" customFormat="1" ht="30" customHeight="1" x14ac:dyDescent="0.3"/>
    <row r="862" customFormat="1" ht="30" customHeight="1" x14ac:dyDescent="0.3"/>
    <row r="863" customFormat="1" ht="30" customHeight="1" x14ac:dyDescent="0.3"/>
    <row r="864" customFormat="1" ht="30" customHeight="1" x14ac:dyDescent="0.3"/>
    <row r="865" customFormat="1" ht="30" customHeight="1" x14ac:dyDescent="0.3"/>
    <row r="866" customFormat="1" ht="30" customHeight="1" x14ac:dyDescent="0.3"/>
    <row r="867" customFormat="1" ht="30" customHeight="1" x14ac:dyDescent="0.3"/>
    <row r="868" customFormat="1" ht="30" customHeight="1" x14ac:dyDescent="0.3"/>
    <row r="869" customFormat="1" ht="30" customHeight="1" x14ac:dyDescent="0.3"/>
    <row r="870" customFormat="1" ht="30" customHeight="1" x14ac:dyDescent="0.3"/>
    <row r="871" customFormat="1" ht="30" customHeight="1" x14ac:dyDescent="0.3"/>
    <row r="872" customFormat="1" ht="30" customHeight="1" x14ac:dyDescent="0.3"/>
    <row r="873" customFormat="1" ht="30" customHeight="1" x14ac:dyDescent="0.3"/>
    <row r="874" customFormat="1" ht="30" customHeight="1" x14ac:dyDescent="0.3"/>
    <row r="875" customFormat="1" ht="30" customHeight="1" x14ac:dyDescent="0.3"/>
    <row r="876" customFormat="1" ht="30" customHeight="1" x14ac:dyDescent="0.3"/>
    <row r="877" customFormat="1" ht="30" customHeight="1" x14ac:dyDescent="0.3"/>
    <row r="878" customFormat="1" ht="30" customHeight="1" x14ac:dyDescent="0.3"/>
    <row r="879" customFormat="1" ht="30" customHeight="1" x14ac:dyDescent="0.3"/>
    <row r="880" customFormat="1" ht="30" customHeight="1" x14ac:dyDescent="0.3"/>
    <row r="881" customFormat="1" ht="30" customHeight="1" x14ac:dyDescent="0.3"/>
    <row r="882" customFormat="1" ht="30" customHeight="1" x14ac:dyDescent="0.3"/>
    <row r="883" customFormat="1" ht="30" customHeight="1" x14ac:dyDescent="0.3"/>
    <row r="884" customFormat="1" ht="30" customHeight="1" x14ac:dyDescent="0.3"/>
    <row r="885" customFormat="1" ht="30" customHeight="1" x14ac:dyDescent="0.3"/>
    <row r="886" customFormat="1" ht="30" customHeight="1" x14ac:dyDescent="0.3"/>
    <row r="887" customFormat="1" ht="30" customHeight="1" x14ac:dyDescent="0.3"/>
    <row r="888" customFormat="1" ht="30" customHeight="1" x14ac:dyDescent="0.3"/>
    <row r="889" customFormat="1" ht="30" customHeight="1" x14ac:dyDescent="0.3"/>
    <row r="890" customFormat="1" ht="30" customHeight="1" x14ac:dyDescent="0.3"/>
    <row r="891" customFormat="1" ht="30" customHeight="1" x14ac:dyDescent="0.3"/>
    <row r="892" customFormat="1" ht="30" customHeight="1" x14ac:dyDescent="0.3"/>
    <row r="893" customFormat="1" ht="30" customHeight="1" x14ac:dyDescent="0.3"/>
    <row r="894" customFormat="1" ht="30" customHeight="1" x14ac:dyDescent="0.3"/>
    <row r="895" customFormat="1" ht="30" customHeight="1" x14ac:dyDescent="0.3"/>
    <row r="896" customFormat="1" ht="30" customHeight="1" x14ac:dyDescent="0.3"/>
    <row r="897" customFormat="1" ht="30" customHeight="1" x14ac:dyDescent="0.3"/>
    <row r="898" customFormat="1" ht="30" customHeight="1" x14ac:dyDescent="0.3"/>
    <row r="899" customFormat="1" ht="30" customHeight="1" x14ac:dyDescent="0.3"/>
    <row r="900" customFormat="1" ht="30" customHeight="1" x14ac:dyDescent="0.3"/>
    <row r="901" customFormat="1" ht="30" customHeight="1" x14ac:dyDescent="0.3"/>
    <row r="902" customFormat="1" ht="30" customHeight="1" x14ac:dyDescent="0.3"/>
    <row r="903" customFormat="1" ht="30" customHeight="1" x14ac:dyDescent="0.3"/>
    <row r="904" customFormat="1" ht="30" customHeight="1" x14ac:dyDescent="0.3"/>
    <row r="905" customFormat="1" ht="30" customHeight="1" x14ac:dyDescent="0.3"/>
    <row r="906" customFormat="1" ht="30" customHeight="1" x14ac:dyDescent="0.3"/>
    <row r="907" customFormat="1" ht="30" customHeight="1" x14ac:dyDescent="0.3"/>
    <row r="908" customFormat="1" ht="30" customHeight="1" x14ac:dyDescent="0.3"/>
    <row r="909" customFormat="1" ht="30" customHeight="1" x14ac:dyDescent="0.3"/>
    <row r="910" customFormat="1" ht="30" customHeight="1" x14ac:dyDescent="0.3"/>
    <row r="911" customFormat="1" ht="30" customHeight="1" x14ac:dyDescent="0.3"/>
    <row r="912" customFormat="1" ht="30" customHeight="1" x14ac:dyDescent="0.3"/>
    <row r="913" customFormat="1" ht="30" customHeight="1" x14ac:dyDescent="0.3"/>
    <row r="914" customFormat="1" ht="30" customHeight="1" x14ac:dyDescent="0.3"/>
    <row r="915" customFormat="1" ht="30" customHeight="1" x14ac:dyDescent="0.3"/>
    <row r="916" customFormat="1" ht="30" customHeight="1" x14ac:dyDescent="0.3"/>
    <row r="917" customFormat="1" ht="30" customHeight="1" x14ac:dyDescent="0.3"/>
    <row r="918" customFormat="1" ht="30" customHeight="1" x14ac:dyDescent="0.3"/>
    <row r="919" customFormat="1" ht="30" customHeight="1" x14ac:dyDescent="0.3"/>
    <row r="920" customFormat="1" ht="30" customHeight="1" x14ac:dyDescent="0.3"/>
    <row r="921" customFormat="1" ht="30" customHeight="1" x14ac:dyDescent="0.3"/>
    <row r="922" customFormat="1" ht="30" customHeight="1" x14ac:dyDescent="0.3"/>
    <row r="923" customFormat="1" ht="30" customHeight="1" x14ac:dyDescent="0.3"/>
    <row r="924" customFormat="1" ht="30" customHeight="1" x14ac:dyDescent="0.3"/>
    <row r="925" customFormat="1" ht="30" customHeight="1" x14ac:dyDescent="0.3"/>
    <row r="926" customFormat="1" ht="30" customHeight="1" x14ac:dyDescent="0.3"/>
    <row r="927" customFormat="1" ht="30" customHeight="1" x14ac:dyDescent="0.3"/>
    <row r="928" customFormat="1" ht="30" customHeight="1" x14ac:dyDescent="0.3"/>
    <row r="929" customFormat="1" ht="30" customHeight="1" x14ac:dyDescent="0.3"/>
    <row r="930" customFormat="1" ht="30" customHeight="1" x14ac:dyDescent="0.3"/>
    <row r="931" customFormat="1" ht="30" customHeight="1" x14ac:dyDescent="0.3"/>
    <row r="932" customFormat="1" ht="30" customHeight="1" x14ac:dyDescent="0.3"/>
    <row r="933" customFormat="1" ht="30" customHeight="1" x14ac:dyDescent="0.3"/>
    <row r="934" customFormat="1" ht="30" customHeight="1" x14ac:dyDescent="0.3"/>
    <row r="935" customFormat="1" ht="30" customHeight="1" x14ac:dyDescent="0.3"/>
    <row r="936" customFormat="1" ht="30" customHeight="1" x14ac:dyDescent="0.3"/>
    <row r="937" customFormat="1" ht="30" customHeight="1" x14ac:dyDescent="0.3"/>
    <row r="938" customFormat="1" ht="30" customHeight="1" x14ac:dyDescent="0.3"/>
    <row r="939" customFormat="1" ht="30" customHeight="1" x14ac:dyDescent="0.3"/>
    <row r="940" customFormat="1" ht="30" customHeight="1" x14ac:dyDescent="0.3"/>
    <row r="941" customFormat="1" ht="30" customHeight="1" x14ac:dyDescent="0.3"/>
    <row r="942" customFormat="1" ht="30" customHeight="1" x14ac:dyDescent="0.3"/>
    <row r="943" customFormat="1" ht="30" customHeight="1" x14ac:dyDescent="0.3"/>
    <row r="944" customFormat="1" ht="30" customHeight="1" x14ac:dyDescent="0.3"/>
    <row r="945" customFormat="1" ht="30" customHeight="1" x14ac:dyDescent="0.3"/>
    <row r="946" customFormat="1" ht="30" customHeight="1" x14ac:dyDescent="0.3"/>
    <row r="947" customFormat="1" ht="30" customHeight="1" x14ac:dyDescent="0.3"/>
    <row r="948" customFormat="1" ht="30" customHeight="1" x14ac:dyDescent="0.3"/>
    <row r="949" customFormat="1" ht="30" customHeight="1" x14ac:dyDescent="0.3"/>
    <row r="950" customFormat="1" ht="30" customHeight="1" x14ac:dyDescent="0.3"/>
    <row r="951" customFormat="1" ht="30" customHeight="1" x14ac:dyDescent="0.3"/>
    <row r="952" customFormat="1" ht="30" customHeight="1" x14ac:dyDescent="0.3"/>
    <row r="953" customFormat="1" ht="30" customHeight="1" x14ac:dyDescent="0.3"/>
    <row r="954" customFormat="1" ht="30" customHeight="1" x14ac:dyDescent="0.3"/>
    <row r="955" customFormat="1" ht="30" customHeight="1" x14ac:dyDescent="0.3"/>
    <row r="956" customFormat="1" ht="30" customHeight="1" x14ac:dyDescent="0.3"/>
    <row r="957" customFormat="1" ht="30" customHeight="1" x14ac:dyDescent="0.3"/>
    <row r="958" customFormat="1" ht="30" customHeight="1" x14ac:dyDescent="0.3"/>
    <row r="959" customFormat="1" ht="30" customHeight="1" x14ac:dyDescent="0.3"/>
    <row r="960" customFormat="1" ht="30" customHeight="1" x14ac:dyDescent="0.3"/>
    <row r="961" customFormat="1" ht="30" customHeight="1" x14ac:dyDescent="0.3"/>
    <row r="962" customFormat="1" ht="30" customHeight="1" x14ac:dyDescent="0.3"/>
    <row r="963" customFormat="1" ht="30" customHeight="1" x14ac:dyDescent="0.3"/>
    <row r="964" customFormat="1" ht="30" customHeight="1" x14ac:dyDescent="0.3"/>
    <row r="965" customFormat="1" ht="30" customHeight="1" x14ac:dyDescent="0.3"/>
    <row r="966" customFormat="1" ht="30" customHeight="1" x14ac:dyDescent="0.3"/>
    <row r="967" customFormat="1" ht="30" customHeight="1" x14ac:dyDescent="0.3"/>
    <row r="968" customFormat="1" ht="30" customHeight="1" x14ac:dyDescent="0.3"/>
    <row r="969" customFormat="1" ht="30" customHeight="1" x14ac:dyDescent="0.3"/>
    <row r="970" customFormat="1" ht="30" customHeight="1" x14ac:dyDescent="0.3"/>
    <row r="971" customFormat="1" ht="30" customHeight="1" x14ac:dyDescent="0.3"/>
    <row r="972" customFormat="1" ht="30" customHeight="1" x14ac:dyDescent="0.3"/>
    <row r="973" customFormat="1" ht="30" customHeight="1" x14ac:dyDescent="0.3"/>
    <row r="974" customFormat="1" ht="30" customHeight="1" x14ac:dyDescent="0.3"/>
    <row r="975" customFormat="1" ht="30" customHeight="1" x14ac:dyDescent="0.3"/>
    <row r="976" customFormat="1" ht="30" customHeight="1" x14ac:dyDescent="0.3"/>
    <row r="977" customFormat="1" ht="30" customHeight="1" x14ac:dyDescent="0.3"/>
    <row r="978" customFormat="1" ht="30" customHeight="1" x14ac:dyDescent="0.3"/>
    <row r="979" customFormat="1" ht="30" customHeight="1" x14ac:dyDescent="0.3"/>
    <row r="980" customFormat="1" ht="30" customHeight="1" x14ac:dyDescent="0.3"/>
    <row r="981" customFormat="1" ht="30" customHeight="1" x14ac:dyDescent="0.3"/>
    <row r="982" customFormat="1" ht="30" customHeight="1" x14ac:dyDescent="0.3"/>
    <row r="983" customFormat="1" ht="30" customHeight="1" x14ac:dyDescent="0.3"/>
    <row r="984" customFormat="1" ht="30" customHeight="1" x14ac:dyDescent="0.3"/>
    <row r="985" customFormat="1" ht="30" customHeight="1" x14ac:dyDescent="0.3"/>
    <row r="986" customFormat="1" ht="30" customHeight="1" x14ac:dyDescent="0.3"/>
    <row r="987" customFormat="1" ht="30" customHeight="1" x14ac:dyDescent="0.3"/>
    <row r="988" customFormat="1" ht="30" customHeight="1" x14ac:dyDescent="0.3"/>
    <row r="989" customFormat="1" ht="30" customHeight="1" x14ac:dyDescent="0.3"/>
    <row r="990" customFormat="1" ht="30" customHeight="1" x14ac:dyDescent="0.3"/>
    <row r="991" customFormat="1" ht="30" customHeight="1" x14ac:dyDescent="0.3"/>
    <row r="992" customFormat="1" ht="30" customHeight="1" x14ac:dyDescent="0.3"/>
    <row r="993" customFormat="1" ht="30" customHeight="1" x14ac:dyDescent="0.3"/>
    <row r="994" customFormat="1" ht="30" customHeight="1" x14ac:dyDescent="0.3"/>
    <row r="995" customFormat="1" ht="30" customHeight="1" x14ac:dyDescent="0.3"/>
    <row r="996" customFormat="1" ht="30" customHeight="1" x14ac:dyDescent="0.3"/>
    <row r="997" customFormat="1" ht="30" customHeight="1" x14ac:dyDescent="0.3"/>
    <row r="998" customFormat="1" ht="30" customHeight="1" x14ac:dyDescent="0.3"/>
    <row r="999" customFormat="1" ht="30" customHeight="1" x14ac:dyDescent="0.3"/>
    <row r="1000" customFormat="1" ht="30" customHeight="1" x14ac:dyDescent="0.3"/>
    <row r="1001" customFormat="1" ht="30" customHeight="1" x14ac:dyDescent="0.3"/>
    <row r="1002" customFormat="1" ht="30" customHeight="1" x14ac:dyDescent="0.3"/>
    <row r="1003" customFormat="1" ht="30" customHeight="1" x14ac:dyDescent="0.3"/>
    <row r="1004" customFormat="1" ht="30" customHeight="1" x14ac:dyDescent="0.3"/>
    <row r="1005" customFormat="1" ht="30" customHeight="1" x14ac:dyDescent="0.3"/>
    <row r="1006" customFormat="1" ht="30" customHeight="1" x14ac:dyDescent="0.3"/>
    <row r="1007" customFormat="1" ht="30" customHeight="1" x14ac:dyDescent="0.3"/>
    <row r="1008" customFormat="1" ht="30" customHeight="1" x14ac:dyDescent="0.3"/>
    <row r="1009" customFormat="1" ht="30" customHeight="1" x14ac:dyDescent="0.3"/>
    <row r="1010" customFormat="1" ht="30" customHeight="1" x14ac:dyDescent="0.3"/>
    <row r="1011" customFormat="1" ht="30" customHeight="1" x14ac:dyDescent="0.3"/>
    <row r="1012" customFormat="1" ht="30" customHeight="1" x14ac:dyDescent="0.3"/>
    <row r="1013" customFormat="1" ht="30" customHeight="1" x14ac:dyDescent="0.3"/>
    <row r="1014" customFormat="1" ht="30" customHeight="1" x14ac:dyDescent="0.3"/>
    <row r="1015" customFormat="1" ht="30" customHeight="1" x14ac:dyDescent="0.3"/>
    <row r="1016" customFormat="1" ht="30" customHeight="1" x14ac:dyDescent="0.3"/>
    <row r="1017" customFormat="1" ht="30" customHeight="1" x14ac:dyDescent="0.3"/>
    <row r="1018" customFormat="1" ht="30" customHeight="1" x14ac:dyDescent="0.3"/>
    <row r="1019" customFormat="1" ht="30" customHeight="1" x14ac:dyDescent="0.3"/>
    <row r="1020" customFormat="1" ht="30" customHeight="1" x14ac:dyDescent="0.3"/>
    <row r="1021" customFormat="1" ht="30" customHeight="1" x14ac:dyDescent="0.3"/>
    <row r="1022" customFormat="1" ht="30" customHeight="1" x14ac:dyDescent="0.3"/>
    <row r="1023" customFormat="1" ht="30" customHeight="1" x14ac:dyDescent="0.3"/>
    <row r="1024" customFormat="1" ht="30" customHeight="1" x14ac:dyDescent="0.3"/>
    <row r="1025" customFormat="1" ht="30" customHeight="1" x14ac:dyDescent="0.3"/>
    <row r="1026" customFormat="1" ht="30" customHeight="1" x14ac:dyDescent="0.3"/>
    <row r="1027" customFormat="1" ht="30" customHeight="1" x14ac:dyDescent="0.3"/>
    <row r="1028" customFormat="1" ht="30" customHeight="1" x14ac:dyDescent="0.3"/>
    <row r="1029" customFormat="1" ht="30" customHeight="1" x14ac:dyDescent="0.3"/>
    <row r="1030" customFormat="1" ht="30" customHeight="1" x14ac:dyDescent="0.3"/>
    <row r="1031" customFormat="1" ht="30" customHeight="1" x14ac:dyDescent="0.3"/>
    <row r="1032" customFormat="1" ht="30" customHeight="1" x14ac:dyDescent="0.3"/>
    <row r="1033" customFormat="1" ht="30" customHeight="1" x14ac:dyDescent="0.3"/>
    <row r="1034" customFormat="1" ht="30" customHeight="1" x14ac:dyDescent="0.3"/>
    <row r="1035" customFormat="1" ht="30" customHeight="1" x14ac:dyDescent="0.3"/>
    <row r="1036" customFormat="1" ht="30" customHeight="1" x14ac:dyDescent="0.3"/>
    <row r="1037" customFormat="1" ht="30" customHeight="1" x14ac:dyDescent="0.3"/>
    <row r="1038" customFormat="1" ht="30" customHeight="1" x14ac:dyDescent="0.3"/>
    <row r="1039" customFormat="1" ht="30" customHeight="1" x14ac:dyDescent="0.3"/>
    <row r="1040" customFormat="1" ht="30" customHeight="1" x14ac:dyDescent="0.3"/>
    <row r="1041" customFormat="1" ht="30" customHeight="1" x14ac:dyDescent="0.3"/>
    <row r="1042" customFormat="1" ht="30" customHeight="1" x14ac:dyDescent="0.3"/>
    <row r="1043" customFormat="1" ht="30" customHeight="1" x14ac:dyDescent="0.3"/>
    <row r="1044" customFormat="1" ht="30" customHeight="1" x14ac:dyDescent="0.3"/>
    <row r="1045" customFormat="1" ht="30" customHeight="1" x14ac:dyDescent="0.3"/>
    <row r="1046" customFormat="1" ht="30" customHeight="1" x14ac:dyDescent="0.3"/>
    <row r="1047" customFormat="1" ht="30" customHeight="1" x14ac:dyDescent="0.3"/>
    <row r="1048" customFormat="1" ht="30" customHeight="1" x14ac:dyDescent="0.3"/>
    <row r="1049" customFormat="1" ht="30" customHeight="1" x14ac:dyDescent="0.3"/>
    <row r="1050" customFormat="1" ht="30" customHeight="1" x14ac:dyDescent="0.3"/>
    <row r="1051" customFormat="1" ht="30" customHeight="1" x14ac:dyDescent="0.3"/>
    <row r="1052" customFormat="1" ht="30" customHeight="1" x14ac:dyDescent="0.3"/>
    <row r="1053" customFormat="1" ht="30" customHeight="1" x14ac:dyDescent="0.3"/>
    <row r="1054" customFormat="1" ht="30" customHeight="1" x14ac:dyDescent="0.3"/>
    <row r="1055" customFormat="1" ht="30" customHeight="1" x14ac:dyDescent="0.3"/>
    <row r="1056" customFormat="1" ht="30" customHeight="1" x14ac:dyDescent="0.3"/>
    <row r="1057" customFormat="1" ht="30" customHeight="1" x14ac:dyDescent="0.3"/>
    <row r="1058" customFormat="1" ht="30" customHeight="1" x14ac:dyDescent="0.3"/>
    <row r="1059" customFormat="1" ht="30" customHeight="1" x14ac:dyDescent="0.3"/>
    <row r="1060" customFormat="1" ht="30" customHeight="1" x14ac:dyDescent="0.3"/>
    <row r="1061" customFormat="1" ht="30" customHeight="1" x14ac:dyDescent="0.3"/>
    <row r="1062" customFormat="1" ht="30" customHeight="1" x14ac:dyDescent="0.3"/>
    <row r="1063" customFormat="1" ht="30" customHeight="1" x14ac:dyDescent="0.3"/>
    <row r="1064" customFormat="1" ht="30" customHeight="1" x14ac:dyDescent="0.3"/>
    <row r="1065" customFormat="1" ht="30" customHeight="1" x14ac:dyDescent="0.3"/>
    <row r="1066" customFormat="1" ht="30" customHeight="1" x14ac:dyDescent="0.3"/>
    <row r="1067" customFormat="1" ht="30" customHeight="1" x14ac:dyDescent="0.3"/>
    <row r="1068" customFormat="1" ht="30" customHeight="1" x14ac:dyDescent="0.3"/>
    <row r="1069" customFormat="1" ht="30" customHeight="1" x14ac:dyDescent="0.3"/>
    <row r="1070" customFormat="1" ht="30" customHeight="1" x14ac:dyDescent="0.3"/>
    <row r="1071" customFormat="1" ht="30" customHeight="1" x14ac:dyDescent="0.3"/>
    <row r="1072" customFormat="1" ht="30" customHeight="1" x14ac:dyDescent="0.3"/>
    <row r="1073" customFormat="1" ht="30" customHeight="1" x14ac:dyDescent="0.3"/>
    <row r="1074" customFormat="1" ht="30" customHeight="1" x14ac:dyDescent="0.3"/>
    <row r="1075" customFormat="1" ht="30" customHeight="1" x14ac:dyDescent="0.3"/>
    <row r="1076" customFormat="1" ht="30" customHeight="1" x14ac:dyDescent="0.3"/>
    <row r="1077" customFormat="1" ht="30" customHeight="1" x14ac:dyDescent="0.3"/>
    <row r="1078" customFormat="1" ht="30" customHeight="1" x14ac:dyDescent="0.3"/>
    <row r="1079" customFormat="1" ht="30" customHeight="1" x14ac:dyDescent="0.3"/>
    <row r="1080" customFormat="1" ht="30" customHeight="1" x14ac:dyDescent="0.3"/>
    <row r="1081" customFormat="1" ht="30" customHeight="1" x14ac:dyDescent="0.3"/>
    <row r="1082" customFormat="1" ht="30" customHeight="1" x14ac:dyDescent="0.3"/>
    <row r="1083" customFormat="1" ht="30" customHeight="1" x14ac:dyDescent="0.3"/>
    <row r="1084" customFormat="1" ht="30" customHeight="1" x14ac:dyDescent="0.3"/>
    <row r="1085" customFormat="1" ht="30" customHeight="1" x14ac:dyDescent="0.3"/>
    <row r="1086" customFormat="1" ht="30" customHeight="1" x14ac:dyDescent="0.3"/>
    <row r="1087" customFormat="1" ht="30" customHeight="1" x14ac:dyDescent="0.3"/>
    <row r="1088" customFormat="1" ht="30" customHeight="1" x14ac:dyDescent="0.3"/>
    <row r="1089" customFormat="1" ht="30" customHeight="1" x14ac:dyDescent="0.3"/>
    <row r="1090" customFormat="1" ht="30" customHeight="1" x14ac:dyDescent="0.3"/>
    <row r="1091" customFormat="1" ht="30" customHeight="1" x14ac:dyDescent="0.3"/>
    <row r="1092" customFormat="1" ht="30" customHeight="1" x14ac:dyDescent="0.3"/>
    <row r="1093" customFormat="1" ht="30" customHeight="1" x14ac:dyDescent="0.3"/>
    <row r="1094" customFormat="1" ht="30" customHeight="1" x14ac:dyDescent="0.3"/>
    <row r="1095" customFormat="1" ht="30" customHeight="1" x14ac:dyDescent="0.3"/>
    <row r="1096" customFormat="1" ht="30" customHeight="1" x14ac:dyDescent="0.3"/>
    <row r="1097" customFormat="1" ht="30" customHeight="1" x14ac:dyDescent="0.3"/>
    <row r="1098" customFormat="1" ht="30" customHeight="1" x14ac:dyDescent="0.3"/>
    <row r="1099" customFormat="1" ht="30" customHeight="1" x14ac:dyDescent="0.3"/>
    <row r="1100" customFormat="1" ht="30" customHeight="1" x14ac:dyDescent="0.3"/>
    <row r="1101" customFormat="1" ht="30" customHeight="1" x14ac:dyDescent="0.3"/>
    <row r="1102" customFormat="1" ht="30" customHeight="1" x14ac:dyDescent="0.3"/>
    <row r="1103" customFormat="1" ht="30" customHeight="1" x14ac:dyDescent="0.3"/>
    <row r="1104" customFormat="1" ht="30" customHeight="1" x14ac:dyDescent="0.3"/>
    <row r="1105" customFormat="1" ht="30" customHeight="1" x14ac:dyDescent="0.3"/>
    <row r="1106" customFormat="1" ht="30" customHeight="1" x14ac:dyDescent="0.3"/>
    <row r="1107" customFormat="1" ht="30" customHeight="1" x14ac:dyDescent="0.3"/>
    <row r="1108" customFormat="1" ht="30" customHeight="1" x14ac:dyDescent="0.3"/>
    <row r="1109" customFormat="1" ht="30" customHeight="1" x14ac:dyDescent="0.3"/>
    <row r="1110" customFormat="1" ht="30" customHeight="1" x14ac:dyDescent="0.3"/>
    <row r="1111" customFormat="1" ht="30" customHeight="1" x14ac:dyDescent="0.3"/>
    <row r="1112" customFormat="1" ht="30" customHeight="1" x14ac:dyDescent="0.3"/>
    <row r="1113" customFormat="1" ht="30" customHeight="1" x14ac:dyDescent="0.3"/>
    <row r="1114" customFormat="1" ht="30" customHeight="1" x14ac:dyDescent="0.3"/>
    <row r="1115" customFormat="1" ht="30" customHeight="1" x14ac:dyDescent="0.3"/>
    <row r="1116" customFormat="1" ht="30" customHeight="1" x14ac:dyDescent="0.3"/>
    <row r="1117" customFormat="1" ht="30" customHeight="1" x14ac:dyDescent="0.3"/>
    <row r="1118" customFormat="1" ht="30" customHeight="1" x14ac:dyDescent="0.3"/>
    <row r="1119" customFormat="1" ht="30" customHeight="1" x14ac:dyDescent="0.3"/>
    <row r="1120" customFormat="1" ht="30" customHeight="1" x14ac:dyDescent="0.3"/>
    <row r="1121" customFormat="1" ht="30" customHeight="1" x14ac:dyDescent="0.3"/>
    <row r="1122" customFormat="1" ht="30" customHeight="1" x14ac:dyDescent="0.3"/>
    <row r="1123" customFormat="1" ht="30" customHeight="1" x14ac:dyDescent="0.3"/>
    <row r="1124" customFormat="1" ht="30" customHeight="1" x14ac:dyDescent="0.3"/>
    <row r="1125" customFormat="1" ht="30" customHeight="1" x14ac:dyDescent="0.3"/>
    <row r="1126" customFormat="1" ht="30" customHeight="1" x14ac:dyDescent="0.3"/>
    <row r="1127" customFormat="1" ht="30" customHeight="1" x14ac:dyDescent="0.3"/>
    <row r="1128" customFormat="1" ht="30" customHeight="1" x14ac:dyDescent="0.3"/>
    <row r="1129" customFormat="1" ht="30" customHeight="1" x14ac:dyDescent="0.3"/>
    <row r="1130" customFormat="1" ht="30" customHeight="1" x14ac:dyDescent="0.3"/>
    <row r="1131" customFormat="1" ht="30" customHeight="1" x14ac:dyDescent="0.3"/>
    <row r="1132" customFormat="1" ht="30" customHeight="1" x14ac:dyDescent="0.3"/>
    <row r="1133" customFormat="1" ht="30" customHeight="1" x14ac:dyDescent="0.3"/>
    <row r="1134" customFormat="1" ht="30" customHeight="1" x14ac:dyDescent="0.3"/>
    <row r="1135" customFormat="1" ht="30" customHeight="1" x14ac:dyDescent="0.3"/>
    <row r="1136" customFormat="1" ht="30" customHeight="1" x14ac:dyDescent="0.3"/>
    <row r="1137" customFormat="1" ht="30" customHeight="1" x14ac:dyDescent="0.3"/>
    <row r="1138" customFormat="1" ht="30" customHeight="1" x14ac:dyDescent="0.3"/>
    <row r="1139" customFormat="1" ht="30" customHeight="1" x14ac:dyDescent="0.3"/>
    <row r="1140" customFormat="1" ht="30" customHeight="1" x14ac:dyDescent="0.3"/>
    <row r="1141" customFormat="1" ht="30" customHeight="1" x14ac:dyDescent="0.3"/>
    <row r="1142" customFormat="1" ht="30" customHeight="1" x14ac:dyDescent="0.3"/>
    <row r="1143" customFormat="1" ht="30" customHeight="1" x14ac:dyDescent="0.3"/>
    <row r="1144" customFormat="1" ht="30" customHeight="1" x14ac:dyDescent="0.3"/>
    <row r="1145" customFormat="1" ht="30" customHeight="1" x14ac:dyDescent="0.3"/>
    <row r="1146" customFormat="1" ht="30" customHeight="1" x14ac:dyDescent="0.3"/>
    <row r="1147" customFormat="1" ht="30" customHeight="1" x14ac:dyDescent="0.3"/>
    <row r="1148" customFormat="1" ht="30" customHeight="1" x14ac:dyDescent="0.3"/>
    <row r="1149" customFormat="1" ht="30" customHeight="1" x14ac:dyDescent="0.3"/>
    <row r="1150" customFormat="1" ht="30" customHeight="1" x14ac:dyDescent="0.3"/>
    <row r="1151" customFormat="1" ht="30" customHeight="1" x14ac:dyDescent="0.3"/>
    <row r="1152" customFormat="1" ht="30" customHeight="1" x14ac:dyDescent="0.3"/>
    <row r="1153" customFormat="1" ht="30" customHeight="1" x14ac:dyDescent="0.3"/>
    <row r="1154" customFormat="1" ht="30" customHeight="1" x14ac:dyDescent="0.3"/>
    <row r="1155" customFormat="1" ht="30" customHeight="1" x14ac:dyDescent="0.3"/>
    <row r="1156" customFormat="1" ht="30" customHeight="1" x14ac:dyDescent="0.3"/>
    <row r="1157" customFormat="1" ht="30" customHeight="1" x14ac:dyDescent="0.3"/>
    <row r="1158" customFormat="1" ht="30" customHeight="1" x14ac:dyDescent="0.3"/>
    <row r="1159" customFormat="1" ht="30" customHeight="1" x14ac:dyDescent="0.3"/>
    <row r="1160" customFormat="1" ht="30" customHeight="1" x14ac:dyDescent="0.3"/>
    <row r="1161" customFormat="1" ht="30" customHeight="1" x14ac:dyDescent="0.3"/>
    <row r="1162" customFormat="1" ht="30" customHeight="1" x14ac:dyDescent="0.3"/>
    <row r="1163" customFormat="1" ht="30" customHeight="1" x14ac:dyDescent="0.3"/>
    <row r="1164" customFormat="1" ht="30" customHeight="1" x14ac:dyDescent="0.3"/>
    <row r="1165" customFormat="1" ht="30" customHeight="1" x14ac:dyDescent="0.3"/>
    <row r="1166" customFormat="1" ht="30" customHeight="1" x14ac:dyDescent="0.3"/>
    <row r="1167" customFormat="1" ht="30" customHeight="1" x14ac:dyDescent="0.3"/>
    <row r="1168" customFormat="1" ht="30" customHeight="1" x14ac:dyDescent="0.3"/>
    <row r="1169" customFormat="1" ht="30" customHeight="1" x14ac:dyDescent="0.3"/>
    <row r="1170" customFormat="1" ht="30" customHeight="1" x14ac:dyDescent="0.3"/>
    <row r="1171" customFormat="1" ht="30" customHeight="1" x14ac:dyDescent="0.3"/>
    <row r="1172" customFormat="1" ht="30" customHeight="1" x14ac:dyDescent="0.3"/>
    <row r="1173" customFormat="1" ht="30" customHeight="1" x14ac:dyDescent="0.3"/>
    <row r="1174" customFormat="1" ht="30" customHeight="1" x14ac:dyDescent="0.3"/>
    <row r="1175" customFormat="1" ht="30" customHeight="1" x14ac:dyDescent="0.3"/>
    <row r="1176" customFormat="1" ht="30" customHeight="1" x14ac:dyDescent="0.3"/>
    <row r="1177" customFormat="1" ht="30" customHeight="1" x14ac:dyDescent="0.3"/>
    <row r="1178" customFormat="1" ht="30" customHeight="1" x14ac:dyDescent="0.3"/>
    <row r="1179" customFormat="1" ht="30" customHeight="1" x14ac:dyDescent="0.3"/>
    <row r="1180" customFormat="1" ht="30" customHeight="1" x14ac:dyDescent="0.3"/>
    <row r="1181" customFormat="1" ht="30" customHeight="1" x14ac:dyDescent="0.3"/>
    <row r="1182" customFormat="1" ht="30" customHeight="1" x14ac:dyDescent="0.3"/>
    <row r="1183" customFormat="1" ht="30" customHeight="1" x14ac:dyDescent="0.3"/>
    <row r="1184" customFormat="1" ht="30" customHeight="1" x14ac:dyDescent="0.3"/>
    <row r="1185" customFormat="1" ht="30" customHeight="1" x14ac:dyDescent="0.3"/>
    <row r="1186" customFormat="1" ht="30" customHeight="1" x14ac:dyDescent="0.3"/>
    <row r="1187" customFormat="1" ht="30" customHeight="1" x14ac:dyDescent="0.3"/>
    <row r="1188" customFormat="1" ht="30" customHeight="1" x14ac:dyDescent="0.3"/>
    <row r="1189" customFormat="1" ht="30" customHeight="1" x14ac:dyDescent="0.3"/>
    <row r="1190" customFormat="1" ht="30" customHeight="1" x14ac:dyDescent="0.3"/>
    <row r="1191" customFormat="1" ht="30" customHeight="1" x14ac:dyDescent="0.3"/>
    <row r="1192" customFormat="1" ht="30" customHeight="1" x14ac:dyDescent="0.3"/>
    <row r="1193" customFormat="1" ht="30" customHeight="1" x14ac:dyDescent="0.3"/>
    <row r="1194" customFormat="1" ht="30" customHeight="1" x14ac:dyDescent="0.3"/>
    <row r="1195" customFormat="1" ht="30" customHeight="1" x14ac:dyDescent="0.3"/>
    <row r="1196" customFormat="1" ht="30" customHeight="1" x14ac:dyDescent="0.3"/>
    <row r="1197" customFormat="1" ht="30" customHeight="1" x14ac:dyDescent="0.3"/>
    <row r="1198" customFormat="1" ht="30" customHeight="1" x14ac:dyDescent="0.3"/>
    <row r="1199" customFormat="1" ht="30" customHeight="1" x14ac:dyDescent="0.3"/>
    <row r="1200" customFormat="1" ht="30" customHeight="1" x14ac:dyDescent="0.3"/>
    <row r="1201" customFormat="1" ht="30" customHeight="1" x14ac:dyDescent="0.3"/>
    <row r="1202" customFormat="1" ht="30" customHeight="1" x14ac:dyDescent="0.3"/>
    <row r="1203" customFormat="1" ht="30" customHeight="1" x14ac:dyDescent="0.3"/>
    <row r="1204" customFormat="1" ht="30" customHeight="1" x14ac:dyDescent="0.3"/>
    <row r="1205" customFormat="1" ht="30" customHeight="1" x14ac:dyDescent="0.3"/>
    <row r="1206" customFormat="1" ht="30" customHeight="1" x14ac:dyDescent="0.3"/>
    <row r="1207" customFormat="1" ht="30" customHeight="1" x14ac:dyDescent="0.3"/>
    <row r="1208" customFormat="1" ht="30" customHeight="1" x14ac:dyDescent="0.3"/>
    <row r="1209" customFormat="1" ht="30" customHeight="1" x14ac:dyDescent="0.3"/>
    <row r="1210" customFormat="1" ht="30" customHeight="1" x14ac:dyDescent="0.3"/>
    <row r="1211" customFormat="1" ht="30" customHeight="1" x14ac:dyDescent="0.3"/>
    <row r="1212" customFormat="1" ht="30" customHeight="1" x14ac:dyDescent="0.3"/>
    <row r="1213" customFormat="1" ht="30" customHeight="1" x14ac:dyDescent="0.3"/>
    <row r="1214" customFormat="1" ht="30" customHeight="1" x14ac:dyDescent="0.3"/>
    <row r="1215" customFormat="1" ht="30" customHeight="1" x14ac:dyDescent="0.3"/>
    <row r="1216" customFormat="1" ht="30" customHeight="1" x14ac:dyDescent="0.3"/>
    <row r="1217" customFormat="1" ht="30" customHeight="1" x14ac:dyDescent="0.3"/>
    <row r="1218" customFormat="1" ht="30" customHeight="1" x14ac:dyDescent="0.3"/>
    <row r="1219" customFormat="1" ht="30" customHeight="1" x14ac:dyDescent="0.3"/>
    <row r="1220" customFormat="1" ht="30" customHeight="1" x14ac:dyDescent="0.3"/>
    <row r="1221" customFormat="1" ht="30" customHeight="1" x14ac:dyDescent="0.3"/>
    <row r="1222" customFormat="1" ht="30" customHeight="1" x14ac:dyDescent="0.3"/>
    <row r="1223" customFormat="1" ht="30" customHeight="1" x14ac:dyDescent="0.3"/>
    <row r="1224" customFormat="1" ht="30" customHeight="1" x14ac:dyDescent="0.3"/>
    <row r="1225" customFormat="1" ht="30" customHeight="1" x14ac:dyDescent="0.3"/>
    <row r="1226" customFormat="1" ht="30" customHeight="1" x14ac:dyDescent="0.3"/>
    <row r="1227" customFormat="1" ht="30" customHeight="1" x14ac:dyDescent="0.3"/>
    <row r="1228" customFormat="1" ht="30" customHeight="1" x14ac:dyDescent="0.3"/>
    <row r="1229" customFormat="1" ht="30" customHeight="1" x14ac:dyDescent="0.3"/>
    <row r="1230" customFormat="1" ht="30" customHeight="1" x14ac:dyDescent="0.3"/>
    <row r="1231" customFormat="1" ht="30" customHeight="1" x14ac:dyDescent="0.3"/>
    <row r="1232" customFormat="1" ht="30" customHeight="1" x14ac:dyDescent="0.3"/>
    <row r="1233" customFormat="1" ht="30" customHeight="1" x14ac:dyDescent="0.3"/>
    <row r="1234" customFormat="1" ht="30" customHeight="1" x14ac:dyDescent="0.3"/>
    <row r="1235" customFormat="1" ht="30" customHeight="1" x14ac:dyDescent="0.3"/>
    <row r="1236" customFormat="1" ht="30" customHeight="1" x14ac:dyDescent="0.3"/>
    <row r="1237" customFormat="1" ht="30" customHeight="1" x14ac:dyDescent="0.3"/>
    <row r="1238" customFormat="1" ht="30" customHeight="1" x14ac:dyDescent="0.3"/>
    <row r="1239" customFormat="1" ht="30" customHeight="1" x14ac:dyDescent="0.3"/>
    <row r="1240" customFormat="1" ht="30" customHeight="1" x14ac:dyDescent="0.3"/>
    <row r="1241" customFormat="1" ht="30" customHeight="1" x14ac:dyDescent="0.3"/>
    <row r="1242" customFormat="1" ht="30" customHeight="1" x14ac:dyDescent="0.3"/>
    <row r="1243" customFormat="1" ht="30" customHeight="1" x14ac:dyDescent="0.3"/>
    <row r="1244" customFormat="1" ht="30" customHeight="1" x14ac:dyDescent="0.3"/>
    <row r="1245" customFormat="1" ht="30" customHeight="1" x14ac:dyDescent="0.3"/>
    <row r="1246" customFormat="1" ht="30" customHeight="1" x14ac:dyDescent="0.3"/>
    <row r="1247" customFormat="1" ht="30" customHeight="1" x14ac:dyDescent="0.3"/>
    <row r="1248" customFormat="1" ht="30" customHeight="1" x14ac:dyDescent="0.3"/>
    <row r="1249" customFormat="1" ht="30" customHeight="1" x14ac:dyDescent="0.3"/>
    <row r="1250" customFormat="1" ht="30" customHeight="1" x14ac:dyDescent="0.3"/>
    <row r="1251" customFormat="1" ht="30" customHeight="1" x14ac:dyDescent="0.3"/>
    <row r="1252" customFormat="1" ht="30" customHeight="1" x14ac:dyDescent="0.3"/>
    <row r="1253" customFormat="1" ht="30" customHeight="1" x14ac:dyDescent="0.3"/>
    <row r="1254" customFormat="1" ht="30" customHeight="1" x14ac:dyDescent="0.3"/>
    <row r="1255" customFormat="1" ht="30" customHeight="1" x14ac:dyDescent="0.3"/>
    <row r="1256" customFormat="1" ht="30" customHeight="1" x14ac:dyDescent="0.3"/>
    <row r="1257" customFormat="1" ht="30" customHeight="1" x14ac:dyDescent="0.3"/>
    <row r="1258" customFormat="1" ht="30" customHeight="1" x14ac:dyDescent="0.3"/>
    <row r="1259" customFormat="1" ht="30" customHeight="1" x14ac:dyDescent="0.3"/>
    <row r="1260" customFormat="1" ht="30" customHeight="1" x14ac:dyDescent="0.3"/>
    <row r="1261" customFormat="1" ht="30" customHeight="1" x14ac:dyDescent="0.3"/>
    <row r="1262" customFormat="1" ht="30" customHeight="1" x14ac:dyDescent="0.3"/>
    <row r="1263" customFormat="1" ht="30" customHeight="1" x14ac:dyDescent="0.3"/>
    <row r="1264" customFormat="1" ht="30" customHeight="1" x14ac:dyDescent="0.3"/>
    <row r="1265" customFormat="1" ht="30" customHeight="1" x14ac:dyDescent="0.3"/>
    <row r="1266" customFormat="1" ht="30" customHeight="1" x14ac:dyDescent="0.3"/>
    <row r="1267" customFormat="1" ht="30" customHeight="1" x14ac:dyDescent="0.3"/>
    <row r="1268" customFormat="1" ht="30" customHeight="1" x14ac:dyDescent="0.3"/>
    <row r="1269" customFormat="1" ht="30" customHeight="1" x14ac:dyDescent="0.3"/>
    <row r="1270" customFormat="1" ht="30" customHeight="1" x14ac:dyDescent="0.3"/>
    <row r="1271" customFormat="1" ht="30" customHeight="1" x14ac:dyDescent="0.3"/>
    <row r="1272" customFormat="1" ht="30" customHeight="1" x14ac:dyDescent="0.3"/>
    <row r="1273" customFormat="1" ht="30" customHeight="1" x14ac:dyDescent="0.3"/>
    <row r="1274" customFormat="1" ht="30" customHeight="1" x14ac:dyDescent="0.3"/>
    <row r="1275" customFormat="1" ht="30" customHeight="1" x14ac:dyDescent="0.3"/>
    <row r="1276" customFormat="1" ht="30" customHeight="1" x14ac:dyDescent="0.3"/>
    <row r="1277" customFormat="1" ht="30" customHeight="1" x14ac:dyDescent="0.3"/>
    <row r="1278" customFormat="1" ht="30" customHeight="1" x14ac:dyDescent="0.3"/>
    <row r="1279" customFormat="1" ht="30" customHeight="1" x14ac:dyDescent="0.3"/>
    <row r="1280" customFormat="1" ht="30" customHeight="1" x14ac:dyDescent="0.3"/>
    <row r="1281" customFormat="1" ht="30" customHeight="1" x14ac:dyDescent="0.3"/>
    <row r="1282" customFormat="1" ht="30" customHeight="1" x14ac:dyDescent="0.3"/>
    <row r="1283" customFormat="1" ht="30" customHeight="1" x14ac:dyDescent="0.3"/>
    <row r="1284" customFormat="1" ht="30" customHeight="1" x14ac:dyDescent="0.3"/>
    <row r="1285" customFormat="1" ht="30" customHeight="1" x14ac:dyDescent="0.3"/>
    <row r="1286" customFormat="1" ht="30" customHeight="1" x14ac:dyDescent="0.3"/>
    <row r="1287" customFormat="1" ht="30" customHeight="1" x14ac:dyDescent="0.3"/>
    <row r="1288" customFormat="1" ht="30" customHeight="1" x14ac:dyDescent="0.3"/>
    <row r="1289" customFormat="1" ht="30" customHeight="1" x14ac:dyDescent="0.3"/>
    <row r="1290" customFormat="1" ht="30" customHeight="1" x14ac:dyDescent="0.3"/>
    <row r="1291" customFormat="1" ht="30" customHeight="1" x14ac:dyDescent="0.3"/>
    <row r="1292" customFormat="1" ht="30" customHeight="1" x14ac:dyDescent="0.3"/>
    <row r="1293" customFormat="1" ht="30" customHeight="1" x14ac:dyDescent="0.3"/>
    <row r="1294" customFormat="1" ht="30" customHeight="1" x14ac:dyDescent="0.3"/>
    <row r="1295" customFormat="1" ht="30" customHeight="1" x14ac:dyDescent="0.3"/>
    <row r="1296" customFormat="1" ht="30" customHeight="1" x14ac:dyDescent="0.3"/>
    <row r="1297" customFormat="1" ht="30" customHeight="1" x14ac:dyDescent="0.3"/>
    <row r="1298" customFormat="1" ht="30" customHeight="1" x14ac:dyDescent="0.3"/>
    <row r="1299" customFormat="1" ht="30" customHeight="1" x14ac:dyDescent="0.3"/>
    <row r="1300" customFormat="1" ht="30" customHeight="1" x14ac:dyDescent="0.3"/>
    <row r="1301" customFormat="1" ht="30" customHeight="1" x14ac:dyDescent="0.3"/>
    <row r="1302" customFormat="1" ht="30" customHeight="1" x14ac:dyDescent="0.3"/>
    <row r="1303" customFormat="1" ht="30" customHeight="1" x14ac:dyDescent="0.3"/>
    <row r="1304" customFormat="1" ht="30" customHeight="1" x14ac:dyDescent="0.3"/>
    <row r="1305" customFormat="1" ht="30" customHeight="1" x14ac:dyDescent="0.3"/>
    <row r="1306" customFormat="1" ht="30" customHeight="1" x14ac:dyDescent="0.3"/>
    <row r="1307" customFormat="1" ht="30" customHeight="1" x14ac:dyDescent="0.3"/>
    <row r="1308" customFormat="1" ht="30" customHeight="1" x14ac:dyDescent="0.3"/>
    <row r="1309" customFormat="1" ht="30" customHeight="1" x14ac:dyDescent="0.3"/>
    <row r="1310" customFormat="1" ht="30" customHeight="1" x14ac:dyDescent="0.3"/>
    <row r="1311" customFormat="1" ht="30" customHeight="1" x14ac:dyDescent="0.3"/>
    <row r="1312" customFormat="1" ht="30" customHeight="1" x14ac:dyDescent="0.3"/>
    <row r="1313" customFormat="1" ht="30" customHeight="1" x14ac:dyDescent="0.3"/>
    <row r="1314" customFormat="1" ht="30" customHeight="1" x14ac:dyDescent="0.3"/>
    <row r="1315" customFormat="1" ht="30" customHeight="1" x14ac:dyDescent="0.3"/>
    <row r="1316" customFormat="1" ht="30" customHeight="1" x14ac:dyDescent="0.3"/>
    <row r="1317" customFormat="1" ht="30" customHeight="1" x14ac:dyDescent="0.3"/>
    <row r="1318" customFormat="1" ht="30" customHeight="1" x14ac:dyDescent="0.3"/>
    <row r="1319" customFormat="1" ht="30" customHeight="1" x14ac:dyDescent="0.3"/>
    <row r="1320" customFormat="1" ht="30" customHeight="1" x14ac:dyDescent="0.3"/>
    <row r="1321" customFormat="1" ht="30" customHeight="1" x14ac:dyDescent="0.3"/>
    <row r="1322" customFormat="1" ht="30" customHeight="1" x14ac:dyDescent="0.3"/>
    <row r="1323" customFormat="1" ht="30" customHeight="1" x14ac:dyDescent="0.3"/>
    <row r="1324" customFormat="1" ht="30" customHeight="1" x14ac:dyDescent="0.3"/>
    <row r="1325" customFormat="1" ht="30" customHeight="1" x14ac:dyDescent="0.3"/>
    <row r="1326" customFormat="1" ht="30" customHeight="1" x14ac:dyDescent="0.3"/>
    <row r="1327" customFormat="1" ht="30" customHeight="1" x14ac:dyDescent="0.3"/>
    <row r="1328" customFormat="1" ht="30" customHeight="1" x14ac:dyDescent="0.3"/>
    <row r="1329" customFormat="1" ht="30" customHeight="1" x14ac:dyDescent="0.3"/>
    <row r="1330" customFormat="1" ht="30" customHeight="1" x14ac:dyDescent="0.3"/>
    <row r="1331" customFormat="1" ht="30" customHeight="1" x14ac:dyDescent="0.3"/>
    <row r="1332" customFormat="1" ht="30" customHeight="1" x14ac:dyDescent="0.3"/>
    <row r="1333" customFormat="1" ht="30" customHeight="1" x14ac:dyDescent="0.3"/>
    <row r="1334" customFormat="1" ht="30" customHeight="1" x14ac:dyDescent="0.3"/>
    <row r="1335" customFormat="1" ht="30" customHeight="1" x14ac:dyDescent="0.3"/>
    <row r="1336" customFormat="1" ht="30" customHeight="1" x14ac:dyDescent="0.3"/>
    <row r="1337" customFormat="1" ht="30" customHeight="1" x14ac:dyDescent="0.3"/>
    <row r="1338" customFormat="1" ht="30" customHeight="1" x14ac:dyDescent="0.3"/>
    <row r="1339" customFormat="1" ht="30" customHeight="1" x14ac:dyDescent="0.3"/>
    <row r="1340" customFormat="1" ht="30" customHeight="1" x14ac:dyDescent="0.3"/>
    <row r="1341" customFormat="1" ht="30" customHeight="1" x14ac:dyDescent="0.3"/>
    <row r="1342" customFormat="1" ht="30" customHeight="1" x14ac:dyDescent="0.3"/>
    <row r="1343" customFormat="1" ht="30" customHeight="1" x14ac:dyDescent="0.3"/>
    <row r="1344" customFormat="1" ht="30" customHeight="1" x14ac:dyDescent="0.3"/>
    <row r="1345" customFormat="1" ht="30" customHeight="1" x14ac:dyDescent="0.3"/>
    <row r="1346" customFormat="1" ht="30" customHeight="1" x14ac:dyDescent="0.3"/>
    <row r="1347" customFormat="1" ht="30" customHeight="1" x14ac:dyDescent="0.3"/>
    <row r="1348" customFormat="1" ht="30" customHeight="1" x14ac:dyDescent="0.3"/>
    <row r="1349" customFormat="1" ht="30" customHeight="1" x14ac:dyDescent="0.3"/>
    <row r="1350" customFormat="1" ht="30" customHeight="1" x14ac:dyDescent="0.3"/>
    <row r="1351" customFormat="1" ht="30" customHeight="1" x14ac:dyDescent="0.3"/>
    <row r="1352" customFormat="1" ht="30" customHeight="1" x14ac:dyDescent="0.3"/>
    <row r="1353" customFormat="1" ht="30" customHeight="1" x14ac:dyDescent="0.3"/>
    <row r="1354" customFormat="1" ht="30" customHeight="1" x14ac:dyDescent="0.3"/>
    <row r="1355" customFormat="1" ht="30" customHeight="1" x14ac:dyDescent="0.3"/>
    <row r="1356" customFormat="1" ht="30" customHeight="1" x14ac:dyDescent="0.3"/>
    <row r="1357" customFormat="1" ht="30" customHeight="1" x14ac:dyDescent="0.3"/>
    <row r="1358" customFormat="1" ht="30" customHeight="1" x14ac:dyDescent="0.3"/>
    <row r="1359" customFormat="1" ht="30" customHeight="1" x14ac:dyDescent="0.3"/>
    <row r="1360" customFormat="1" ht="30" customHeight="1" x14ac:dyDescent="0.3"/>
    <row r="1361" customFormat="1" ht="30" customHeight="1" x14ac:dyDescent="0.3"/>
    <row r="1362" customFormat="1" ht="30" customHeight="1" x14ac:dyDescent="0.3"/>
    <row r="1363" customFormat="1" ht="30" customHeight="1" x14ac:dyDescent="0.3"/>
    <row r="1364" customFormat="1" ht="30" customHeight="1" x14ac:dyDescent="0.3"/>
    <row r="1365" customFormat="1" ht="30" customHeight="1" x14ac:dyDescent="0.3"/>
    <row r="1366" customFormat="1" ht="30" customHeight="1" x14ac:dyDescent="0.3"/>
    <row r="1367" customFormat="1" ht="30" customHeight="1" x14ac:dyDescent="0.3"/>
    <row r="1368" customFormat="1" ht="30" customHeight="1" x14ac:dyDescent="0.3"/>
    <row r="1369" customFormat="1" ht="30" customHeight="1" x14ac:dyDescent="0.3"/>
    <row r="1370" customFormat="1" ht="30" customHeight="1" x14ac:dyDescent="0.3"/>
    <row r="1371" customFormat="1" ht="30" customHeight="1" x14ac:dyDescent="0.3"/>
    <row r="1372" customFormat="1" ht="30" customHeight="1" x14ac:dyDescent="0.3"/>
    <row r="1373" customFormat="1" ht="30" customHeight="1" x14ac:dyDescent="0.3"/>
    <row r="1374" customFormat="1" ht="30" customHeight="1" x14ac:dyDescent="0.3"/>
    <row r="1375" customFormat="1" ht="30" customHeight="1" x14ac:dyDescent="0.3"/>
    <row r="1376" customFormat="1" ht="30" customHeight="1" x14ac:dyDescent="0.3"/>
    <row r="1377" customFormat="1" ht="30" customHeight="1" x14ac:dyDescent="0.3"/>
    <row r="1378" customFormat="1" ht="30" customHeight="1" x14ac:dyDescent="0.3"/>
    <row r="1379" customFormat="1" ht="30" customHeight="1" x14ac:dyDescent="0.3"/>
    <row r="1380" customFormat="1" ht="30" customHeight="1" x14ac:dyDescent="0.3"/>
    <row r="1381" customFormat="1" ht="30" customHeight="1" x14ac:dyDescent="0.3"/>
    <row r="1382" customFormat="1" ht="30" customHeight="1" x14ac:dyDescent="0.3"/>
    <row r="1383" customFormat="1" ht="30" customHeight="1" x14ac:dyDescent="0.3"/>
    <row r="1384" customFormat="1" ht="30" customHeight="1" x14ac:dyDescent="0.3"/>
    <row r="1385" customFormat="1" ht="30" customHeight="1" x14ac:dyDescent="0.3"/>
    <row r="1386" customFormat="1" ht="30" customHeight="1" x14ac:dyDescent="0.3"/>
    <row r="1387" customFormat="1" ht="30" customHeight="1" x14ac:dyDescent="0.3"/>
    <row r="1388" customFormat="1" ht="30" customHeight="1" x14ac:dyDescent="0.3"/>
    <row r="1389" customFormat="1" ht="30" customHeight="1" x14ac:dyDescent="0.3"/>
    <row r="1390" customFormat="1" ht="30" customHeight="1" x14ac:dyDescent="0.3"/>
    <row r="1391" customFormat="1" ht="30" customHeight="1" x14ac:dyDescent="0.3"/>
    <row r="1392" customFormat="1" ht="30" customHeight="1" x14ac:dyDescent="0.3"/>
    <row r="1393" customFormat="1" ht="30" customHeight="1" x14ac:dyDescent="0.3"/>
    <row r="1394" customFormat="1" ht="30" customHeight="1" x14ac:dyDescent="0.3"/>
    <row r="1395" customFormat="1" ht="30" customHeight="1" x14ac:dyDescent="0.3"/>
    <row r="1396" customFormat="1" ht="30" customHeight="1" x14ac:dyDescent="0.3"/>
    <row r="1397" customFormat="1" ht="30" customHeight="1" x14ac:dyDescent="0.3"/>
    <row r="1398" customFormat="1" ht="30" customHeight="1" x14ac:dyDescent="0.3"/>
    <row r="1399" customFormat="1" ht="30" customHeight="1" x14ac:dyDescent="0.3"/>
    <row r="1400" customFormat="1" ht="30" customHeight="1" x14ac:dyDescent="0.3"/>
    <row r="1401" customFormat="1" ht="30" customHeight="1" x14ac:dyDescent="0.3"/>
    <row r="1402" customFormat="1" ht="30" customHeight="1" x14ac:dyDescent="0.3"/>
    <row r="1403" customFormat="1" ht="30" customHeight="1" x14ac:dyDescent="0.3"/>
    <row r="1404" customFormat="1" ht="30" customHeight="1" x14ac:dyDescent="0.3"/>
    <row r="1405" customFormat="1" ht="30" customHeight="1" x14ac:dyDescent="0.3"/>
    <row r="1406" customFormat="1" ht="30" customHeight="1" x14ac:dyDescent="0.3"/>
    <row r="1407" customFormat="1" ht="30" customHeight="1" x14ac:dyDescent="0.3"/>
    <row r="1408" customFormat="1" ht="30" customHeight="1" x14ac:dyDescent="0.3"/>
    <row r="1409" customFormat="1" ht="30" customHeight="1" x14ac:dyDescent="0.3"/>
    <row r="1410" customFormat="1" ht="30" customHeight="1" x14ac:dyDescent="0.3"/>
    <row r="1411" customFormat="1" ht="30" customHeight="1" x14ac:dyDescent="0.3"/>
    <row r="1412" customFormat="1" ht="30" customHeight="1" x14ac:dyDescent="0.3"/>
    <row r="1413" customFormat="1" ht="30" customHeight="1" x14ac:dyDescent="0.3"/>
    <row r="1414" customFormat="1" ht="30" customHeight="1" x14ac:dyDescent="0.3"/>
    <row r="1415" customFormat="1" ht="30" customHeight="1" x14ac:dyDescent="0.3"/>
    <row r="1416" customFormat="1" ht="30" customHeight="1" x14ac:dyDescent="0.3"/>
    <row r="1417" customFormat="1" ht="30" customHeight="1" x14ac:dyDescent="0.3"/>
    <row r="1418" customFormat="1" ht="30" customHeight="1" x14ac:dyDescent="0.3"/>
    <row r="1419" customFormat="1" ht="30" customHeight="1" x14ac:dyDescent="0.3"/>
    <row r="1420" customFormat="1" ht="30" customHeight="1" x14ac:dyDescent="0.3"/>
    <row r="1421" customFormat="1" ht="30" customHeight="1" x14ac:dyDescent="0.3"/>
    <row r="1422" customFormat="1" ht="30" customHeight="1" x14ac:dyDescent="0.3"/>
    <row r="1423" customFormat="1" ht="30" customHeight="1" x14ac:dyDescent="0.3"/>
    <row r="1424" customFormat="1" ht="30" customHeight="1" x14ac:dyDescent="0.3"/>
    <row r="1425" customFormat="1" ht="30" customHeight="1" x14ac:dyDescent="0.3"/>
    <row r="1426" customFormat="1" ht="30" customHeight="1" x14ac:dyDescent="0.3"/>
    <row r="1427" customFormat="1" ht="30" customHeight="1" x14ac:dyDescent="0.3"/>
    <row r="1428" customFormat="1" ht="30" customHeight="1" x14ac:dyDescent="0.3"/>
    <row r="1429" customFormat="1" ht="30" customHeight="1" x14ac:dyDescent="0.3"/>
    <row r="1430" customFormat="1" ht="30" customHeight="1" x14ac:dyDescent="0.3"/>
    <row r="1431" customFormat="1" ht="30" customHeight="1" x14ac:dyDescent="0.3"/>
    <row r="1432" customFormat="1" ht="30" customHeight="1" x14ac:dyDescent="0.3"/>
    <row r="1433" customFormat="1" ht="30" customHeight="1" x14ac:dyDescent="0.3"/>
    <row r="1434" customFormat="1" ht="30" customHeight="1" x14ac:dyDescent="0.3"/>
    <row r="1435" customFormat="1" ht="30" customHeight="1" x14ac:dyDescent="0.3"/>
    <row r="1436" customFormat="1" ht="30" customHeight="1" x14ac:dyDescent="0.3"/>
    <row r="1437" customFormat="1" ht="30" customHeight="1" x14ac:dyDescent="0.3"/>
    <row r="1438" customFormat="1" ht="30" customHeight="1" x14ac:dyDescent="0.3"/>
    <row r="1439" customFormat="1" ht="30" customHeight="1" x14ac:dyDescent="0.3"/>
    <row r="1440" customFormat="1" ht="30" customHeight="1" x14ac:dyDescent="0.3"/>
    <row r="1441" customFormat="1" ht="30" customHeight="1" x14ac:dyDescent="0.3"/>
    <row r="1442" customFormat="1" ht="30" customHeight="1" x14ac:dyDescent="0.3"/>
    <row r="1443" customFormat="1" ht="30" customHeight="1" x14ac:dyDescent="0.3"/>
    <row r="1444" customFormat="1" ht="30" customHeight="1" x14ac:dyDescent="0.3"/>
    <row r="1445" customFormat="1" ht="30" customHeight="1" x14ac:dyDescent="0.3"/>
    <row r="1446" customFormat="1" ht="30" customHeight="1" x14ac:dyDescent="0.3"/>
    <row r="1447" customFormat="1" ht="30" customHeight="1" x14ac:dyDescent="0.3"/>
    <row r="1448" customFormat="1" ht="30" customHeight="1" x14ac:dyDescent="0.3"/>
    <row r="1449" customFormat="1" ht="30" customHeight="1" x14ac:dyDescent="0.3"/>
    <row r="1450" customFormat="1" ht="30" customHeight="1" x14ac:dyDescent="0.3"/>
    <row r="1451" customFormat="1" ht="30" customHeight="1" x14ac:dyDescent="0.3"/>
    <row r="1452" customFormat="1" ht="30" customHeight="1" x14ac:dyDescent="0.3"/>
    <row r="1453" customFormat="1" ht="30" customHeight="1" x14ac:dyDescent="0.3"/>
    <row r="1454" customFormat="1" ht="30" customHeight="1" x14ac:dyDescent="0.3"/>
    <row r="1455" customFormat="1" ht="30" customHeight="1" x14ac:dyDescent="0.3"/>
    <row r="1456" customFormat="1" ht="30" customHeight="1" x14ac:dyDescent="0.3"/>
    <row r="1457" customFormat="1" ht="30" customHeight="1" x14ac:dyDescent="0.3"/>
    <row r="1458" customFormat="1" ht="30" customHeight="1" x14ac:dyDescent="0.3"/>
    <row r="1459" customFormat="1" ht="30" customHeight="1" x14ac:dyDescent="0.3"/>
    <row r="1460" customFormat="1" ht="30" customHeight="1" x14ac:dyDescent="0.3"/>
    <row r="1461" customFormat="1" ht="30" customHeight="1" x14ac:dyDescent="0.3"/>
    <row r="1462" customFormat="1" ht="30" customHeight="1" x14ac:dyDescent="0.3"/>
    <row r="1463" customFormat="1" ht="30" customHeight="1" x14ac:dyDescent="0.3"/>
    <row r="1464" customFormat="1" ht="30" customHeight="1" x14ac:dyDescent="0.3"/>
    <row r="1465" customFormat="1" ht="30" customHeight="1" x14ac:dyDescent="0.3"/>
    <row r="1466" customFormat="1" ht="30" customHeight="1" x14ac:dyDescent="0.3"/>
    <row r="1467" customFormat="1" ht="30" customHeight="1" x14ac:dyDescent="0.3"/>
    <row r="1468" customFormat="1" ht="30" customHeight="1" x14ac:dyDescent="0.3"/>
    <row r="1469" customFormat="1" ht="30" customHeight="1" x14ac:dyDescent="0.3"/>
    <row r="1470" customFormat="1" ht="30" customHeight="1" x14ac:dyDescent="0.3"/>
    <row r="1471" customFormat="1" ht="30" customHeight="1" x14ac:dyDescent="0.3"/>
    <row r="1472" customFormat="1" ht="30" customHeight="1" x14ac:dyDescent="0.3"/>
    <row r="1473" customFormat="1" ht="30" customHeight="1" x14ac:dyDescent="0.3"/>
    <row r="1474" customFormat="1" ht="30" customHeight="1" x14ac:dyDescent="0.3"/>
    <row r="1475" customFormat="1" ht="30" customHeight="1" x14ac:dyDescent="0.3"/>
    <row r="1476" customFormat="1" ht="30" customHeight="1" x14ac:dyDescent="0.3"/>
    <row r="1477" customFormat="1" ht="30" customHeight="1" x14ac:dyDescent="0.3"/>
    <row r="1478" customFormat="1" ht="30" customHeight="1" x14ac:dyDescent="0.3"/>
    <row r="1479" customFormat="1" ht="30" customHeight="1" x14ac:dyDescent="0.3"/>
    <row r="1480" customFormat="1" ht="30" customHeight="1" x14ac:dyDescent="0.3"/>
    <row r="1481" customFormat="1" ht="30" customHeight="1" x14ac:dyDescent="0.3"/>
    <row r="1482" customFormat="1" ht="30" customHeight="1" x14ac:dyDescent="0.3"/>
    <row r="1483" customFormat="1" ht="30" customHeight="1" x14ac:dyDescent="0.3"/>
    <row r="1484" customFormat="1" ht="30" customHeight="1" x14ac:dyDescent="0.3"/>
    <row r="1485" customFormat="1" ht="30" customHeight="1" x14ac:dyDescent="0.3"/>
    <row r="1486" customFormat="1" ht="30" customHeight="1" x14ac:dyDescent="0.3"/>
    <row r="1487" customFormat="1" ht="30" customHeight="1" x14ac:dyDescent="0.3"/>
    <row r="1488" customFormat="1" ht="30" customHeight="1" x14ac:dyDescent="0.3"/>
    <row r="1489" customFormat="1" ht="30" customHeight="1" x14ac:dyDescent="0.3"/>
    <row r="1490" customFormat="1" ht="30" customHeight="1" x14ac:dyDescent="0.3"/>
    <row r="1491" customFormat="1" ht="30" customHeight="1" x14ac:dyDescent="0.3"/>
    <row r="1492" customFormat="1" ht="30" customHeight="1" x14ac:dyDescent="0.3"/>
    <row r="1493" customFormat="1" ht="30" customHeight="1" x14ac:dyDescent="0.3"/>
    <row r="1494" customFormat="1" ht="30" customHeight="1" x14ac:dyDescent="0.3"/>
    <row r="1495" customFormat="1" ht="30" customHeight="1" x14ac:dyDescent="0.3"/>
    <row r="1496" customFormat="1" ht="30" customHeight="1" x14ac:dyDescent="0.3"/>
    <row r="1497" customFormat="1" ht="30" customHeight="1" x14ac:dyDescent="0.3"/>
    <row r="1498" customFormat="1" ht="30" customHeight="1" x14ac:dyDescent="0.3"/>
    <row r="1499" customFormat="1" ht="30" customHeight="1" x14ac:dyDescent="0.3"/>
    <row r="1500" customFormat="1" ht="30" customHeight="1" x14ac:dyDescent="0.3"/>
    <row r="1501" customFormat="1" ht="30" customHeight="1" x14ac:dyDescent="0.3"/>
    <row r="1502" customFormat="1" ht="30" customHeight="1" x14ac:dyDescent="0.3"/>
    <row r="1503" customFormat="1" ht="30" customHeight="1" x14ac:dyDescent="0.3"/>
    <row r="1504" customFormat="1" ht="30" customHeight="1" x14ac:dyDescent="0.3"/>
    <row r="1505" customFormat="1" ht="30" customHeight="1" x14ac:dyDescent="0.3"/>
    <row r="1506" customFormat="1" ht="30" customHeight="1" x14ac:dyDescent="0.3"/>
    <row r="1507" customFormat="1" ht="30" customHeight="1" x14ac:dyDescent="0.3"/>
    <row r="1508" customFormat="1" ht="30" customHeight="1" x14ac:dyDescent="0.3"/>
    <row r="1509" customFormat="1" ht="30" customHeight="1" x14ac:dyDescent="0.3"/>
    <row r="1510" customFormat="1" ht="30" customHeight="1" x14ac:dyDescent="0.3"/>
    <row r="1511" customFormat="1" ht="30" customHeight="1" x14ac:dyDescent="0.3"/>
    <row r="1512" customFormat="1" ht="30" customHeight="1" x14ac:dyDescent="0.3"/>
    <row r="1513" customFormat="1" ht="30" customHeight="1" x14ac:dyDescent="0.3"/>
    <row r="1514" customFormat="1" ht="30" customHeight="1" x14ac:dyDescent="0.3"/>
    <row r="1515" customFormat="1" ht="30" customHeight="1" x14ac:dyDescent="0.3"/>
    <row r="1516" customFormat="1" ht="30" customHeight="1" x14ac:dyDescent="0.3"/>
    <row r="1517" customFormat="1" ht="30" customHeight="1" x14ac:dyDescent="0.3"/>
    <row r="1518" customFormat="1" ht="30" customHeight="1" x14ac:dyDescent="0.3"/>
    <row r="1519" customFormat="1" ht="30" customHeight="1" x14ac:dyDescent="0.3"/>
    <row r="1520" customFormat="1" ht="30" customHeight="1" x14ac:dyDescent="0.3"/>
    <row r="1521" customFormat="1" ht="30" customHeight="1" x14ac:dyDescent="0.3"/>
    <row r="1522" customFormat="1" ht="30" customHeight="1" x14ac:dyDescent="0.3"/>
    <row r="1523" customFormat="1" ht="30" customHeight="1" x14ac:dyDescent="0.3"/>
    <row r="1524" customFormat="1" ht="30" customHeight="1" x14ac:dyDescent="0.3"/>
    <row r="1525" customFormat="1" ht="30" customHeight="1" x14ac:dyDescent="0.3"/>
    <row r="1526" customFormat="1" ht="30" customHeight="1" x14ac:dyDescent="0.3"/>
    <row r="1527" customFormat="1" ht="30" customHeight="1" x14ac:dyDescent="0.3"/>
    <row r="1528" customFormat="1" ht="30" customHeight="1" x14ac:dyDescent="0.3"/>
    <row r="1529" customFormat="1" ht="30" customHeight="1" x14ac:dyDescent="0.3"/>
    <row r="1530" customFormat="1" ht="30" customHeight="1" x14ac:dyDescent="0.3"/>
    <row r="1531" customFormat="1" ht="30" customHeight="1" x14ac:dyDescent="0.3"/>
    <row r="1532" customFormat="1" ht="30" customHeight="1" x14ac:dyDescent="0.3"/>
    <row r="1533" customFormat="1" ht="30" customHeight="1" x14ac:dyDescent="0.3"/>
    <row r="1534" customFormat="1" ht="30" customHeight="1" x14ac:dyDescent="0.3"/>
    <row r="1535" customFormat="1" ht="30" customHeight="1" x14ac:dyDescent="0.3"/>
    <row r="1536" customFormat="1" ht="30" customHeight="1" x14ac:dyDescent="0.3"/>
    <row r="1537" customFormat="1" ht="30" customHeight="1" x14ac:dyDescent="0.3"/>
    <row r="1538" customFormat="1" ht="30" customHeight="1" x14ac:dyDescent="0.3"/>
    <row r="1539" customFormat="1" ht="30" customHeight="1" x14ac:dyDescent="0.3"/>
    <row r="1540" customFormat="1" ht="30" customHeight="1" x14ac:dyDescent="0.3"/>
    <row r="1541" customFormat="1" ht="30" customHeight="1" x14ac:dyDescent="0.3"/>
    <row r="1542" customFormat="1" ht="30" customHeight="1" x14ac:dyDescent="0.3"/>
    <row r="1543" customFormat="1" ht="30" customHeight="1" x14ac:dyDescent="0.3"/>
    <row r="1544" customFormat="1" ht="30" customHeight="1" x14ac:dyDescent="0.3"/>
    <row r="1545" customFormat="1" ht="30" customHeight="1" x14ac:dyDescent="0.3"/>
    <row r="1546" customFormat="1" ht="30" customHeight="1" x14ac:dyDescent="0.3"/>
    <row r="1547" customFormat="1" ht="30" customHeight="1" x14ac:dyDescent="0.3"/>
    <row r="1548" customFormat="1" ht="30" customHeight="1" x14ac:dyDescent="0.3"/>
    <row r="1549" customFormat="1" ht="30" customHeight="1" x14ac:dyDescent="0.3"/>
    <row r="1550" customFormat="1" ht="30" customHeight="1" x14ac:dyDescent="0.3"/>
    <row r="1551" customFormat="1" ht="30" customHeight="1" x14ac:dyDescent="0.3"/>
    <row r="1552" customFormat="1" ht="30" customHeight="1" x14ac:dyDescent="0.3"/>
    <row r="1553" customFormat="1" ht="30" customHeight="1" x14ac:dyDescent="0.3"/>
    <row r="1554" customFormat="1" ht="30" customHeight="1" x14ac:dyDescent="0.3"/>
    <row r="1555" customFormat="1" ht="30" customHeight="1" x14ac:dyDescent="0.3"/>
    <row r="1556" customFormat="1" ht="30" customHeight="1" x14ac:dyDescent="0.3"/>
    <row r="1557" customFormat="1" ht="30" customHeight="1" x14ac:dyDescent="0.3"/>
    <row r="1558" customFormat="1" ht="30" customHeight="1" x14ac:dyDescent="0.3"/>
    <row r="1559" customFormat="1" ht="30" customHeight="1" x14ac:dyDescent="0.3"/>
    <row r="1560" customFormat="1" ht="30" customHeight="1" x14ac:dyDescent="0.3"/>
    <row r="1561" customFormat="1" ht="30" customHeight="1" x14ac:dyDescent="0.3"/>
    <row r="1562" customFormat="1" ht="30" customHeight="1" x14ac:dyDescent="0.3"/>
    <row r="1563" customFormat="1" ht="30" customHeight="1" x14ac:dyDescent="0.3"/>
    <row r="1564" customFormat="1" ht="30" customHeight="1" x14ac:dyDescent="0.3"/>
    <row r="1565" customFormat="1" ht="30" customHeight="1" x14ac:dyDescent="0.3"/>
    <row r="1566" customFormat="1" ht="30" customHeight="1" x14ac:dyDescent="0.3"/>
    <row r="1567" customFormat="1" ht="30" customHeight="1" x14ac:dyDescent="0.3"/>
    <row r="1568" customFormat="1" ht="30" customHeight="1" x14ac:dyDescent="0.3"/>
    <row r="1569" customFormat="1" ht="30" customHeight="1" x14ac:dyDescent="0.3"/>
    <row r="1570" customFormat="1" ht="30" customHeight="1" x14ac:dyDescent="0.3"/>
    <row r="1571" customFormat="1" ht="30" customHeight="1" x14ac:dyDescent="0.3"/>
    <row r="1572" customFormat="1" ht="30" customHeight="1" x14ac:dyDescent="0.3"/>
    <row r="1573" customFormat="1" ht="30" customHeight="1" x14ac:dyDescent="0.3"/>
    <row r="1574" customFormat="1" ht="30" customHeight="1" x14ac:dyDescent="0.3"/>
    <row r="1575" customFormat="1" ht="30" customHeight="1" x14ac:dyDescent="0.3"/>
    <row r="1576" customFormat="1" ht="30" customHeight="1" x14ac:dyDescent="0.3"/>
    <row r="1577" customFormat="1" ht="30" customHeight="1" x14ac:dyDescent="0.3"/>
    <row r="1578" customFormat="1" ht="30" customHeight="1" x14ac:dyDescent="0.3"/>
    <row r="1579" customFormat="1" ht="30" customHeight="1" x14ac:dyDescent="0.3"/>
    <row r="1580" customFormat="1" ht="30" customHeight="1" x14ac:dyDescent="0.3"/>
    <row r="1581" customFormat="1" ht="30" customHeight="1" x14ac:dyDescent="0.3"/>
    <row r="1582" customFormat="1" ht="30" customHeight="1" x14ac:dyDescent="0.3"/>
    <row r="1583" customFormat="1" ht="30" customHeight="1" x14ac:dyDescent="0.3"/>
    <row r="1584" customFormat="1" ht="30" customHeight="1" x14ac:dyDescent="0.3"/>
    <row r="1585" customFormat="1" ht="30" customHeight="1" x14ac:dyDescent="0.3"/>
    <row r="1586" customFormat="1" ht="30" customHeight="1" x14ac:dyDescent="0.3"/>
    <row r="1587" customFormat="1" ht="30" customHeight="1" x14ac:dyDescent="0.3"/>
    <row r="1588" customFormat="1" ht="30" customHeight="1" x14ac:dyDescent="0.3"/>
    <row r="1589" customFormat="1" ht="30" customHeight="1" x14ac:dyDescent="0.3"/>
    <row r="1590" customFormat="1" ht="30" customHeight="1" x14ac:dyDescent="0.3"/>
    <row r="1591" customFormat="1" ht="30" customHeight="1" x14ac:dyDescent="0.3"/>
    <row r="1592" customFormat="1" ht="30" customHeight="1" x14ac:dyDescent="0.3"/>
    <row r="1593" customFormat="1" ht="30" customHeight="1" x14ac:dyDescent="0.3"/>
    <row r="1594" customFormat="1" ht="30" customHeight="1" x14ac:dyDescent="0.3"/>
    <row r="1595" customFormat="1" ht="30" customHeight="1" x14ac:dyDescent="0.3"/>
    <row r="1596" customFormat="1" ht="30" customHeight="1" x14ac:dyDescent="0.3"/>
    <row r="1597" customFormat="1" ht="30" customHeight="1" x14ac:dyDescent="0.3"/>
    <row r="1598" customFormat="1" ht="30" customHeight="1" x14ac:dyDescent="0.3"/>
    <row r="1599" customFormat="1" ht="30" customHeight="1" x14ac:dyDescent="0.3"/>
    <row r="1600" customFormat="1" ht="30" customHeight="1" x14ac:dyDescent="0.3"/>
    <row r="1601" customFormat="1" ht="30" customHeight="1" x14ac:dyDescent="0.3"/>
    <row r="1602" customFormat="1" ht="30" customHeight="1" x14ac:dyDescent="0.3"/>
    <row r="1603" customFormat="1" ht="30" customHeight="1" x14ac:dyDescent="0.3"/>
    <row r="1604" customFormat="1" ht="30" customHeight="1" x14ac:dyDescent="0.3"/>
    <row r="1605" customFormat="1" ht="30" customHeight="1" x14ac:dyDescent="0.3"/>
    <row r="1606" customFormat="1" ht="30" customHeight="1" x14ac:dyDescent="0.3"/>
    <row r="1607" customFormat="1" ht="30" customHeight="1" x14ac:dyDescent="0.3"/>
    <row r="1608" customFormat="1" ht="30" customHeight="1" x14ac:dyDescent="0.3"/>
    <row r="1609" customFormat="1" ht="30" customHeight="1" x14ac:dyDescent="0.3"/>
    <row r="1610" customFormat="1" ht="30" customHeight="1" x14ac:dyDescent="0.3"/>
    <row r="1611" customFormat="1" ht="30" customHeight="1" x14ac:dyDescent="0.3"/>
    <row r="1612" customFormat="1" ht="30" customHeight="1" x14ac:dyDescent="0.3"/>
    <row r="1613" customFormat="1" ht="30" customHeight="1" x14ac:dyDescent="0.3"/>
    <row r="1614" customFormat="1" ht="30" customHeight="1" x14ac:dyDescent="0.3"/>
    <row r="1615" customFormat="1" ht="30" customHeight="1" x14ac:dyDescent="0.3"/>
    <row r="1616" customFormat="1" ht="30" customHeight="1" x14ac:dyDescent="0.3"/>
    <row r="1617" customFormat="1" ht="30" customHeight="1" x14ac:dyDescent="0.3"/>
    <row r="1618" customFormat="1" ht="30" customHeight="1" x14ac:dyDescent="0.3"/>
    <row r="1619" customFormat="1" ht="30" customHeight="1" x14ac:dyDescent="0.3"/>
    <row r="1620" customFormat="1" ht="30" customHeight="1" x14ac:dyDescent="0.3"/>
    <row r="1621" customFormat="1" ht="30" customHeight="1" x14ac:dyDescent="0.3"/>
    <row r="1622" customFormat="1" ht="30" customHeight="1" x14ac:dyDescent="0.3"/>
    <row r="1623" customFormat="1" ht="30" customHeight="1" x14ac:dyDescent="0.3"/>
    <row r="1624" customFormat="1" ht="30" customHeight="1" x14ac:dyDescent="0.3"/>
    <row r="1625" customFormat="1" ht="30" customHeight="1" x14ac:dyDescent="0.3"/>
    <row r="1626" customFormat="1" ht="30" customHeight="1" x14ac:dyDescent="0.3"/>
    <row r="1627" customFormat="1" ht="30" customHeight="1" x14ac:dyDescent="0.3"/>
    <row r="1628" customFormat="1" ht="30" customHeight="1" x14ac:dyDescent="0.3"/>
    <row r="1629" customFormat="1" ht="30" customHeight="1" x14ac:dyDescent="0.3"/>
    <row r="1630" customFormat="1" ht="30" customHeight="1" x14ac:dyDescent="0.3"/>
    <row r="1631" customFormat="1" ht="30" customHeight="1" x14ac:dyDescent="0.3"/>
    <row r="1632" customFormat="1" ht="30" customHeight="1" x14ac:dyDescent="0.3"/>
    <row r="1633" customFormat="1" ht="30" customHeight="1" x14ac:dyDescent="0.3"/>
    <row r="1634" customFormat="1" ht="30" customHeight="1" x14ac:dyDescent="0.3"/>
    <row r="1635" customFormat="1" ht="30" customHeight="1" x14ac:dyDescent="0.3"/>
    <row r="1636" customFormat="1" ht="30" customHeight="1" x14ac:dyDescent="0.3"/>
    <row r="1637" customFormat="1" ht="30" customHeight="1" x14ac:dyDescent="0.3"/>
    <row r="1638" customFormat="1" ht="30" customHeight="1" x14ac:dyDescent="0.3"/>
    <row r="1639" customFormat="1" ht="30" customHeight="1" x14ac:dyDescent="0.3"/>
    <row r="1640" customFormat="1" ht="30" customHeight="1" x14ac:dyDescent="0.3"/>
    <row r="1641" customFormat="1" ht="30" customHeight="1" x14ac:dyDescent="0.3"/>
    <row r="1642" customFormat="1" ht="30" customHeight="1" x14ac:dyDescent="0.3"/>
    <row r="1643" customFormat="1" ht="30" customHeight="1" x14ac:dyDescent="0.3"/>
    <row r="1644" customFormat="1" ht="30" customHeight="1" x14ac:dyDescent="0.3"/>
    <row r="1645" customFormat="1" ht="30" customHeight="1" x14ac:dyDescent="0.3"/>
    <row r="1646" customFormat="1" ht="30" customHeight="1" x14ac:dyDescent="0.3"/>
    <row r="1647" customFormat="1" ht="30" customHeight="1" x14ac:dyDescent="0.3"/>
    <row r="1648" customFormat="1" ht="30" customHeight="1" x14ac:dyDescent="0.3"/>
    <row r="1649" customFormat="1" ht="30" customHeight="1" x14ac:dyDescent="0.3"/>
    <row r="1650" customFormat="1" ht="30" customHeight="1" x14ac:dyDescent="0.3"/>
    <row r="1651" customFormat="1" ht="30" customHeight="1" x14ac:dyDescent="0.3"/>
    <row r="1652" customFormat="1" ht="30" customHeight="1" x14ac:dyDescent="0.3"/>
    <row r="1653" customFormat="1" ht="30" customHeight="1" x14ac:dyDescent="0.3"/>
    <row r="1654" customFormat="1" ht="30" customHeight="1" x14ac:dyDescent="0.3"/>
    <row r="1655" customFormat="1" ht="30" customHeight="1" x14ac:dyDescent="0.3"/>
    <row r="1656" customFormat="1" ht="30" customHeight="1" x14ac:dyDescent="0.3"/>
    <row r="1657" customFormat="1" ht="30" customHeight="1" x14ac:dyDescent="0.3"/>
    <row r="1658" customFormat="1" ht="30" customHeight="1" x14ac:dyDescent="0.3"/>
    <row r="1659" customFormat="1" ht="30" customHeight="1" x14ac:dyDescent="0.3"/>
    <row r="1660" customFormat="1" ht="30" customHeight="1" x14ac:dyDescent="0.3"/>
    <row r="1661" customFormat="1" ht="30" customHeight="1" x14ac:dyDescent="0.3"/>
    <row r="1662" customFormat="1" ht="30" customHeight="1" x14ac:dyDescent="0.3"/>
    <row r="1663" customFormat="1" ht="30" customHeight="1" x14ac:dyDescent="0.3"/>
    <row r="1664" customFormat="1" ht="30" customHeight="1" x14ac:dyDescent="0.3"/>
    <row r="1665" customFormat="1" ht="30" customHeight="1" x14ac:dyDescent="0.3"/>
    <row r="1666" customFormat="1" ht="30" customHeight="1" x14ac:dyDescent="0.3"/>
    <row r="1667" customFormat="1" ht="30" customHeight="1" x14ac:dyDescent="0.3"/>
    <row r="1668" customFormat="1" ht="30" customHeight="1" x14ac:dyDescent="0.3"/>
    <row r="1669" customFormat="1" ht="30" customHeight="1" x14ac:dyDescent="0.3"/>
    <row r="1670" customFormat="1" ht="30" customHeight="1" x14ac:dyDescent="0.3"/>
    <row r="1671" customFormat="1" ht="30" customHeight="1" x14ac:dyDescent="0.3"/>
    <row r="1672" customFormat="1" ht="30" customHeight="1" x14ac:dyDescent="0.3"/>
    <row r="1673" customFormat="1" ht="30" customHeight="1" x14ac:dyDescent="0.3"/>
    <row r="1674" customFormat="1" ht="30" customHeight="1" x14ac:dyDescent="0.3"/>
    <row r="1675" customFormat="1" ht="30" customHeight="1" x14ac:dyDescent="0.3"/>
    <row r="1676" customFormat="1" ht="30" customHeight="1" x14ac:dyDescent="0.3"/>
    <row r="1677" customFormat="1" ht="30" customHeight="1" x14ac:dyDescent="0.3"/>
    <row r="1678" customFormat="1" ht="30" customHeight="1" x14ac:dyDescent="0.3"/>
    <row r="1679" customFormat="1" ht="30" customHeight="1" x14ac:dyDescent="0.3"/>
    <row r="1680" customFormat="1" ht="30" customHeight="1" x14ac:dyDescent="0.3"/>
    <row r="1681" customFormat="1" ht="30" customHeight="1" x14ac:dyDescent="0.3"/>
    <row r="1682" customFormat="1" ht="30" customHeight="1" x14ac:dyDescent="0.3"/>
    <row r="1683" customFormat="1" ht="30" customHeight="1" x14ac:dyDescent="0.3"/>
    <row r="1684" customFormat="1" ht="30" customHeight="1" x14ac:dyDescent="0.3"/>
    <row r="1685" customFormat="1" ht="30" customHeight="1" x14ac:dyDescent="0.3"/>
    <row r="1686" customFormat="1" ht="30" customHeight="1" x14ac:dyDescent="0.3"/>
    <row r="1687" customFormat="1" ht="30" customHeight="1" x14ac:dyDescent="0.3"/>
    <row r="1688" customFormat="1" ht="30" customHeight="1" x14ac:dyDescent="0.3"/>
    <row r="1689" customFormat="1" ht="30" customHeight="1" x14ac:dyDescent="0.3"/>
    <row r="1690" customFormat="1" ht="30" customHeight="1" x14ac:dyDescent="0.3"/>
    <row r="1691" customFormat="1" ht="30" customHeight="1" x14ac:dyDescent="0.3"/>
    <row r="1692" customFormat="1" ht="30" customHeight="1" x14ac:dyDescent="0.3"/>
    <row r="1693" customFormat="1" ht="30" customHeight="1" x14ac:dyDescent="0.3"/>
    <row r="1694" customFormat="1" ht="30" customHeight="1" x14ac:dyDescent="0.3"/>
    <row r="1695" customFormat="1" ht="30" customHeight="1" x14ac:dyDescent="0.3"/>
    <row r="1696" customFormat="1" ht="30" customHeight="1" x14ac:dyDescent="0.3"/>
    <row r="1697" customFormat="1" ht="30" customHeight="1" x14ac:dyDescent="0.3"/>
    <row r="1698" customFormat="1" ht="30" customHeight="1" x14ac:dyDescent="0.3"/>
    <row r="1699" customFormat="1" ht="30" customHeight="1" x14ac:dyDescent="0.3"/>
    <row r="1700" customFormat="1" ht="30" customHeight="1" x14ac:dyDescent="0.3"/>
    <row r="1701" customFormat="1" ht="30" customHeight="1" x14ac:dyDescent="0.3"/>
    <row r="1702" customFormat="1" ht="30" customHeight="1" x14ac:dyDescent="0.3"/>
    <row r="1703" customFormat="1" ht="30" customHeight="1" x14ac:dyDescent="0.3"/>
    <row r="1704" customFormat="1" ht="30" customHeight="1" x14ac:dyDescent="0.3"/>
    <row r="1705" customFormat="1" ht="30" customHeight="1" x14ac:dyDescent="0.3"/>
    <row r="1706" customFormat="1" ht="30" customHeight="1" x14ac:dyDescent="0.3"/>
    <row r="1707" customFormat="1" ht="30" customHeight="1" x14ac:dyDescent="0.3"/>
    <row r="1708" customFormat="1" ht="30" customHeight="1" x14ac:dyDescent="0.3"/>
    <row r="1709" customFormat="1" ht="30" customHeight="1" x14ac:dyDescent="0.3"/>
    <row r="1710" customFormat="1" ht="30" customHeight="1" x14ac:dyDescent="0.3"/>
    <row r="1711" customFormat="1" ht="30" customHeight="1" x14ac:dyDescent="0.3"/>
    <row r="1712" customFormat="1" ht="30" customHeight="1" x14ac:dyDescent="0.3"/>
    <row r="1713" customFormat="1" ht="30" customHeight="1" x14ac:dyDescent="0.3"/>
    <row r="1714" customFormat="1" ht="30" customHeight="1" x14ac:dyDescent="0.3"/>
    <row r="1715" customFormat="1" ht="30" customHeight="1" x14ac:dyDescent="0.3"/>
    <row r="1716" customFormat="1" ht="30" customHeight="1" x14ac:dyDescent="0.3"/>
    <row r="1717" customFormat="1" ht="30" customHeight="1" x14ac:dyDescent="0.3"/>
    <row r="1718" customFormat="1" ht="30" customHeight="1" x14ac:dyDescent="0.3"/>
    <row r="1719" customFormat="1" ht="30" customHeight="1" x14ac:dyDescent="0.3"/>
    <row r="1720" customFormat="1" ht="30" customHeight="1" x14ac:dyDescent="0.3"/>
    <row r="1721" customFormat="1" ht="30" customHeight="1" x14ac:dyDescent="0.3"/>
    <row r="1722" customFormat="1" ht="30" customHeight="1" x14ac:dyDescent="0.3"/>
    <row r="1723" customFormat="1" ht="30" customHeight="1" x14ac:dyDescent="0.3"/>
    <row r="1724" customFormat="1" ht="30" customHeight="1" x14ac:dyDescent="0.3"/>
    <row r="1725" customFormat="1" ht="30" customHeight="1" x14ac:dyDescent="0.3"/>
    <row r="1726" customFormat="1" ht="30" customHeight="1" x14ac:dyDescent="0.3"/>
    <row r="1727" customFormat="1" ht="30" customHeight="1" x14ac:dyDescent="0.3"/>
    <row r="1728" customFormat="1" ht="30" customHeight="1" x14ac:dyDescent="0.3"/>
    <row r="1729" customFormat="1" ht="30" customHeight="1" x14ac:dyDescent="0.3"/>
    <row r="1730" customFormat="1" ht="30" customHeight="1" x14ac:dyDescent="0.3"/>
    <row r="1731" customFormat="1" ht="30" customHeight="1" x14ac:dyDescent="0.3"/>
    <row r="1732" customFormat="1" ht="30" customHeight="1" x14ac:dyDescent="0.3"/>
    <row r="1733" customFormat="1" ht="30" customHeight="1" x14ac:dyDescent="0.3"/>
    <row r="1734" customFormat="1" ht="30" customHeight="1" x14ac:dyDescent="0.3"/>
    <row r="1735" customFormat="1" ht="30" customHeight="1" x14ac:dyDescent="0.3"/>
    <row r="1736" customFormat="1" ht="30" customHeight="1" x14ac:dyDescent="0.3"/>
    <row r="1737" customFormat="1" ht="30" customHeight="1" x14ac:dyDescent="0.3"/>
    <row r="1738" customFormat="1" ht="30" customHeight="1" x14ac:dyDescent="0.3"/>
    <row r="1739" customFormat="1" ht="30" customHeight="1" x14ac:dyDescent="0.3"/>
    <row r="1740" customFormat="1" ht="30" customHeight="1" x14ac:dyDescent="0.3"/>
    <row r="1741" customFormat="1" ht="30" customHeight="1" x14ac:dyDescent="0.3"/>
    <row r="1742" customFormat="1" ht="30" customHeight="1" x14ac:dyDescent="0.3"/>
    <row r="1743" customFormat="1" ht="30" customHeight="1" x14ac:dyDescent="0.3"/>
    <row r="1744" customFormat="1" ht="30" customHeight="1" x14ac:dyDescent="0.3"/>
    <row r="1745" customFormat="1" ht="30" customHeight="1" x14ac:dyDescent="0.3"/>
    <row r="1746" customFormat="1" ht="30" customHeight="1" x14ac:dyDescent="0.3"/>
    <row r="1747" customFormat="1" ht="30" customHeight="1" x14ac:dyDescent="0.3"/>
    <row r="1748" customFormat="1" ht="30" customHeight="1" x14ac:dyDescent="0.3"/>
    <row r="1749" customFormat="1" ht="30" customHeight="1" x14ac:dyDescent="0.3"/>
    <row r="1750" customFormat="1" ht="30" customHeight="1" x14ac:dyDescent="0.3"/>
    <row r="1751" customFormat="1" ht="30" customHeight="1" x14ac:dyDescent="0.3"/>
    <row r="1752" customFormat="1" ht="30" customHeight="1" x14ac:dyDescent="0.3"/>
    <row r="1753" customFormat="1" ht="30" customHeight="1" x14ac:dyDescent="0.3"/>
    <row r="1754" customFormat="1" ht="30" customHeight="1" x14ac:dyDescent="0.3"/>
    <row r="1755" customFormat="1" ht="30" customHeight="1" x14ac:dyDescent="0.3"/>
    <row r="1756" customFormat="1" ht="30" customHeight="1" x14ac:dyDescent="0.3"/>
    <row r="1757" customFormat="1" ht="30" customHeight="1" x14ac:dyDescent="0.3"/>
    <row r="1758" customFormat="1" ht="30" customHeight="1" x14ac:dyDescent="0.3"/>
    <row r="1759" customFormat="1" ht="30" customHeight="1" x14ac:dyDescent="0.3"/>
    <row r="1760" customFormat="1" ht="30" customHeight="1" x14ac:dyDescent="0.3"/>
    <row r="1761" customFormat="1" ht="30" customHeight="1" x14ac:dyDescent="0.3"/>
    <row r="1762" customFormat="1" ht="30" customHeight="1" x14ac:dyDescent="0.3"/>
    <row r="1763" customFormat="1" ht="30" customHeight="1" x14ac:dyDescent="0.3"/>
    <row r="1764" customFormat="1" ht="30" customHeight="1" x14ac:dyDescent="0.3"/>
    <row r="1765" customFormat="1" ht="30" customHeight="1" x14ac:dyDescent="0.3"/>
    <row r="1766" customFormat="1" ht="30" customHeight="1" x14ac:dyDescent="0.3"/>
    <row r="1767" customFormat="1" ht="30" customHeight="1" x14ac:dyDescent="0.3"/>
    <row r="1768" customFormat="1" ht="30" customHeight="1" x14ac:dyDescent="0.3"/>
    <row r="1769" customFormat="1" ht="30" customHeight="1" x14ac:dyDescent="0.3"/>
    <row r="1770" customFormat="1" ht="30" customHeight="1" x14ac:dyDescent="0.3"/>
    <row r="1771" customFormat="1" ht="30" customHeight="1" x14ac:dyDescent="0.3"/>
    <row r="1772" customFormat="1" ht="30" customHeight="1" x14ac:dyDescent="0.3"/>
    <row r="1773" customFormat="1" ht="30" customHeight="1" x14ac:dyDescent="0.3"/>
    <row r="1774" customFormat="1" ht="30" customHeight="1" x14ac:dyDescent="0.3"/>
    <row r="1775" customFormat="1" ht="30" customHeight="1" x14ac:dyDescent="0.3"/>
    <row r="1776" customFormat="1" ht="30" customHeight="1" x14ac:dyDescent="0.3"/>
    <row r="1777" customFormat="1" ht="30" customHeight="1" x14ac:dyDescent="0.3"/>
    <row r="1778" customFormat="1" ht="30" customHeight="1" x14ac:dyDescent="0.3"/>
    <row r="1779" customFormat="1" ht="30" customHeight="1" x14ac:dyDescent="0.3"/>
    <row r="1780" customFormat="1" ht="30" customHeight="1" x14ac:dyDescent="0.3"/>
    <row r="1781" customFormat="1" ht="30" customHeight="1" x14ac:dyDescent="0.3"/>
    <row r="1782" customFormat="1" ht="30" customHeight="1" x14ac:dyDescent="0.3"/>
    <row r="1783" customFormat="1" ht="30" customHeight="1" x14ac:dyDescent="0.3"/>
    <row r="1784" customFormat="1" ht="30" customHeight="1" x14ac:dyDescent="0.3"/>
    <row r="1785" customFormat="1" ht="30" customHeight="1" x14ac:dyDescent="0.3"/>
    <row r="1786" customFormat="1" ht="30" customHeight="1" x14ac:dyDescent="0.3"/>
    <row r="1787" customFormat="1" ht="30" customHeight="1" x14ac:dyDescent="0.3"/>
    <row r="1788" customFormat="1" ht="30" customHeight="1" x14ac:dyDescent="0.3"/>
    <row r="1789" customFormat="1" ht="30" customHeight="1" x14ac:dyDescent="0.3"/>
    <row r="1790" customFormat="1" ht="30" customHeight="1" x14ac:dyDescent="0.3"/>
    <row r="1791" customFormat="1" ht="30" customHeight="1" x14ac:dyDescent="0.3"/>
    <row r="1792" customFormat="1" ht="30" customHeight="1" x14ac:dyDescent="0.3"/>
    <row r="1793" customFormat="1" ht="30" customHeight="1" x14ac:dyDescent="0.3"/>
    <row r="1794" customFormat="1" ht="30" customHeight="1" x14ac:dyDescent="0.3"/>
    <row r="1795" customFormat="1" ht="30" customHeight="1" x14ac:dyDescent="0.3"/>
    <row r="1796" customFormat="1" ht="30" customHeight="1" x14ac:dyDescent="0.3"/>
    <row r="1797" customFormat="1" ht="30" customHeight="1" x14ac:dyDescent="0.3"/>
    <row r="1798" customFormat="1" ht="30" customHeight="1" x14ac:dyDescent="0.3"/>
    <row r="1799" customFormat="1" ht="30" customHeight="1" x14ac:dyDescent="0.3"/>
    <row r="1800" customFormat="1" ht="30" customHeight="1" x14ac:dyDescent="0.3"/>
    <row r="1801" customFormat="1" ht="30" customHeight="1" x14ac:dyDescent="0.3"/>
    <row r="1802" customFormat="1" ht="30" customHeight="1" x14ac:dyDescent="0.3"/>
    <row r="1803" customFormat="1" ht="30" customHeight="1" x14ac:dyDescent="0.3"/>
    <row r="1804" customFormat="1" ht="30" customHeight="1" x14ac:dyDescent="0.3"/>
    <row r="1805" customFormat="1" ht="30" customHeight="1" x14ac:dyDescent="0.3"/>
    <row r="1806" customFormat="1" ht="30" customHeight="1" x14ac:dyDescent="0.3"/>
    <row r="1807" customFormat="1" ht="30" customHeight="1" x14ac:dyDescent="0.3"/>
    <row r="1808" customFormat="1" ht="30" customHeight="1" x14ac:dyDescent="0.3"/>
    <row r="1809" customFormat="1" ht="30" customHeight="1" x14ac:dyDescent="0.3"/>
    <row r="1810" customFormat="1" ht="30" customHeight="1" x14ac:dyDescent="0.3"/>
    <row r="1811" customFormat="1" ht="30" customHeight="1" x14ac:dyDescent="0.3"/>
    <row r="1812" customFormat="1" ht="30" customHeight="1" x14ac:dyDescent="0.3"/>
    <row r="1813" customFormat="1" ht="30" customHeight="1" x14ac:dyDescent="0.3"/>
    <row r="1814" customFormat="1" ht="30" customHeight="1" x14ac:dyDescent="0.3"/>
    <row r="1815" customFormat="1" ht="30" customHeight="1" x14ac:dyDescent="0.3"/>
    <row r="1816" customFormat="1" ht="30" customHeight="1" x14ac:dyDescent="0.3"/>
    <row r="1817" customFormat="1" ht="30" customHeight="1" x14ac:dyDescent="0.3"/>
    <row r="1818" customFormat="1" ht="30" customHeight="1" x14ac:dyDescent="0.3"/>
    <row r="1819" customFormat="1" ht="30" customHeight="1" x14ac:dyDescent="0.3"/>
    <row r="1820" customFormat="1" ht="30" customHeight="1" x14ac:dyDescent="0.3"/>
    <row r="1821" customFormat="1" ht="30" customHeight="1" x14ac:dyDescent="0.3"/>
    <row r="1822" customFormat="1" ht="30" customHeight="1" x14ac:dyDescent="0.3"/>
    <row r="1823" customFormat="1" ht="30" customHeight="1" x14ac:dyDescent="0.3"/>
    <row r="1824" customFormat="1" ht="30" customHeight="1" x14ac:dyDescent="0.3"/>
    <row r="1825" customFormat="1" ht="30" customHeight="1" x14ac:dyDescent="0.3"/>
    <row r="1826" customFormat="1" ht="30" customHeight="1" x14ac:dyDescent="0.3"/>
    <row r="1827" customFormat="1" ht="30" customHeight="1" x14ac:dyDescent="0.3"/>
    <row r="1828" customFormat="1" ht="30" customHeight="1" x14ac:dyDescent="0.3"/>
    <row r="1829" customFormat="1" ht="30" customHeight="1" x14ac:dyDescent="0.3"/>
    <row r="1830" customFormat="1" ht="30" customHeight="1" x14ac:dyDescent="0.3"/>
    <row r="1831" customFormat="1" ht="30" customHeight="1" x14ac:dyDescent="0.3"/>
    <row r="1832" customFormat="1" ht="30" customHeight="1" x14ac:dyDescent="0.3"/>
    <row r="1833" customFormat="1" ht="30" customHeight="1" x14ac:dyDescent="0.3"/>
    <row r="1834" customFormat="1" ht="30" customHeight="1" x14ac:dyDescent="0.3"/>
    <row r="1835" customFormat="1" ht="30" customHeight="1" x14ac:dyDescent="0.3"/>
    <row r="1836" customFormat="1" ht="30" customHeight="1" x14ac:dyDescent="0.3"/>
    <row r="1837" customFormat="1" ht="30" customHeight="1" x14ac:dyDescent="0.3"/>
    <row r="1838" customFormat="1" ht="30" customHeight="1" x14ac:dyDescent="0.3"/>
    <row r="1839" customFormat="1" ht="30" customHeight="1" x14ac:dyDescent="0.3"/>
    <row r="1840" customFormat="1" ht="30" customHeight="1" x14ac:dyDescent="0.3"/>
    <row r="1841" customFormat="1" ht="30" customHeight="1" x14ac:dyDescent="0.3"/>
    <row r="1842" customFormat="1" ht="30" customHeight="1" x14ac:dyDescent="0.3"/>
    <row r="1843" customFormat="1" ht="30" customHeight="1" x14ac:dyDescent="0.3"/>
    <row r="1844" customFormat="1" ht="30" customHeight="1" x14ac:dyDescent="0.3"/>
    <row r="1845" customFormat="1" ht="30" customHeight="1" x14ac:dyDescent="0.3"/>
    <row r="1846" customFormat="1" ht="30" customHeight="1" x14ac:dyDescent="0.3"/>
    <row r="1847" customFormat="1" ht="30" customHeight="1" x14ac:dyDescent="0.3"/>
    <row r="1848" customFormat="1" ht="30" customHeight="1" x14ac:dyDescent="0.3"/>
    <row r="1849" customFormat="1" ht="30" customHeight="1" x14ac:dyDescent="0.3"/>
    <row r="1850" customFormat="1" ht="30" customHeight="1" x14ac:dyDescent="0.3"/>
    <row r="1851" customFormat="1" ht="30" customHeight="1" x14ac:dyDescent="0.3"/>
    <row r="1852" customFormat="1" ht="30" customHeight="1" x14ac:dyDescent="0.3"/>
    <row r="1853" customFormat="1" ht="30" customHeight="1" x14ac:dyDescent="0.3"/>
    <row r="1854" customFormat="1" ht="30" customHeight="1" x14ac:dyDescent="0.3"/>
    <row r="1855" customFormat="1" ht="30" customHeight="1" x14ac:dyDescent="0.3"/>
    <row r="1856" customFormat="1" ht="30" customHeight="1" x14ac:dyDescent="0.3"/>
    <row r="1857" customFormat="1" ht="30" customHeight="1" x14ac:dyDescent="0.3"/>
    <row r="1858" customFormat="1" ht="30" customHeight="1" x14ac:dyDescent="0.3"/>
    <row r="1859" customFormat="1" ht="30" customHeight="1" x14ac:dyDescent="0.3"/>
    <row r="1860" customFormat="1" ht="30" customHeight="1" x14ac:dyDescent="0.3"/>
    <row r="1861" customFormat="1" ht="30" customHeight="1" x14ac:dyDescent="0.3"/>
    <row r="1862" customFormat="1" ht="30" customHeight="1" x14ac:dyDescent="0.3"/>
    <row r="1863" customFormat="1" ht="30" customHeight="1" x14ac:dyDescent="0.3"/>
    <row r="1864" customFormat="1" ht="30" customHeight="1" x14ac:dyDescent="0.3"/>
    <row r="1865" customFormat="1" ht="30" customHeight="1" x14ac:dyDescent="0.3"/>
    <row r="1866" customFormat="1" ht="30" customHeight="1" x14ac:dyDescent="0.3"/>
    <row r="1867" customFormat="1" ht="30" customHeight="1" x14ac:dyDescent="0.3"/>
    <row r="1868" customFormat="1" ht="30" customHeight="1" x14ac:dyDescent="0.3"/>
    <row r="1869" customFormat="1" ht="30" customHeight="1" x14ac:dyDescent="0.3"/>
    <row r="1870" customFormat="1" ht="30" customHeight="1" x14ac:dyDescent="0.3"/>
    <row r="1871" customFormat="1" ht="30" customHeight="1" x14ac:dyDescent="0.3"/>
    <row r="1872" customFormat="1" ht="30" customHeight="1" x14ac:dyDescent="0.3"/>
    <row r="1873" customFormat="1" ht="30" customHeight="1" x14ac:dyDescent="0.3"/>
    <row r="1874" customFormat="1" ht="30" customHeight="1" x14ac:dyDescent="0.3"/>
    <row r="1875" customFormat="1" ht="30" customHeight="1" x14ac:dyDescent="0.3"/>
    <row r="1876" customFormat="1" ht="30" customHeight="1" x14ac:dyDescent="0.3"/>
    <row r="1877" customFormat="1" ht="30" customHeight="1" x14ac:dyDescent="0.3"/>
    <row r="1878" customFormat="1" ht="30" customHeight="1" x14ac:dyDescent="0.3"/>
    <row r="1879" customFormat="1" ht="30" customHeight="1" x14ac:dyDescent="0.3"/>
    <row r="1880" customFormat="1" ht="30" customHeight="1" x14ac:dyDescent="0.3"/>
    <row r="1881" customFormat="1" ht="30" customHeight="1" x14ac:dyDescent="0.3"/>
    <row r="1882" customFormat="1" ht="30" customHeight="1" x14ac:dyDescent="0.3"/>
    <row r="1883" customFormat="1" ht="30" customHeight="1" x14ac:dyDescent="0.3"/>
    <row r="1884" customFormat="1" ht="30" customHeight="1" x14ac:dyDescent="0.3"/>
    <row r="1885" customFormat="1" ht="30" customHeight="1" x14ac:dyDescent="0.3"/>
    <row r="1886" customFormat="1" ht="30" customHeight="1" x14ac:dyDescent="0.3"/>
    <row r="1887" customFormat="1" ht="30" customHeight="1" x14ac:dyDescent="0.3"/>
    <row r="1888" customFormat="1" ht="30" customHeight="1" x14ac:dyDescent="0.3"/>
    <row r="1889" customFormat="1" ht="30" customHeight="1" x14ac:dyDescent="0.3"/>
    <row r="1890" customFormat="1" ht="30" customHeight="1" x14ac:dyDescent="0.3"/>
    <row r="1891" customFormat="1" ht="30" customHeight="1" x14ac:dyDescent="0.3"/>
    <row r="1892" customFormat="1" ht="30" customHeight="1" x14ac:dyDescent="0.3"/>
    <row r="1893" customFormat="1" ht="30" customHeight="1" x14ac:dyDescent="0.3"/>
    <row r="1894" customFormat="1" ht="30" customHeight="1" x14ac:dyDescent="0.3"/>
    <row r="1895" customFormat="1" ht="30" customHeight="1" x14ac:dyDescent="0.3"/>
    <row r="1896" customFormat="1" ht="30" customHeight="1" x14ac:dyDescent="0.3"/>
    <row r="1897" customFormat="1" ht="30" customHeight="1" x14ac:dyDescent="0.3"/>
    <row r="1898" customFormat="1" ht="30" customHeight="1" x14ac:dyDescent="0.3"/>
    <row r="1899" customFormat="1" ht="30" customHeight="1" x14ac:dyDescent="0.3"/>
    <row r="1900" customFormat="1" ht="30" customHeight="1" x14ac:dyDescent="0.3"/>
    <row r="1901" customFormat="1" ht="30" customHeight="1" x14ac:dyDescent="0.3"/>
    <row r="1902" customFormat="1" ht="30" customHeight="1" x14ac:dyDescent="0.3"/>
    <row r="1903" customFormat="1" ht="30" customHeight="1" x14ac:dyDescent="0.3"/>
    <row r="1904" customFormat="1" ht="30" customHeight="1" x14ac:dyDescent="0.3"/>
    <row r="1905" customFormat="1" ht="30" customHeight="1" x14ac:dyDescent="0.3"/>
    <row r="1906" customFormat="1" ht="30" customHeight="1" x14ac:dyDescent="0.3"/>
    <row r="1907" customFormat="1" ht="30" customHeight="1" x14ac:dyDescent="0.3"/>
    <row r="1908" customFormat="1" ht="30" customHeight="1" x14ac:dyDescent="0.3"/>
    <row r="1909" customFormat="1" ht="30" customHeight="1" x14ac:dyDescent="0.3"/>
    <row r="1910" customFormat="1" ht="30" customHeight="1" x14ac:dyDescent="0.3"/>
    <row r="1911" customFormat="1" ht="30" customHeight="1" x14ac:dyDescent="0.3"/>
    <row r="1912" customFormat="1" ht="30" customHeight="1" x14ac:dyDescent="0.3"/>
    <row r="1913" customFormat="1" ht="30" customHeight="1" x14ac:dyDescent="0.3"/>
    <row r="1914" customFormat="1" ht="30" customHeight="1" x14ac:dyDescent="0.3"/>
    <row r="1915" customFormat="1" ht="30" customHeight="1" x14ac:dyDescent="0.3"/>
    <row r="1916" customFormat="1" ht="30" customHeight="1" x14ac:dyDescent="0.3"/>
    <row r="1917" customFormat="1" ht="30" customHeight="1" x14ac:dyDescent="0.3"/>
    <row r="1918" customFormat="1" ht="30" customHeight="1" x14ac:dyDescent="0.3"/>
    <row r="1919" customFormat="1" ht="30" customHeight="1" x14ac:dyDescent="0.3"/>
    <row r="1920" customFormat="1" ht="30" customHeight="1" x14ac:dyDescent="0.3"/>
    <row r="1921" customFormat="1" ht="30" customHeight="1" x14ac:dyDescent="0.3"/>
    <row r="1922" customFormat="1" ht="30" customHeight="1" x14ac:dyDescent="0.3"/>
    <row r="1923" customFormat="1" ht="30" customHeight="1" x14ac:dyDescent="0.3"/>
    <row r="1924" customFormat="1" ht="30" customHeight="1" x14ac:dyDescent="0.3"/>
    <row r="1925" customFormat="1" ht="30" customHeight="1" x14ac:dyDescent="0.3"/>
    <row r="1926" customFormat="1" ht="30" customHeight="1" x14ac:dyDescent="0.3"/>
    <row r="1927" customFormat="1" ht="30" customHeight="1" x14ac:dyDescent="0.3"/>
    <row r="1928" customFormat="1" ht="30" customHeight="1" x14ac:dyDescent="0.3"/>
    <row r="1929" customFormat="1" ht="30" customHeight="1" x14ac:dyDescent="0.3"/>
    <row r="1930" customFormat="1" ht="30" customHeight="1" x14ac:dyDescent="0.3"/>
    <row r="1931" customFormat="1" ht="30" customHeight="1" x14ac:dyDescent="0.3"/>
    <row r="1932" customFormat="1" ht="30" customHeight="1" x14ac:dyDescent="0.3"/>
    <row r="1933" customFormat="1" ht="30" customHeight="1" x14ac:dyDescent="0.3"/>
    <row r="1934" customFormat="1" ht="30" customHeight="1" x14ac:dyDescent="0.3"/>
    <row r="1935" customFormat="1" ht="30" customHeight="1" x14ac:dyDescent="0.3"/>
    <row r="1936" customFormat="1" ht="30" customHeight="1" x14ac:dyDescent="0.3"/>
    <row r="1937" customFormat="1" ht="30" customHeight="1" x14ac:dyDescent="0.3"/>
    <row r="1938" customFormat="1" ht="30" customHeight="1" x14ac:dyDescent="0.3"/>
    <row r="1939" customFormat="1" ht="30" customHeight="1" x14ac:dyDescent="0.3"/>
    <row r="1940" customFormat="1" ht="30" customHeight="1" x14ac:dyDescent="0.3"/>
    <row r="1941" customFormat="1" ht="30" customHeight="1" x14ac:dyDescent="0.3"/>
    <row r="1942" customFormat="1" ht="30" customHeight="1" x14ac:dyDescent="0.3"/>
    <row r="1943" customFormat="1" ht="30" customHeight="1" x14ac:dyDescent="0.3"/>
    <row r="1944" customFormat="1" ht="30" customHeight="1" x14ac:dyDescent="0.3"/>
    <row r="1945" customFormat="1" ht="30" customHeight="1" x14ac:dyDescent="0.3"/>
    <row r="1946" customFormat="1" ht="30" customHeight="1" x14ac:dyDescent="0.3"/>
    <row r="1947" customFormat="1" ht="30" customHeight="1" x14ac:dyDescent="0.3"/>
    <row r="1948" customFormat="1" ht="30" customHeight="1" x14ac:dyDescent="0.3"/>
    <row r="1949" customFormat="1" ht="30" customHeight="1" x14ac:dyDescent="0.3"/>
    <row r="1950" customFormat="1" ht="30" customHeight="1" x14ac:dyDescent="0.3"/>
    <row r="1951" customFormat="1" ht="30" customHeight="1" x14ac:dyDescent="0.3"/>
    <row r="1952" customFormat="1" ht="30" customHeight="1" x14ac:dyDescent="0.3"/>
    <row r="1953" customFormat="1" ht="30" customHeight="1" x14ac:dyDescent="0.3"/>
    <row r="1954" customFormat="1" ht="30" customHeight="1" x14ac:dyDescent="0.3"/>
    <row r="1955" customFormat="1" ht="30" customHeight="1" x14ac:dyDescent="0.3"/>
    <row r="1956" customFormat="1" ht="30" customHeight="1" x14ac:dyDescent="0.3"/>
    <row r="1957" customFormat="1" ht="30" customHeight="1" x14ac:dyDescent="0.3"/>
    <row r="1958" customFormat="1" ht="30" customHeight="1" x14ac:dyDescent="0.3"/>
    <row r="1959" customFormat="1" ht="30" customHeight="1" x14ac:dyDescent="0.3"/>
    <row r="1960" customFormat="1" ht="30" customHeight="1" x14ac:dyDescent="0.3"/>
    <row r="1961" customFormat="1" ht="30" customHeight="1" x14ac:dyDescent="0.3"/>
    <row r="1962" customFormat="1" ht="30" customHeight="1" x14ac:dyDescent="0.3"/>
    <row r="1963" customFormat="1" ht="30" customHeight="1" x14ac:dyDescent="0.3"/>
    <row r="1964" customFormat="1" ht="30" customHeight="1" x14ac:dyDescent="0.3"/>
    <row r="1965" customFormat="1" ht="30" customHeight="1" x14ac:dyDescent="0.3"/>
    <row r="1966" customFormat="1" ht="30" customHeight="1" x14ac:dyDescent="0.3"/>
    <row r="1967" customFormat="1" ht="30" customHeight="1" x14ac:dyDescent="0.3"/>
    <row r="1968" customFormat="1" ht="30" customHeight="1" x14ac:dyDescent="0.3"/>
    <row r="1969" spans="1:73" ht="30" customHeight="1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</row>
    <row r="1970" spans="1:73" ht="30" customHeight="1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</row>
    <row r="1971" spans="1:73" ht="30" customHeight="1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</row>
    <row r="1972" spans="1:73" ht="30" customHeight="1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</row>
    <row r="1973" spans="1:73" ht="30" customHeight="1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</row>
    <row r="1974" spans="1:73" ht="30" customHeight="1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</row>
    <row r="1975" spans="1:73" ht="30" customHeight="1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</row>
    <row r="1976" spans="1:73" ht="30" customHeight="1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</row>
    <row r="1977" spans="1:73" ht="30" customHeight="1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</row>
    <row r="1978" spans="1:73" ht="30" customHeight="1" x14ac:dyDescent="0.3">
      <c r="H1978"/>
    </row>
    <row r="1979" spans="1:73" ht="30" customHeight="1" x14ac:dyDescent="0.3">
      <c r="R1979"/>
      <c r="S1979" s="35"/>
    </row>
    <row r="1981" spans="1:73" ht="30" customHeight="1" x14ac:dyDescent="0.3">
      <c r="BE1981" s="43"/>
      <c r="BQ1981" s="43"/>
    </row>
  </sheetData>
  <sheetProtection insertColumns="0" sort="0" autoFilter="0"/>
  <mergeCells count="14">
    <mergeCell ref="D2:H2"/>
    <mergeCell ref="I2:I3"/>
    <mergeCell ref="Q2:U2"/>
    <mergeCell ref="J2:J3"/>
    <mergeCell ref="M2:M3"/>
    <mergeCell ref="Q1:U1"/>
    <mergeCell ref="BR1:BU1"/>
    <mergeCell ref="BR2:BU2"/>
    <mergeCell ref="L2:L3"/>
    <mergeCell ref="P2:P3"/>
    <mergeCell ref="V3:W3"/>
    <mergeCell ref="AH3:AI3"/>
    <mergeCell ref="AT3:AU3"/>
    <mergeCell ref="BF3:BG3"/>
  </mergeCells>
  <phoneticPr fontId="8" type="noConversion"/>
  <conditionalFormatting sqref="Q5:Q64">
    <cfRule type="cellIs" dxfId="0" priority="5" operator="lessThanOrEqual">
      <formula>0</formula>
    </cfRule>
  </conditionalFormatting>
  <conditionalFormatting sqref="CD5:CR64">
    <cfRule type="colorScale" priority="3">
      <colorScale>
        <cfvo type="min"/>
        <cfvo type="max"/>
        <color rgb="FFFCFCFF"/>
        <color rgb="FFF8696B"/>
      </colorScale>
    </cfRule>
  </conditionalFormatting>
  <conditionalFormatting sqref="CD5:CT64">
    <cfRule type="colorScale" priority="2">
      <colorScale>
        <cfvo type="min"/>
        <cfvo type="max"/>
        <color rgb="FFFCFCFF"/>
        <color rgb="FFF8696B"/>
      </colorScale>
    </cfRule>
  </conditionalFormatting>
  <dataValidations count="22">
    <dataValidation type="list" allowBlank="1" showInputMessage="1" showErrorMessage="1" sqref="BU3" xr:uid="{3E1876E2-B93E-C241-AA72-6F7B44999698}">
      <formula1>"kg CO2e / MBtu, kg CO2e / GJ, kg CO2e / Ton Hour, lbs CO2e / MBtu, lbs CO2e / GJ, lbs CO2e / Ton Hour"</formula1>
    </dataValidation>
    <dataValidation type="list" allowBlank="1" showInputMessage="1" showErrorMessage="1" sqref="BT3" xr:uid="{40071947-92DB-0845-94B1-725F6C2E758B}">
      <formula1>"kg CO2e / Therm, kg CO2e / Mlb, kg CO2e / MBtu, kg CO2e / GJ, lbs CO2e / Therm, lbs CO2e / Mlb, lbs CO2e / MBtu, lbs CO2e / GJ"</formula1>
    </dataValidation>
    <dataValidation type="list" allowBlank="1" showInputMessage="1" showErrorMessage="1" sqref="BS3" xr:uid="{E810C102-4B4E-FA40-B03D-2C56B8492775}">
      <formula1>"kg CO2e / Therm, kg CO2e / MBtu, kg CO2e / MWh, kg CO2e / GJ, lbs CO2e / Therm, lbs CO2e / MBtu, lbs CO2e / MWh, lbs CO2e / GJ"</formula1>
    </dataValidation>
    <dataValidation type="list" allowBlank="1" showInputMessage="1" showErrorMessage="1" sqref="BR3" xr:uid="{B53C5098-E1D6-B34F-B3A8-16A19BD107CA}">
      <formula1>"kg CO2e / MBtu, kg CO2e / MWh, kg CO2e / GJ, lbs CO2e / MBtu, lbs CO2e / MWh, lbs CO2e / GJ"</formula1>
    </dataValidation>
    <dataValidation type="list" allowBlank="1" showInputMessage="1" showErrorMessage="1" sqref="AT3:AU3" xr:uid="{8B733266-9919-A744-8D99-5913FC6393D7}">
      <formula1>"kBtu, MBtu, GJ, Therms, Lbs (steam), KLbs (steam), MLbs (steam)"</formula1>
    </dataValidation>
    <dataValidation type="list" allowBlank="1" showInputMessage="1" showErrorMessage="1" sqref="V3:W3" xr:uid="{BE92A397-DCF4-5F4C-8D68-73857BCD3863}">
      <formula1>"kWh, MWh, kBtu, MBtu, GJ"</formula1>
    </dataValidation>
    <dataValidation type="list" allowBlank="1" showInputMessage="1" showErrorMessage="1" sqref="AH3:AI3" xr:uid="{F607F959-7E65-8A4D-89AC-118FA64AC348}">
      <formula1>"Therms, Ccf, Mcf, Cubic Meters, kBtu, MBtu, GJ"</formula1>
    </dataValidation>
    <dataValidation type="list" allowBlank="1" showInputMessage="1" showErrorMessage="1" sqref="BF3:BG3" xr:uid="{09DD820B-599F-0148-8124-C1F3BA875784}">
      <formula1>"kBtu, MBtu, GJ, Ton Hours"</formula1>
    </dataValidation>
    <dataValidation type="list" allowBlank="1" showInputMessage="1" showErrorMessage="1" sqref="B3" xr:uid="{C65395AA-2938-2F4A-BA0E-7B517EB000DD}">
      <formula1>"FT2, M2"</formula1>
    </dataValidation>
    <dataValidation type="whole" allowBlank="1" showInputMessage="1" showErrorMessage="1" sqref="Q1978:Q1048576" xr:uid="{70D0A1E2-BF06-1F40-846A-569B194AD318}">
      <formula1>1990</formula1>
      <formula2>2025</formula2>
    </dataValidation>
    <dataValidation type="list" allowBlank="1" showInputMessage="1" showErrorMessage="1" sqref="R3" xr:uid="{12A1BDA7-97D3-7642-A414-96881743D840}">
      <formula1>"ft2, m2"</formula1>
    </dataValidation>
    <dataValidation type="list" allowBlank="1" showInputMessage="1" showErrorMessage="1" sqref="Q3" xr:uid="{4CF5E407-7ADC-C64F-9CC6-323A8FFDDB36}">
      <formula1>"kBtu, kWh"</formula1>
    </dataValidation>
    <dataValidation type="decimal" allowBlank="1" showInputMessage="1" showErrorMessage="1" sqref="B5:B64" xr:uid="{0894D745-3D94-4143-85B5-319CF6A3C482}">
      <formula1>0</formula1>
      <formula2>100000000</formula2>
    </dataValidation>
    <dataValidation type="list" allowBlank="1" showInputMessage="1" showErrorMessage="1" sqref="C5:C64" xr:uid="{15F23EA5-F1DF-4041-8013-BB335E435102}">
      <formula1>INDIRECT("BuildingType[Building Type]")</formula1>
    </dataValidation>
    <dataValidation type="decimal" allowBlank="1" showInputMessage="1" showErrorMessage="1" errorTitle="Latitude must be [-90, 90]" error="Latitude must be a decimal between -90 and 90." sqref="I5:I64" xr:uid="{5ECB500F-0B70-9E44-B81F-155EDB0E0D52}">
      <formula1>-90.01</formula1>
      <formula2>90.01</formula2>
    </dataValidation>
    <dataValidation type="decimal" allowBlank="1" showInputMessage="1" showErrorMessage="1" errorTitle="Longitude must be [-180, 180]" error="Longitude must be a decimal between -180 and 180." sqref="J5:J64" xr:uid="{66061474-1F65-324D-AC9B-AD8029DB4207}">
      <formula1>-180.01</formula1>
      <formula2>180.01</formula2>
    </dataValidation>
    <dataValidation type="list" allowBlank="1" showInputMessage="1" showErrorMessage="1" sqref="N5:N64" xr:uid="{6A9A5F81-CA4F-994D-85F3-453BE1C46030}">
      <formula1>"Electricity, Natural Gas, District Heating, Unknown"</formula1>
    </dataValidation>
    <dataValidation type="list" allowBlank="1" showInputMessage="1" showErrorMessage="1" sqref="O5:O64" xr:uid="{D97FA005-7DE8-3D47-8A49-F1460498B5B8}">
      <formula1>"Electricity, District Cooling, Unknown"</formula1>
    </dataValidation>
    <dataValidation type="custom" allowBlank="1" showInputMessage="1" showErrorMessage="1" sqref="L5:L64" xr:uid="{0217D48A-D09E-7149-9C7D-E585374756CE}">
      <formula1>COUNTA(_xlfn.TEXTSPLIT($L5,","))&lt;=10</formula1>
    </dataValidation>
    <dataValidation type="custom" allowBlank="1" showInputMessage="1" showErrorMessage="1" errorTitle="Duplicated Name" error="Building Names must be unique" sqref="A5:A64" xr:uid="{8ED08DD9-1943-8940-8726-0BAE92854FC5}">
      <formula1>COUNTIF($A:$A,$A5)=1</formula1>
    </dataValidation>
    <dataValidation type="whole" allowBlank="1" showInputMessage="1" showErrorMessage="1" errorTitle="Enter  year" error="Year must be a whole number between 1950 and 2050." sqref="P5:P64" xr:uid="{82C892DB-D9E7-4BC1-A257-2D676B826FB7}">
      <formula1>1950</formula1>
      <formula2>2050</formula2>
    </dataValidation>
    <dataValidation type="decimal" operator="greaterThanOrEqual" allowBlank="1" showInputMessage="1" showErrorMessage="1" errorTitle="Enter a Value" error="Values must be greater than or equal to zero." sqref="V5:BU64" xr:uid="{86478954-0B54-43B0-A074-3FF9E06191A1}">
      <formula1>0</formula1>
    </dataValidation>
  </dataValidations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AFBB-E0EC-6B4B-B7C0-EB8A4E5674BD}">
  <sheetPr codeName="Sheet2"/>
  <dimension ref="A1:G28"/>
  <sheetViews>
    <sheetView workbookViewId="0">
      <selection activeCell="I39" sqref="I39"/>
    </sheetView>
  </sheetViews>
  <sheetFormatPr defaultColWidth="10.6640625" defaultRowHeight="14.4" x14ac:dyDescent="0.3"/>
  <cols>
    <col min="3" max="3" width="19.6640625" customWidth="1"/>
    <col min="7" max="7" width="11.109375" customWidth="1"/>
  </cols>
  <sheetData>
    <row r="1" spans="1:7" x14ac:dyDescent="0.3">
      <c r="A1" t="s">
        <v>269</v>
      </c>
      <c r="C1" t="s">
        <v>270</v>
      </c>
    </row>
    <row r="2" spans="1:7" x14ac:dyDescent="0.3">
      <c r="A2" t="s">
        <v>271</v>
      </c>
      <c r="B2" t="s">
        <v>272</v>
      </c>
      <c r="C2" t="s">
        <v>273</v>
      </c>
      <c r="E2" t="s">
        <v>271</v>
      </c>
      <c r="F2" t="s">
        <v>272</v>
      </c>
      <c r="G2" t="s">
        <v>273</v>
      </c>
    </row>
    <row r="3" spans="1:7" x14ac:dyDescent="0.3">
      <c r="A3" t="s">
        <v>38</v>
      </c>
      <c r="B3" t="s">
        <v>38</v>
      </c>
      <c r="C3">
        <v>1</v>
      </c>
      <c r="E3" t="s">
        <v>274</v>
      </c>
      <c r="F3" t="s">
        <v>39</v>
      </c>
      <c r="G3">
        <f>CONVERT(1,E3,F3)</f>
        <v>10.763910416709722</v>
      </c>
    </row>
    <row r="4" spans="1:7" x14ac:dyDescent="0.3">
      <c r="A4" t="s">
        <v>275</v>
      </c>
      <c r="B4" t="s">
        <v>38</v>
      </c>
      <c r="C4">
        <v>1000</v>
      </c>
      <c r="E4" t="s">
        <v>39</v>
      </c>
      <c r="F4" t="s">
        <v>274</v>
      </c>
      <c r="G4">
        <f>CONVERT(1,E4,F4)</f>
        <v>9.2903040000000006E-2</v>
      </c>
    </row>
    <row r="5" spans="1:7" x14ac:dyDescent="0.3">
      <c r="A5" t="s">
        <v>40</v>
      </c>
      <c r="B5" t="s">
        <v>38</v>
      </c>
      <c r="C5">
        <v>3.4121416</v>
      </c>
      <c r="E5" t="s">
        <v>274</v>
      </c>
      <c r="F5" t="s">
        <v>274</v>
      </c>
      <c r="G5">
        <f>CONVERT(1,E5,F5)</f>
        <v>1</v>
      </c>
    </row>
    <row r="6" spans="1:7" x14ac:dyDescent="0.3">
      <c r="A6" t="s">
        <v>276</v>
      </c>
      <c r="B6" t="s">
        <v>38</v>
      </c>
      <c r="C6">
        <v>3412.1415999999999</v>
      </c>
      <c r="E6" t="s">
        <v>39</v>
      </c>
      <c r="F6" t="s">
        <v>39</v>
      </c>
      <c r="G6">
        <f>CONVERT(1,E6,F6)</f>
        <v>1</v>
      </c>
    </row>
    <row r="7" spans="1:7" x14ac:dyDescent="0.3">
      <c r="A7" t="s">
        <v>277</v>
      </c>
      <c r="B7" t="s">
        <v>38</v>
      </c>
      <c r="C7">
        <v>947.81712000000005</v>
      </c>
    </row>
    <row r="8" spans="1:7" x14ac:dyDescent="0.3">
      <c r="A8" t="s">
        <v>41</v>
      </c>
      <c r="B8" t="s">
        <v>38</v>
      </c>
      <c r="C8">
        <v>100</v>
      </c>
    </row>
    <row r="9" spans="1:7" x14ac:dyDescent="0.3">
      <c r="A9" t="s">
        <v>278</v>
      </c>
      <c r="B9" t="s">
        <v>38</v>
      </c>
      <c r="C9">
        <v>102.6</v>
      </c>
    </row>
    <row r="10" spans="1:7" x14ac:dyDescent="0.3">
      <c r="A10" t="s">
        <v>279</v>
      </c>
      <c r="B10" t="s">
        <v>38</v>
      </c>
      <c r="C10">
        <v>1026000</v>
      </c>
    </row>
    <row r="11" spans="1:7" x14ac:dyDescent="0.3">
      <c r="A11" t="s">
        <v>280</v>
      </c>
      <c r="B11" t="s">
        <v>38</v>
      </c>
      <c r="C11">
        <v>36.302999999999997</v>
      </c>
    </row>
    <row r="12" spans="1:7" x14ac:dyDescent="0.3">
      <c r="A12" t="s">
        <v>281</v>
      </c>
      <c r="B12" t="s">
        <v>38</v>
      </c>
      <c r="C12">
        <v>1.194</v>
      </c>
    </row>
    <row r="13" spans="1:7" x14ac:dyDescent="0.3">
      <c r="A13" t="s">
        <v>282</v>
      </c>
      <c r="B13" t="s">
        <v>38</v>
      </c>
      <c r="C13">
        <v>1194</v>
      </c>
    </row>
    <row r="14" spans="1:7" x14ac:dyDescent="0.3">
      <c r="A14" t="s">
        <v>283</v>
      </c>
      <c r="B14" t="s">
        <v>38</v>
      </c>
      <c r="C14">
        <v>1194000</v>
      </c>
    </row>
    <row r="15" spans="1:7" x14ac:dyDescent="0.3">
      <c r="A15" t="s">
        <v>42</v>
      </c>
      <c r="B15" t="s">
        <v>38</v>
      </c>
      <c r="C15">
        <v>12</v>
      </c>
    </row>
    <row r="16" spans="1:7" x14ac:dyDescent="0.3">
      <c r="A16" t="s">
        <v>38</v>
      </c>
      <c r="B16" t="s">
        <v>40</v>
      </c>
      <c r="C16" cm="1">
        <f t="array" ref="C16">1/INDEX(Conversion[Multiplier],MATCH(1, (Conversion[From]=Conversion[[#This Row],[To]])*(Conversion[To]=Conversion[[#This Row],[From]]),0))</f>
        <v>0.29307107301760277</v>
      </c>
    </row>
    <row r="17" spans="1:3" x14ac:dyDescent="0.3">
      <c r="A17" t="s">
        <v>275</v>
      </c>
      <c r="B17" t="s">
        <v>40</v>
      </c>
      <c r="C17" s="1" cm="1">
        <f t="array" ref="C17">INDEX(Conversion[Multiplier],MATCH(1,(Conversion[From]=Conversion[[#This Row],[From]])*(Conversion[To]="kBtu"),0))*INDEX(Conversion[Multiplier],MATCH(1,(Conversion[From]="kBtu")*(Conversion[To]=Conversion[[#This Row],[To]]),0))</f>
        <v>293.07107301760277</v>
      </c>
    </row>
    <row r="18" spans="1:3" x14ac:dyDescent="0.3">
      <c r="A18" t="s">
        <v>40</v>
      </c>
      <c r="B18" t="s">
        <v>40</v>
      </c>
      <c r="C18" s="1" cm="1">
        <f t="array" ref="C18">INDEX(Conversion[Multiplier],MATCH(1,(Conversion[From]=Conversion[[#This Row],[From]])*(Conversion[To]="kBtu"),0))*INDEX(Conversion[Multiplier],MATCH(1,(Conversion[From]="kBtu")*(Conversion[To]=Conversion[[#This Row],[To]]),0))</f>
        <v>0.99999999999999989</v>
      </c>
    </row>
    <row r="19" spans="1:3" x14ac:dyDescent="0.3">
      <c r="A19" t="s">
        <v>276</v>
      </c>
      <c r="B19" t="s">
        <v>40</v>
      </c>
      <c r="C19" s="1" cm="1">
        <f t="array" ref="C19">INDEX(Conversion[Multiplier],MATCH(1,(Conversion[From]=Conversion[[#This Row],[From]])*(Conversion[To]="kBtu"),0))*INDEX(Conversion[Multiplier],MATCH(1,(Conversion[From]="kBtu")*(Conversion[To]=Conversion[[#This Row],[To]]),0))</f>
        <v>999.99999999999989</v>
      </c>
    </row>
    <row r="20" spans="1:3" x14ac:dyDescent="0.3">
      <c r="A20" t="s">
        <v>277</v>
      </c>
      <c r="B20" t="s">
        <v>40</v>
      </c>
      <c r="C20" s="1" cm="1">
        <f t="array" ref="C20">INDEX(Conversion[Multiplier],MATCH(1,(Conversion[From]=Conversion[[#This Row],[From]])*(Conversion[To]="kBtu"),0))*INDEX(Conversion[Multiplier],MATCH(1,(Conversion[From]="kBtu")*(Conversion[To]=Conversion[[#This Row],[To]]),0))</f>
        <v>277.77778038285396</v>
      </c>
    </row>
    <row r="21" spans="1:3" x14ac:dyDescent="0.3">
      <c r="A21" t="s">
        <v>41</v>
      </c>
      <c r="B21" t="s">
        <v>40</v>
      </c>
      <c r="C21" s="1" cm="1">
        <f t="array" ref="C21">INDEX(Conversion[Multiplier],MATCH(1,(Conversion[From]=Conversion[[#This Row],[From]])*(Conversion[To]="kBtu"),0))*INDEX(Conversion[Multiplier],MATCH(1,(Conversion[From]="kBtu")*(Conversion[To]=Conversion[[#This Row],[To]]),0))</f>
        <v>29.307107301760276</v>
      </c>
    </row>
    <row r="22" spans="1:3" x14ac:dyDescent="0.3">
      <c r="A22" t="s">
        <v>278</v>
      </c>
      <c r="B22" t="s">
        <v>40</v>
      </c>
      <c r="C22" s="1" cm="1">
        <f t="array" ref="C22">INDEX(Conversion[Multiplier],MATCH(1,(Conversion[From]=Conversion[[#This Row],[From]])*(Conversion[To]="kBtu"),0))*INDEX(Conversion[Multiplier],MATCH(1,(Conversion[From]="kBtu")*(Conversion[To]=Conversion[[#This Row],[To]]),0))</f>
        <v>30.069092091606041</v>
      </c>
    </row>
    <row r="23" spans="1:3" x14ac:dyDescent="0.3">
      <c r="A23" t="s">
        <v>279</v>
      </c>
      <c r="B23" t="s">
        <v>40</v>
      </c>
      <c r="C23" s="1" cm="1">
        <f t="array" ref="C23">INDEX(Conversion[Multiplier],MATCH(1,(Conversion[From]=Conversion[[#This Row],[From]])*(Conversion[To]="kBtu"),0))*INDEX(Conversion[Multiplier],MATCH(1,(Conversion[From]="kBtu")*(Conversion[To]=Conversion[[#This Row],[To]]),0))</f>
        <v>300690.92091606045</v>
      </c>
    </row>
    <row r="24" spans="1:3" x14ac:dyDescent="0.3">
      <c r="A24" t="s">
        <v>280</v>
      </c>
      <c r="B24" t="s">
        <v>40</v>
      </c>
      <c r="C24" s="1" cm="1">
        <f t="array" ref="C24">INDEX(Conversion[Multiplier],MATCH(1,(Conversion[From]=Conversion[[#This Row],[From]])*(Conversion[To]="kBtu"),0))*INDEX(Conversion[Multiplier],MATCH(1,(Conversion[From]="kBtu")*(Conversion[To]=Conversion[[#This Row],[To]]),0))</f>
        <v>10.639359163758032</v>
      </c>
    </row>
    <row r="25" spans="1:3" x14ac:dyDescent="0.3">
      <c r="A25" t="s">
        <v>281</v>
      </c>
      <c r="B25" t="s">
        <v>40</v>
      </c>
      <c r="C25" s="1" cm="1">
        <f t="array" ref="C25">INDEX(Conversion[Multiplier],MATCH(1,(Conversion[From]=Conversion[[#This Row],[From]])*(Conversion[To]="kBtu"),0))*INDEX(Conversion[Multiplier],MATCH(1,(Conversion[From]="kBtu")*(Conversion[To]=Conversion[[#This Row],[To]]),0))</f>
        <v>0.34992686118301769</v>
      </c>
    </row>
    <row r="26" spans="1:3" x14ac:dyDescent="0.3">
      <c r="A26" t="s">
        <v>282</v>
      </c>
      <c r="B26" t="s">
        <v>40</v>
      </c>
      <c r="C26" s="1" cm="1">
        <f t="array" ref="C26">INDEX(Conversion[Multiplier],MATCH(1,(Conversion[From]=Conversion[[#This Row],[From]])*(Conversion[To]="kBtu"),0))*INDEX(Conversion[Multiplier],MATCH(1,(Conversion[From]="kBtu")*(Conversion[To]=Conversion[[#This Row],[To]]),0))</f>
        <v>349.92686118301771</v>
      </c>
    </row>
    <row r="27" spans="1:3" x14ac:dyDescent="0.3">
      <c r="A27" t="s">
        <v>283</v>
      </c>
      <c r="B27" t="s">
        <v>40</v>
      </c>
      <c r="C27" s="1" cm="1">
        <f t="array" ref="C27">INDEX(Conversion[Multiplier],MATCH(1,(Conversion[From]=Conversion[[#This Row],[From]])*(Conversion[To]="kBtu"),0))*INDEX(Conversion[Multiplier],MATCH(1,(Conversion[From]="kBtu")*(Conversion[To]=Conversion[[#This Row],[To]]),0))</f>
        <v>349926.86118301773</v>
      </c>
    </row>
    <row r="28" spans="1:3" x14ac:dyDescent="0.3">
      <c r="A28" t="s">
        <v>42</v>
      </c>
      <c r="B28" t="s">
        <v>40</v>
      </c>
      <c r="C28" s="1" cm="1">
        <f t="array" ref="C28">INDEX(Conversion[Multiplier],MATCH(1,(Conversion[From]=Conversion[[#This Row],[From]])*(Conversion[To]="kBtu"),0))*INDEX(Conversion[Multiplier],MATCH(1,(Conversion[From]="kBtu")*(Conversion[To]=Conversion[[#This Row],[To]]),0))</f>
        <v>3.5168528762112334</v>
      </c>
    </row>
  </sheetData>
  <sheetProtection algorithmName="SHA-512" hashValue="4zN3NhLUwoOlD+FEvi4CfnUVa575fYZ4uQ2s92GxL8Zz8I/9vfGUL5kuG7QYGp1BgWqWboQerGR1Ein/FvydEA==" saltValue="4sXdy/jOopzaSAtU2S6ivw==" spinCount="100000" sheet="1" objects="1" scenarios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F460-095F-294C-9277-1A7F1275FA30}">
  <sheetPr codeName="Sheet3"/>
  <dimension ref="A1:A2"/>
  <sheetViews>
    <sheetView workbookViewId="0">
      <selection activeCell="F13" sqref="F13"/>
    </sheetView>
  </sheetViews>
  <sheetFormatPr defaultColWidth="10.6640625" defaultRowHeight="14.4" x14ac:dyDescent="0.3"/>
  <cols>
    <col min="1" max="1" width="14" bestFit="1" customWidth="1"/>
  </cols>
  <sheetData>
    <row r="1" spans="1:1" x14ac:dyDescent="0.3">
      <c r="A1" t="s">
        <v>2</v>
      </c>
    </row>
    <row r="2" spans="1:1" x14ac:dyDescent="0.3">
      <c r="A2" t="s">
        <v>284</v>
      </c>
    </row>
  </sheetData>
  <sheetProtection algorithmName="SHA-512" hashValue="T0pYtUrab8SxOK2/ZB3RBZs0oKaU90xB9FZEb62wHpbGJqufXSqd7/tbqxLUmV665DOYaGVtjr4fCi6syYthbg==" saltValue="2Mnmyh4Yo3qZAwlO28caVA==" spinCount="100000" sheet="1" objects="1" scenarios="1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6D9CA51B68104BAD698D60D98C8CB4" ma:contentTypeVersion="8" ma:contentTypeDescription="Create a new document." ma:contentTypeScope="" ma:versionID="88390891cd3a8df682de73d7cf63b964">
  <xsd:schema xmlns:xsd="http://www.w3.org/2001/XMLSchema" xmlns:xs="http://www.w3.org/2001/XMLSchema" xmlns:p="http://schemas.microsoft.com/office/2006/metadata/properties" xmlns:ns2="f8efe0c0-fa44-4e03-9664-cfd3f4fa3d85" targetNamespace="http://schemas.microsoft.com/office/2006/metadata/properties" ma:root="true" ma:fieldsID="5b3e3e48974c1a2c1f9820171f2caf07" ns2:_="">
    <xsd:import namespace="f8efe0c0-fa44-4e03-9664-cfd3f4fa3d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e0c0-fa44-4e03-9664-cfd3f4fa3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C1567-EB16-4C97-B0F7-C30FFF1997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9F3702-0B99-4430-9618-F736B172B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e0c0-fa44-4e03-9664-cfd3f4fa3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283691-DE8B-4DCC-947A-DF858AA73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Conversion</vt:lpstr>
      <vt:lpstr>Building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Letellier-Duchesne</dc:creator>
  <cp:keywords/>
  <dc:description/>
  <cp:lastModifiedBy>Nikita Khatwani</cp:lastModifiedBy>
  <cp:revision/>
  <dcterms:created xsi:type="dcterms:W3CDTF">2024-02-08T20:38:58Z</dcterms:created>
  <dcterms:modified xsi:type="dcterms:W3CDTF">2024-11-11T20:26:47Z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0x010100E56D9CA51B68104BAD698D60D98C8CB4</vt:lpwstr>
  </property>
  <property fmtid="{D5CDD505-2E9C-101B-9397-08002B2CF9AE}" pid="3" name="MediaServiceImageTags">
    <vt:lpwstr/>
  </property>
</Properties>
</file>